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95" yWindow="-150" windowWidth="16245" windowHeight="9960" tabRatio="867" activeTab="2"/>
  </bookViews>
  <sheets>
    <sheet name="Cover Page" sheetId="55" r:id="rId1"/>
    <sheet name="Contents" sheetId="56" r:id="rId2"/>
    <sheet name="Table IA" sheetId="1" r:id="rId3"/>
    <sheet name="Table IB" sheetId="2" r:id="rId4"/>
    <sheet name="TableIIA" sheetId="3" r:id="rId5"/>
    <sheet name="TableIIB" sheetId="35" r:id="rId6"/>
    <sheet name="TableIIC " sheetId="4" r:id="rId7"/>
    <sheet name="Table IID" sheetId="51" r:id="rId8"/>
    <sheet name="Table IIE" sheetId="5" r:id="rId9"/>
    <sheet name="Table IIF" sheetId="36" r:id="rId10"/>
    <sheet name="Table IIG" sheetId="59" r:id="rId11"/>
    <sheet name="Table III A" sheetId="6" r:id="rId12"/>
    <sheet name="Table IIIB" sheetId="50" r:id="rId13"/>
    <sheet name="Table IV" sheetId="7" r:id="rId14"/>
    <sheet name="Table V" sheetId="8" r:id="rId15"/>
    <sheet name="Table VIA" sheetId="10" r:id="rId16"/>
    <sheet name="Table VIB" sheetId="66" r:id="rId17"/>
    <sheet name="Table VII" sheetId="11" r:id="rId18"/>
    <sheet name="Table VIII" sheetId="13" r:id="rId19"/>
    <sheet name="TableIXA" sheetId="37" r:id="rId20"/>
    <sheet name="TableIXB" sheetId="38" r:id="rId21"/>
    <sheet name="TableIXC" sheetId="68" r:id="rId22"/>
    <sheet name="TableIXD" sheetId="39" r:id="rId23"/>
    <sheet name="TableX" sheetId="40" r:id="rId24"/>
    <sheet name="TableXI" sheetId="41" r:id="rId25"/>
    <sheet name="Table XIIA" sheetId="57" r:id="rId26"/>
    <sheet name="Table XIIB" sheetId="21" r:id="rId27"/>
    <sheet name="TableXIII" sheetId="42" r:id="rId28"/>
    <sheet name="Table XIV" sheetId="53" r:id="rId29"/>
    <sheet name="TableXV" sheetId="43" r:id="rId30"/>
    <sheet name="TableXVI" sheetId="44" r:id="rId31"/>
    <sheet name="Table XVII" sheetId="27" r:id="rId32"/>
    <sheet name="Table XVIII" sheetId="28" r:id="rId33"/>
    <sheet name="TableXIX" sheetId="45" r:id="rId34"/>
    <sheet name="TableXX" sheetId="58" r:id="rId35"/>
    <sheet name="TableXXI" sheetId="47" r:id="rId36"/>
    <sheet name="Table XXII" sheetId="32" r:id="rId37"/>
    <sheet name="Table XXIII" sheetId="33" r:id="rId38"/>
    <sheet name="Table XXIV" sheetId="61" r:id="rId39"/>
    <sheet name="Table XXV" sheetId="60" r:id="rId40"/>
    <sheet name="Table XXVI" sheetId="63" r:id="rId41"/>
    <sheet name="Table XXVII" sheetId="62" r:id="rId42"/>
    <sheet name="Table XXVIII" sheetId="64" r:id="rId43"/>
    <sheet name="Table XXIX" sheetId="65" r:id="rId44"/>
    <sheet name="Appendix- Weights &amp; Measures" sheetId="52" r:id="rId45"/>
  </sheets>
  <definedNames>
    <definedName name="_xlnm._FilterDatabase" localSheetId="2" hidden="1">'Table IA'!#REF!</definedName>
    <definedName name="_xlnm._FilterDatabase" localSheetId="3" hidden="1">'Table IB'!$C$1:$C$69</definedName>
    <definedName name="_xlnm._FilterDatabase" localSheetId="8" hidden="1">'Table IIE'!$A$1:$T$56</definedName>
    <definedName name="_xlnm._FilterDatabase" localSheetId="9" hidden="1">'Table IIF'!$A$1:$M$37</definedName>
    <definedName name="_xlnm._FilterDatabase" localSheetId="10" hidden="1">'Table IIG'!$A$1:$BS$50</definedName>
    <definedName name="_xlnm._FilterDatabase" localSheetId="16" hidden="1">'Table VIB'!$A$3:$H$51</definedName>
    <definedName name="_xlnm._FilterDatabase" localSheetId="25" hidden="1">'Table XIIA'!$BD$1:$BE$217</definedName>
    <definedName name="_xlnm._FilterDatabase" localSheetId="4" hidden="1">TableIIA!$A$1:$P$53</definedName>
    <definedName name="_xlnm._FilterDatabase" localSheetId="23" hidden="1">TableX!$A$3:$J$51</definedName>
    <definedName name="_xlnm._FilterDatabase" localSheetId="27" hidden="1">TableXIII!$M$47:$M$48</definedName>
    <definedName name="_xlnm._FilterDatabase" localSheetId="33" hidden="1">TableXIX!$A$1:$U$45</definedName>
    <definedName name="_xlnm._FilterDatabase" localSheetId="35" hidden="1">TableXXI!$A$1:$AJ$31</definedName>
    <definedName name="_xlnm.Print_Area" localSheetId="15">'Table VIA'!$A$1:$K$48</definedName>
    <definedName name="_xlnm.Print_Area" localSheetId="16">'Table VIB'!$A$1:$H$52</definedName>
    <definedName name="_xlnm.Print_Area" localSheetId="18">'Table VIII'!$A$1:$U$40</definedName>
    <definedName name="_xlnm.Print_Area" localSheetId="26">'Table XIIB'!$A$1:$V$49</definedName>
    <definedName name="_xlnm.Print_Area" localSheetId="38">'Table XXIV'!$A$1:$S$38</definedName>
    <definedName name="_xlnm.Print_Area" localSheetId="43">'Table XXIX'!$A$1:$W$38</definedName>
    <definedName name="_xlnm.Print_Area" localSheetId="42">'Table XXVIII'!$A$1:$T$43</definedName>
    <definedName name="_xlnm.Print_Area" localSheetId="21">TableIXC!$A$1:$AL$62</definedName>
    <definedName name="ReportLinkMenu" localSheetId="29">TableXV!#REF!</definedName>
    <definedName name="SectionElements" localSheetId="29">TableXV!#REF!</definedName>
    <definedName name="Z_A374FC54_96E3_45F0_9C12_8450400C12DF_.wvu.Cols" localSheetId="22" hidden="1">TableIXD!$T:$T</definedName>
    <definedName name="Z_A374FC54_96E3_45F0_9C12_8450400C12DF_.wvu.FilterData" localSheetId="3" hidden="1">'Table IB'!$C$1:$C$69</definedName>
    <definedName name="Z_A374FC54_96E3_45F0_9C12_8450400C12DF_.wvu.Rows" localSheetId="14" hidden="1">'Table V'!$39:$46</definedName>
    <definedName name="Z_A374FC54_96E3_45F0_9C12_8450400C12DF_.wvu.Rows" localSheetId="35" hidden="1">TableXXI!#REF!</definedName>
  </definedNames>
  <calcPr calcId="124519"/>
  <customWorkbookViews>
    <customWorkbookView name="7.25*9.75" guid="{A374FC54-96E3-45F0-9C12-8450400C12DF}" maximized="1" xWindow="1" yWindow="1" windowWidth="1366" windowHeight="538" tabRatio="768" activeSheetId="61"/>
  </customWorkbookViews>
  <fileRecoveryPr autoRecover="0"/>
</workbook>
</file>

<file path=xl/calcChain.xml><?xml version="1.0" encoding="utf-8"?>
<calcChain xmlns="http://schemas.openxmlformats.org/spreadsheetml/2006/main">
  <c r="AP46" i="1"/>
  <c r="BU46"/>
  <c r="C19" i="28" l="1"/>
  <c r="B19"/>
  <c r="D32"/>
  <c r="C32"/>
  <c r="B32"/>
  <c r="B32" i="59"/>
  <c r="K33" i="2"/>
  <c r="J33"/>
  <c r="J34" i="1"/>
  <c r="D29" i="40"/>
  <c r="D42"/>
  <c r="K20" i="2"/>
  <c r="AJ60" i="68"/>
  <c r="AH60"/>
  <c r="AG60"/>
  <c r="Z60"/>
  <c r="Q60"/>
  <c r="O60"/>
  <c r="N60"/>
  <c r="G60"/>
  <c r="AJ59"/>
  <c r="AH59"/>
  <c r="AG59"/>
  <c r="Z59"/>
  <c r="Q59"/>
  <c r="O59"/>
  <c r="N59"/>
  <c r="G59"/>
  <c r="AH58"/>
  <c r="AJ58" s="1"/>
  <c r="AG58"/>
  <c r="Z58"/>
  <c r="Q58"/>
  <c r="O58"/>
  <c r="N58"/>
  <c r="AI57"/>
  <c r="AH57"/>
  <c r="AJ57" s="1"/>
  <c r="AG57"/>
  <c r="AF57"/>
  <c r="AE57"/>
  <c r="AD57"/>
  <c r="AC57"/>
  <c r="AB57"/>
  <c r="AA57"/>
  <c r="Z57"/>
  <c r="Y57"/>
  <c r="X57"/>
  <c r="W57"/>
  <c r="V57"/>
  <c r="U57"/>
  <c r="AI52"/>
  <c r="AF52"/>
  <c r="AE52"/>
  <c r="AD52"/>
  <c r="AC52"/>
  <c r="AB52"/>
  <c r="AA52"/>
  <c r="AG52" s="1"/>
  <c r="AH52" s="1"/>
  <c r="AJ52" s="1"/>
  <c r="Z52"/>
  <c r="Y52"/>
  <c r="X52"/>
  <c r="W52"/>
  <c r="V52"/>
  <c r="U52"/>
  <c r="Q52"/>
  <c r="P52"/>
  <c r="O52"/>
  <c r="N52"/>
  <c r="M52"/>
  <c r="L52"/>
  <c r="K52"/>
  <c r="J52"/>
  <c r="I52"/>
  <c r="H52"/>
  <c r="G52"/>
  <c r="F52"/>
  <c r="E52"/>
  <c r="D52"/>
  <c r="C52"/>
  <c r="B52"/>
  <c r="AI47"/>
  <c r="AH47"/>
  <c r="AJ47" s="1"/>
  <c r="AG47"/>
  <c r="AF47"/>
  <c r="AE47"/>
  <c r="AD47"/>
  <c r="AC47"/>
  <c r="AB47"/>
  <c r="AA47"/>
  <c r="Z47"/>
  <c r="Y47"/>
  <c r="X47"/>
  <c r="W47"/>
  <c r="V47"/>
  <c r="U47"/>
  <c r="P47"/>
  <c r="M47"/>
  <c r="L47"/>
  <c r="K47"/>
  <c r="J47"/>
  <c r="I47"/>
  <c r="H47"/>
  <c r="N47" s="1"/>
  <c r="O47" s="1"/>
  <c r="Q47" s="1"/>
  <c r="G47"/>
  <c r="F47"/>
  <c r="E47"/>
  <c r="D47"/>
  <c r="C47"/>
  <c r="B47"/>
  <c r="AJ42"/>
  <c r="AI42"/>
  <c r="AH42"/>
  <c r="AG42"/>
  <c r="AF42"/>
  <c r="AE42"/>
  <c r="AD42"/>
  <c r="AC42"/>
  <c r="AB42"/>
  <c r="AA42"/>
  <c r="Z42"/>
  <c r="Y42"/>
  <c r="X42"/>
  <c r="W42"/>
  <c r="V42"/>
  <c r="U42"/>
  <c r="P42"/>
  <c r="O42"/>
  <c r="Q42" s="1"/>
  <c r="N42"/>
  <c r="M42"/>
  <c r="L42"/>
  <c r="K42"/>
  <c r="J42"/>
  <c r="I42"/>
  <c r="H42"/>
  <c r="G42"/>
  <c r="F42"/>
  <c r="E42"/>
  <c r="D42"/>
  <c r="C42"/>
  <c r="B42"/>
  <c r="AI37"/>
  <c r="AF37"/>
  <c r="AE37"/>
  <c r="AD37"/>
  <c r="AC37"/>
  <c r="AB37"/>
  <c r="AA37"/>
  <c r="AG37" s="1"/>
  <c r="AH37" s="1"/>
  <c r="AJ37" s="1"/>
  <c r="Z37"/>
  <c r="Y37"/>
  <c r="X37"/>
  <c r="W37"/>
  <c r="V37"/>
  <c r="U37"/>
  <c r="Q37"/>
  <c r="P37"/>
  <c r="O37"/>
  <c r="N37"/>
  <c r="M37"/>
  <c r="L37"/>
  <c r="K37"/>
  <c r="J37"/>
  <c r="I37"/>
  <c r="H37"/>
  <c r="G37"/>
  <c r="F37"/>
  <c r="E37"/>
  <c r="D37"/>
  <c r="C37"/>
  <c r="B37"/>
  <c r="AI32"/>
  <c r="AH32"/>
  <c r="AJ32" s="1"/>
  <c r="AG32"/>
  <c r="AF32"/>
  <c r="AE32"/>
  <c r="AD32"/>
  <c r="AC32"/>
  <c r="AB32"/>
  <c r="AA32"/>
  <c r="Z32"/>
  <c r="Y32"/>
  <c r="X32"/>
  <c r="W32"/>
  <c r="V32"/>
  <c r="U32"/>
  <c r="P32"/>
  <c r="M32"/>
  <c r="L32"/>
  <c r="K32"/>
  <c r="J32"/>
  <c r="I32"/>
  <c r="H32"/>
  <c r="N32" s="1"/>
  <c r="O32" s="1"/>
  <c r="Q32" s="1"/>
  <c r="G32"/>
  <c r="F32"/>
  <c r="E32"/>
  <c r="D32"/>
  <c r="C32"/>
  <c r="B32"/>
  <c r="AJ27"/>
  <c r="AI27"/>
  <c r="AH27"/>
  <c r="AG27"/>
  <c r="AF27"/>
  <c r="AE27"/>
  <c r="AD27"/>
  <c r="AC27"/>
  <c r="AB27"/>
  <c r="AA27"/>
  <c r="Z27"/>
  <c r="Y27"/>
  <c r="X27"/>
  <c r="W27"/>
  <c r="V27"/>
  <c r="U27"/>
  <c r="P27"/>
  <c r="O27"/>
  <c r="Q27" s="1"/>
  <c r="N27"/>
  <c r="M27"/>
  <c r="L27"/>
  <c r="K27"/>
  <c r="J27"/>
  <c r="I27"/>
  <c r="H27"/>
  <c r="G27"/>
  <c r="F27"/>
  <c r="E27"/>
  <c r="D27"/>
  <c r="C27"/>
  <c r="B27"/>
  <c r="AI22"/>
  <c r="AF22"/>
  <c r="AE22"/>
  <c r="AD22"/>
  <c r="AC22"/>
  <c r="AB22"/>
  <c r="AA22"/>
  <c r="AG22" s="1"/>
  <c r="AH22" s="1"/>
  <c r="AJ22" s="1"/>
  <c r="Z22"/>
  <c r="Y22"/>
  <c r="X22"/>
  <c r="W22"/>
  <c r="V22"/>
  <c r="U22"/>
  <c r="Q22"/>
  <c r="P22"/>
  <c r="O22"/>
  <c r="N22"/>
  <c r="M22"/>
  <c r="L22"/>
  <c r="K22"/>
  <c r="J22"/>
  <c r="I22"/>
  <c r="H22"/>
  <c r="G22"/>
  <c r="F22"/>
  <c r="E22"/>
  <c r="D22"/>
  <c r="C22"/>
  <c r="B22"/>
  <c r="AI17"/>
  <c r="AH17"/>
  <c r="AJ17" s="1"/>
  <c r="AG17"/>
  <c r="AF17"/>
  <c r="AE17"/>
  <c r="AD17"/>
  <c r="AC17"/>
  <c r="AB17"/>
  <c r="AA17"/>
  <c r="Z17"/>
  <c r="Y17"/>
  <c r="X17"/>
  <c r="W17"/>
  <c r="V17"/>
  <c r="U17"/>
  <c r="P17"/>
  <c r="M17"/>
  <c r="L17"/>
  <c r="K17"/>
  <c r="J17"/>
  <c r="I17"/>
  <c r="H17"/>
  <c r="N17" s="1"/>
  <c r="O17" s="1"/>
  <c r="Q17" s="1"/>
  <c r="G17"/>
  <c r="F17"/>
  <c r="E17"/>
  <c r="D17"/>
  <c r="C17"/>
  <c r="B17"/>
  <c r="AJ12"/>
  <c r="AI12"/>
  <c r="AH12"/>
  <c r="AG12"/>
  <c r="AF12"/>
  <c r="AE12"/>
  <c r="AD12"/>
  <c r="AC12"/>
  <c r="AB12"/>
  <c r="AA12"/>
  <c r="Z12"/>
  <c r="Y12"/>
  <c r="X12"/>
  <c r="W12"/>
  <c r="V12"/>
  <c r="U12"/>
  <c r="P12"/>
  <c r="O12"/>
  <c r="Q12" s="1"/>
  <c r="N12"/>
  <c r="M12"/>
  <c r="L12"/>
  <c r="K12"/>
  <c r="J12"/>
  <c r="I12"/>
  <c r="H12"/>
  <c r="G12"/>
  <c r="F12"/>
  <c r="E12"/>
  <c r="D12"/>
  <c r="C12"/>
  <c r="B12"/>
  <c r="AI7"/>
  <c r="AF7"/>
  <c r="AE7"/>
  <c r="AD7"/>
  <c r="AC7"/>
  <c r="AB7"/>
  <c r="AA7"/>
  <c r="AG7" s="1"/>
  <c r="Z7"/>
  <c r="Y7"/>
  <c r="X7"/>
  <c r="W7"/>
  <c r="V7"/>
  <c r="U7"/>
  <c r="AH7" s="1"/>
  <c r="AJ7" s="1"/>
  <c r="Q7"/>
  <c r="P7"/>
  <c r="O7"/>
  <c r="N7"/>
  <c r="M7"/>
  <c r="L7"/>
  <c r="K7"/>
  <c r="J7"/>
  <c r="I7"/>
  <c r="H7"/>
  <c r="G7"/>
  <c r="F7"/>
  <c r="E7"/>
  <c r="D7"/>
  <c r="C7"/>
  <c r="B7"/>
  <c r="BH32" i="59" l="1"/>
  <c r="BI32"/>
  <c r="S15" i="64" l="1"/>
  <c r="S28"/>
  <c r="F15"/>
  <c r="O15" s="1"/>
  <c r="R15" s="1"/>
  <c r="I15"/>
  <c r="M15"/>
  <c r="N15"/>
  <c r="F16"/>
  <c r="O16" s="1"/>
  <c r="R16" s="1"/>
  <c r="I16"/>
  <c r="M16"/>
  <c r="N16"/>
  <c r="F17"/>
  <c r="O17" s="1"/>
  <c r="R17" s="1"/>
  <c r="I17"/>
  <c r="M17"/>
  <c r="N17"/>
  <c r="F18"/>
  <c r="I18"/>
  <c r="M18"/>
  <c r="N18"/>
  <c r="O18" s="1"/>
  <c r="R18" s="1"/>
  <c r="F19"/>
  <c r="O19" s="1"/>
  <c r="R19" s="1"/>
  <c r="I19"/>
  <c r="M19"/>
  <c r="N19"/>
  <c r="F20"/>
  <c r="O20" s="1"/>
  <c r="R20" s="1"/>
  <c r="I20"/>
  <c r="M20"/>
  <c r="N20"/>
  <c r="F21"/>
  <c r="O21" s="1"/>
  <c r="R21" s="1"/>
  <c r="I21"/>
  <c r="M21"/>
  <c r="N21"/>
  <c r="F22"/>
  <c r="O22" s="1"/>
  <c r="R22" s="1"/>
  <c r="I22"/>
  <c r="M22"/>
  <c r="N22"/>
  <c r="F23"/>
  <c r="O23" s="1"/>
  <c r="R23" s="1"/>
  <c r="I23"/>
  <c r="M23"/>
  <c r="N23"/>
  <c r="F24"/>
  <c r="O24" s="1"/>
  <c r="R24" s="1"/>
  <c r="I24"/>
  <c r="M24"/>
  <c r="N24"/>
  <c r="F25"/>
  <c r="I25"/>
  <c r="M25"/>
  <c r="N25"/>
  <c r="O25" s="1"/>
  <c r="R25" s="1"/>
  <c r="F26"/>
  <c r="O26" s="1"/>
  <c r="R26" s="1"/>
  <c r="I26"/>
  <c r="M26"/>
  <c r="N26"/>
  <c r="R41"/>
  <c r="O41"/>
  <c r="N41"/>
  <c r="M41"/>
  <c r="I41"/>
  <c r="F41"/>
  <c r="S16" l="1"/>
  <c r="S17" s="1"/>
  <c r="S18" s="1"/>
  <c r="S19" s="1"/>
  <c r="S20" s="1"/>
  <c r="S21" s="1"/>
  <c r="S22" s="1"/>
  <c r="S23" s="1"/>
  <c r="S24" s="1"/>
  <c r="S25" s="1"/>
  <c r="S26" s="1"/>
  <c r="O50" i="5" l="1"/>
  <c r="L50"/>
  <c r="I50"/>
  <c r="E50"/>
  <c r="P50" l="1"/>
  <c r="R50" s="1"/>
  <c r="S50" l="1"/>
  <c r="J33" i="36" l="1"/>
  <c r="H33"/>
  <c r="G33"/>
  <c r="E33"/>
  <c r="D33"/>
  <c r="C33"/>
  <c r="B33"/>
  <c r="O49" i="7" l="1"/>
  <c r="J54" i="35"/>
  <c r="BA48" i="1"/>
  <c r="AV48" l="1"/>
  <c r="AM49" i="7" l="1"/>
  <c r="AN49" s="1"/>
  <c r="AO49" s="1"/>
  <c r="L49"/>
  <c r="K49" s="1"/>
  <c r="G49"/>
  <c r="F49"/>
  <c r="E49"/>
  <c r="C49"/>
  <c r="B49"/>
  <c r="BX48" i="1" l="1"/>
  <c r="BU48"/>
  <c r="BT48"/>
  <c r="BV48" s="1"/>
  <c r="CE48"/>
  <c r="CB48"/>
  <c r="J50" i="3"/>
  <c r="G50"/>
  <c r="D50"/>
  <c r="I54" i="35"/>
  <c r="K54" s="1"/>
  <c r="F54"/>
  <c r="BW48" i="1" l="1"/>
  <c r="L50" i="3"/>
  <c r="N50" s="1"/>
  <c r="O50" s="1"/>
  <c r="BC48" i="1" l="1"/>
  <c r="AX48"/>
  <c r="AY48" l="1"/>
  <c r="AZ48" l="1"/>
  <c r="I45" i="36"/>
  <c r="I33" s="1"/>
  <c r="F45"/>
  <c r="G48" i="4"/>
  <c r="D57" i="40"/>
  <c r="E57"/>
  <c r="Q47" i="41"/>
  <c r="B42" i="6"/>
  <c r="L42"/>
  <c r="K42"/>
  <c r="I42"/>
  <c r="H42"/>
  <c r="F42"/>
  <c r="E42"/>
  <c r="D42"/>
  <c r="C42"/>
  <c r="Q42"/>
  <c r="R42"/>
  <c r="S42"/>
  <c r="T42"/>
  <c r="U42"/>
  <c r="P42"/>
  <c r="P37"/>
  <c r="U54"/>
  <c r="M54"/>
  <c r="J54"/>
  <c r="G54"/>
  <c r="D54"/>
  <c r="BO21" i="1"/>
  <c r="BO34"/>
  <c r="V34" i="65"/>
  <c r="N34"/>
  <c r="R34" s="1"/>
  <c r="S34" s="1"/>
  <c r="I34"/>
  <c r="F34"/>
  <c r="D34"/>
  <c r="L31" i="33"/>
  <c r="O31"/>
  <c r="N31"/>
  <c r="M31"/>
  <c r="B31"/>
  <c r="B44"/>
  <c r="K44"/>
  <c r="J44"/>
  <c r="I44"/>
  <c r="H44"/>
  <c r="G44"/>
  <c r="F44"/>
  <c r="E44"/>
  <c r="D44"/>
  <c r="C44"/>
  <c r="AL35" i="7"/>
  <c r="AK35"/>
  <c r="AJ35"/>
  <c r="AI35"/>
  <c r="AH35"/>
  <c r="AG35"/>
  <c r="AF35"/>
  <c r="AE35"/>
  <c r="AD35"/>
  <c r="AC35"/>
  <c r="AB35"/>
  <c r="AA35"/>
  <c r="Z35"/>
  <c r="Y35"/>
  <c r="X35"/>
  <c r="W35"/>
  <c r="B45"/>
  <c r="T35"/>
  <c r="S35"/>
  <c r="R35"/>
  <c r="Q35"/>
  <c r="P35"/>
  <c r="N35"/>
  <c r="M35"/>
  <c r="J35"/>
  <c r="I35"/>
  <c r="H35"/>
  <c r="AA32" i="59"/>
  <c r="Z32"/>
  <c r="T32" i="45"/>
  <c r="S32"/>
  <c r="R32"/>
  <c r="Q32"/>
  <c r="P32"/>
  <c r="O32"/>
  <c r="N32"/>
  <c r="M32"/>
  <c r="L32"/>
  <c r="K32"/>
  <c r="J32"/>
  <c r="I32"/>
  <c r="H32"/>
  <c r="G32"/>
  <c r="F32"/>
  <c r="E32"/>
  <c r="D32"/>
  <c r="C32"/>
  <c r="B32"/>
  <c r="Q36" i="5"/>
  <c r="N36"/>
  <c r="M36"/>
  <c r="K36"/>
  <c r="J36"/>
  <c r="H36"/>
  <c r="G36"/>
  <c r="F36"/>
  <c r="D36"/>
  <c r="C36"/>
  <c r="B36"/>
  <c r="K45" i="36" l="1"/>
  <c r="K33" s="1"/>
  <c r="F33"/>
  <c r="U32" i="45"/>
  <c r="N54" i="6"/>
  <c r="V54" s="1"/>
  <c r="U52"/>
  <c r="U53"/>
  <c r="M53"/>
  <c r="J53"/>
  <c r="G53"/>
  <c r="D53"/>
  <c r="N53" l="1"/>
  <c r="V53" l="1"/>
  <c r="J56" i="33"/>
  <c r="K56" s="1"/>
  <c r="AV46" i="1"/>
  <c r="BA46" l="1"/>
  <c r="S26" i="61" l="1"/>
  <c r="R26"/>
  <c r="Q26"/>
  <c r="P26"/>
  <c r="O26"/>
  <c r="N26"/>
  <c r="M26"/>
  <c r="K26"/>
  <c r="J26"/>
  <c r="I26"/>
  <c r="H26"/>
  <c r="G26"/>
  <c r="E26"/>
  <c r="D26"/>
  <c r="C26"/>
  <c r="B26"/>
  <c r="Q39" i="60"/>
  <c r="P39"/>
  <c r="O39"/>
  <c r="N39"/>
  <c r="M39"/>
  <c r="L39"/>
  <c r="K39"/>
  <c r="J39"/>
  <c r="I39"/>
  <c r="H39"/>
  <c r="G39"/>
  <c r="F39"/>
  <c r="E39"/>
  <c r="D39"/>
  <c r="C39"/>
  <c r="B39"/>
  <c r="Q27" i="64"/>
  <c r="P27"/>
  <c r="L27"/>
  <c r="K27"/>
  <c r="J27"/>
  <c r="H27"/>
  <c r="G27"/>
  <c r="E27"/>
  <c r="D27"/>
  <c r="C27"/>
  <c r="B27"/>
  <c r="J51" i="60"/>
  <c r="E51"/>
  <c r="J50"/>
  <c r="E50"/>
  <c r="J49"/>
  <c r="E49"/>
  <c r="J48"/>
  <c r="E48"/>
  <c r="J47"/>
  <c r="E47"/>
  <c r="J46"/>
  <c r="E46"/>
  <c r="J45"/>
  <c r="E45"/>
  <c r="J44"/>
  <c r="E44"/>
  <c r="J43"/>
  <c r="E43"/>
  <c r="J42"/>
  <c r="E42"/>
  <c r="J41"/>
  <c r="E41"/>
  <c r="J40"/>
  <c r="E40"/>
  <c r="J38"/>
  <c r="E38"/>
  <c r="E26" s="1"/>
  <c r="J37"/>
  <c r="E37"/>
  <c r="J36"/>
  <c r="E36"/>
  <c r="J35"/>
  <c r="E35"/>
  <c r="J34"/>
  <c r="E34"/>
  <c r="J33"/>
  <c r="E33"/>
  <c r="J32"/>
  <c r="E32"/>
  <c r="J31"/>
  <c r="E31"/>
  <c r="J30"/>
  <c r="E30"/>
  <c r="J29"/>
  <c r="E29"/>
  <c r="J28"/>
  <c r="E28"/>
  <c r="J27"/>
  <c r="E27"/>
  <c r="Q26"/>
  <c r="P26"/>
  <c r="O26"/>
  <c r="N26"/>
  <c r="M26"/>
  <c r="L26"/>
  <c r="K26"/>
  <c r="J26"/>
  <c r="I26"/>
  <c r="H26"/>
  <c r="G26"/>
  <c r="F26"/>
  <c r="D26"/>
  <c r="C26"/>
  <c r="B26"/>
  <c r="J25"/>
  <c r="E25"/>
  <c r="E13" s="1"/>
  <c r="J24"/>
  <c r="E24"/>
  <c r="J23"/>
  <c r="E23"/>
  <c r="J22"/>
  <c r="E22"/>
  <c r="J21"/>
  <c r="E21"/>
  <c r="J20"/>
  <c r="E20"/>
  <c r="J19"/>
  <c r="E19"/>
  <c r="J18"/>
  <c r="E18"/>
  <c r="J17"/>
  <c r="E17"/>
  <c r="J16"/>
  <c r="E16"/>
  <c r="J15"/>
  <c r="E15"/>
  <c r="J14"/>
  <c r="E14"/>
  <c r="Q13"/>
  <c r="P13"/>
  <c r="O13"/>
  <c r="N13"/>
  <c r="M13"/>
  <c r="L13"/>
  <c r="K13"/>
  <c r="J13"/>
  <c r="I13"/>
  <c r="H13"/>
  <c r="G13"/>
  <c r="F13"/>
  <c r="D13"/>
  <c r="C13"/>
  <c r="B13"/>
  <c r="L38" i="61"/>
  <c r="L26" s="1"/>
  <c r="F38"/>
  <c r="F26" s="1"/>
  <c r="L37"/>
  <c r="F37"/>
  <c r="L36"/>
  <c r="F36"/>
  <c r="L35"/>
  <c r="F35"/>
  <c r="L34"/>
  <c r="F34"/>
  <c r="L33"/>
  <c r="F33"/>
  <c r="L32"/>
  <c r="F32"/>
  <c r="L31"/>
  <c r="F31"/>
  <c r="L30"/>
  <c r="F30"/>
  <c r="L29"/>
  <c r="F29"/>
  <c r="L28"/>
  <c r="F28"/>
  <c r="L27"/>
  <c r="F27"/>
  <c r="L25"/>
  <c r="F25"/>
  <c r="F13" s="1"/>
  <c r="L24"/>
  <c r="F24"/>
  <c r="L23"/>
  <c r="F23"/>
  <c r="L22"/>
  <c r="F22"/>
  <c r="L21"/>
  <c r="F21"/>
  <c r="L20"/>
  <c r="F20"/>
  <c r="L19"/>
  <c r="F19"/>
  <c r="L18"/>
  <c r="F18"/>
  <c r="L17"/>
  <c r="F17"/>
  <c r="L16"/>
  <c r="F16"/>
  <c r="L15"/>
  <c r="F15"/>
  <c r="L14"/>
  <c r="F14"/>
  <c r="S13"/>
  <c r="R13"/>
  <c r="Q13"/>
  <c r="P13"/>
  <c r="O13"/>
  <c r="N13"/>
  <c r="M13"/>
  <c r="L13"/>
  <c r="K13"/>
  <c r="J13"/>
  <c r="I13"/>
  <c r="H13"/>
  <c r="G13"/>
  <c r="E13"/>
  <c r="D13"/>
  <c r="C13"/>
  <c r="B13"/>
  <c r="BW33" i="58"/>
  <c r="BV33"/>
  <c r="BU33"/>
  <c r="BT33"/>
  <c r="BS33"/>
  <c r="BR33"/>
  <c r="BQ33"/>
  <c r="BP33"/>
  <c r="BO33"/>
  <c r="BN33"/>
  <c r="BM33"/>
  <c r="BL33"/>
  <c r="BK33"/>
  <c r="BJ33"/>
  <c r="BH33"/>
  <c r="BG33"/>
  <c r="BF33"/>
  <c r="BE33"/>
  <c r="BD33"/>
  <c r="BC33"/>
  <c r="BB33"/>
  <c r="BA33"/>
  <c r="AZ33"/>
  <c r="AY33"/>
  <c r="AX33"/>
  <c r="AW33"/>
  <c r="AV33"/>
  <c r="AU33"/>
  <c r="AS33"/>
  <c r="AR33"/>
  <c r="AQ33"/>
  <c r="AP33"/>
  <c r="AO33"/>
  <c r="AN33"/>
  <c r="AM33"/>
  <c r="AL33"/>
  <c r="AK33"/>
  <c r="AJ33"/>
  <c r="AI33"/>
  <c r="AH33"/>
  <c r="AG33"/>
  <c r="AF33"/>
  <c r="AD33"/>
  <c r="AC33"/>
  <c r="AB33"/>
  <c r="AA33"/>
  <c r="Z33"/>
  <c r="Y33"/>
  <c r="X33"/>
  <c r="W33"/>
  <c r="V33"/>
  <c r="U33"/>
  <c r="T33"/>
  <c r="S33"/>
  <c r="R33"/>
  <c r="Q33"/>
  <c r="O33"/>
  <c r="N33"/>
  <c r="M33"/>
  <c r="L33"/>
  <c r="K33"/>
  <c r="J33"/>
  <c r="I33"/>
  <c r="H33"/>
  <c r="G33"/>
  <c r="F33"/>
  <c r="E33"/>
  <c r="D33"/>
  <c r="C33"/>
  <c r="B33"/>
  <c r="BW20"/>
  <c r="BV20"/>
  <c r="BU20"/>
  <c r="BT20"/>
  <c r="BS20"/>
  <c r="BR20"/>
  <c r="BQ20"/>
  <c r="BP20"/>
  <c r="BO20"/>
  <c r="BN20"/>
  <c r="BM20"/>
  <c r="BL20"/>
  <c r="BK20"/>
  <c r="BJ20"/>
  <c r="BH20"/>
  <c r="BG20"/>
  <c r="BF20"/>
  <c r="BE20"/>
  <c r="BD20"/>
  <c r="BC20"/>
  <c r="BB20"/>
  <c r="BA20"/>
  <c r="AZ20"/>
  <c r="AY20"/>
  <c r="AX20"/>
  <c r="AW20"/>
  <c r="AV20"/>
  <c r="AU20"/>
  <c r="AS20"/>
  <c r="AR20"/>
  <c r="AQ20"/>
  <c r="AP20"/>
  <c r="AO20"/>
  <c r="AN20"/>
  <c r="AM20"/>
  <c r="AL20"/>
  <c r="AK20"/>
  <c r="AJ20"/>
  <c r="AI20"/>
  <c r="AH20"/>
  <c r="AG20"/>
  <c r="AF20"/>
  <c r="AD20"/>
  <c r="AC20"/>
  <c r="AB20"/>
  <c r="AA20"/>
  <c r="Z20"/>
  <c r="Y20"/>
  <c r="X20"/>
  <c r="W20"/>
  <c r="V20"/>
  <c r="U20"/>
  <c r="T20"/>
  <c r="S20"/>
  <c r="R20"/>
  <c r="Q20"/>
  <c r="O20"/>
  <c r="N20"/>
  <c r="M20"/>
  <c r="L20"/>
  <c r="K20"/>
  <c r="J20"/>
  <c r="I20"/>
  <c r="H20"/>
  <c r="G20"/>
  <c r="F20"/>
  <c r="E20"/>
  <c r="D20"/>
  <c r="C20"/>
  <c r="B20"/>
  <c r="U44" i="45"/>
  <c r="U43"/>
  <c r="U42"/>
  <c r="U41"/>
  <c r="U40"/>
  <c r="U39"/>
  <c r="U38"/>
  <c r="U37"/>
  <c r="U36"/>
  <c r="U35"/>
  <c r="U34"/>
  <c r="U33"/>
  <c r="U31"/>
  <c r="U30"/>
  <c r="U29"/>
  <c r="U28"/>
  <c r="U27"/>
  <c r="U26"/>
  <c r="U25"/>
  <c r="U24"/>
  <c r="U23"/>
  <c r="U22"/>
  <c r="U21"/>
  <c r="U20"/>
  <c r="T19"/>
  <c r="S19"/>
  <c r="R19"/>
  <c r="Q19"/>
  <c r="P19"/>
  <c r="O19"/>
  <c r="N19"/>
  <c r="M19"/>
  <c r="L19"/>
  <c r="K19"/>
  <c r="J19"/>
  <c r="I19"/>
  <c r="H19"/>
  <c r="G19"/>
  <c r="F19"/>
  <c r="E19"/>
  <c r="D19"/>
  <c r="C19"/>
  <c r="B19"/>
  <c r="U7"/>
  <c r="U6"/>
  <c r="U5"/>
  <c r="U4"/>
  <c r="D19" i="28"/>
  <c r="D53" i="40"/>
  <c r="E52"/>
  <c r="E47"/>
  <c r="D47"/>
  <c r="E46"/>
  <c r="D46"/>
  <c r="E45"/>
  <c r="D45"/>
  <c r="E44"/>
  <c r="D44"/>
  <c r="E43"/>
  <c r="D43"/>
  <c r="E42"/>
  <c r="C42"/>
  <c r="B42"/>
  <c r="E41"/>
  <c r="D41"/>
  <c r="E40"/>
  <c r="D40"/>
  <c r="E39"/>
  <c r="D39"/>
  <c r="E38"/>
  <c r="D38"/>
  <c r="E37"/>
  <c r="D37"/>
  <c r="E36"/>
  <c r="D36"/>
  <c r="E35"/>
  <c r="D35"/>
  <c r="E34"/>
  <c r="D34"/>
  <c r="E33"/>
  <c r="D33"/>
  <c r="E32"/>
  <c r="D32"/>
  <c r="E31"/>
  <c r="D31"/>
  <c r="E30"/>
  <c r="D30"/>
  <c r="E29"/>
  <c r="C29"/>
  <c r="B29"/>
  <c r="E28"/>
  <c r="E16" s="1"/>
  <c r="D28"/>
  <c r="D16" s="1"/>
  <c r="E27"/>
  <c r="D27"/>
  <c r="E26"/>
  <c r="D26"/>
  <c r="E25"/>
  <c r="D25"/>
  <c r="E22"/>
  <c r="D22"/>
  <c r="E21"/>
  <c r="D21"/>
  <c r="E20"/>
  <c r="D20"/>
  <c r="E19"/>
  <c r="D19"/>
  <c r="E18"/>
  <c r="D18"/>
  <c r="E17"/>
  <c r="C16"/>
  <c r="B16"/>
  <c r="Q46" i="41"/>
  <c r="Q44"/>
  <c r="Q32" s="1"/>
  <c r="Q43"/>
  <c r="Q42"/>
  <c r="Q41"/>
  <c r="P41"/>
  <c r="Q40"/>
  <c r="P40"/>
  <c r="P39"/>
  <c r="Q39" s="1"/>
  <c r="P38"/>
  <c r="Q38" s="1"/>
  <c r="P37"/>
  <c r="Q37" s="1"/>
  <c r="Q36"/>
  <c r="P36"/>
  <c r="P35"/>
  <c r="Q35" s="1"/>
  <c r="Q34"/>
  <c r="P34"/>
  <c r="Q33"/>
  <c r="P33"/>
  <c r="P32"/>
  <c r="O32"/>
  <c r="N32"/>
  <c r="M32"/>
  <c r="L32"/>
  <c r="K32"/>
  <c r="J32"/>
  <c r="I32"/>
  <c r="H32"/>
  <c r="G32"/>
  <c r="F32"/>
  <c r="E32"/>
  <c r="D32"/>
  <c r="C32"/>
  <c r="B32"/>
  <c r="P31"/>
  <c r="Q31" s="1"/>
  <c r="Q19" s="1"/>
  <c r="P30"/>
  <c r="Q30" s="1"/>
  <c r="Q29"/>
  <c r="P29"/>
  <c r="Q28"/>
  <c r="P28"/>
  <c r="Q27"/>
  <c r="P27"/>
  <c r="P26"/>
  <c r="Q26" s="1"/>
  <c r="Q25"/>
  <c r="P25"/>
  <c r="Q24"/>
  <c r="P24"/>
  <c r="Q23"/>
  <c r="P23"/>
  <c r="P22"/>
  <c r="Q22" s="1"/>
  <c r="Q21"/>
  <c r="P21"/>
  <c r="Q20"/>
  <c r="P20"/>
  <c r="O19"/>
  <c r="N19"/>
  <c r="M19"/>
  <c r="L19"/>
  <c r="K19"/>
  <c r="J19"/>
  <c r="I19"/>
  <c r="H19"/>
  <c r="G19"/>
  <c r="F19"/>
  <c r="E19"/>
  <c r="D19"/>
  <c r="C19"/>
  <c r="B19"/>
  <c r="U19" i="45" l="1"/>
  <c r="P19" i="41"/>
  <c r="L47" i="7"/>
  <c r="G47"/>
  <c r="F47"/>
  <c r="E47"/>
  <c r="D47"/>
  <c r="C47"/>
  <c r="B47"/>
  <c r="AM47"/>
  <c r="AN47" s="1"/>
  <c r="O47"/>
  <c r="J52" i="6"/>
  <c r="M52"/>
  <c r="D52"/>
  <c r="G52"/>
  <c r="AO47" i="7" l="1"/>
  <c r="N52" i="6"/>
  <c r="K47" i="7"/>
  <c r="N39" i="64"/>
  <c r="M39"/>
  <c r="I39"/>
  <c r="F39"/>
  <c r="N38"/>
  <c r="M38"/>
  <c r="I38"/>
  <c r="F38"/>
  <c r="M37"/>
  <c r="I37"/>
  <c r="F37"/>
  <c r="R36"/>
  <c r="M36"/>
  <c r="I36"/>
  <c r="M35"/>
  <c r="I35"/>
  <c r="F35"/>
  <c r="R34"/>
  <c r="M34"/>
  <c r="I34"/>
  <c r="F34"/>
  <c r="N33"/>
  <c r="M33"/>
  <c r="I33"/>
  <c r="F33"/>
  <c r="N32"/>
  <c r="M32"/>
  <c r="I32"/>
  <c r="F32"/>
  <c r="R31"/>
  <c r="O31"/>
  <c r="N31"/>
  <c r="M31"/>
  <c r="I31"/>
  <c r="F31"/>
  <c r="N30"/>
  <c r="M30"/>
  <c r="I30"/>
  <c r="F30"/>
  <c r="N29"/>
  <c r="M29"/>
  <c r="I29"/>
  <c r="F29"/>
  <c r="N28"/>
  <c r="M28"/>
  <c r="I28"/>
  <c r="F28"/>
  <c r="N7"/>
  <c r="O7" s="1"/>
  <c r="M7"/>
  <c r="I7"/>
  <c r="F7"/>
  <c r="O38" l="1"/>
  <c r="R38" s="1"/>
  <c r="O30"/>
  <c r="R30" s="1"/>
  <c r="O32"/>
  <c r="R32" s="1"/>
  <c r="O35"/>
  <c r="R35" s="1"/>
  <c r="N27"/>
  <c r="O28"/>
  <c r="F27"/>
  <c r="M27"/>
  <c r="I27"/>
  <c r="O37"/>
  <c r="R37" s="1"/>
  <c r="O39"/>
  <c r="R39" s="1"/>
  <c r="O29"/>
  <c r="R29" s="1"/>
  <c r="O33"/>
  <c r="R33" s="1"/>
  <c r="V52" i="6"/>
  <c r="R28" i="64" l="1"/>
  <c r="R27" s="1"/>
  <c r="O27"/>
  <c r="S29" l="1"/>
  <c r="S30" s="1"/>
  <c r="S31" s="1"/>
  <c r="S32" s="1"/>
  <c r="S33" s="1"/>
  <c r="S34" s="1"/>
  <c r="S35" s="1"/>
  <c r="S36" s="1"/>
  <c r="S37" s="1"/>
  <c r="S38" s="1"/>
  <c r="S39" s="1"/>
  <c r="S27" s="1"/>
  <c r="I44" i="36"/>
  <c r="F44"/>
  <c r="S41" i="64" l="1"/>
  <c r="K44" i="36"/>
  <c r="J23" i="13"/>
  <c r="I23"/>
  <c r="G23"/>
  <c r="F23"/>
  <c r="D23"/>
  <c r="C23"/>
  <c r="BS32" i="59"/>
  <c r="BR32"/>
  <c r="BQ32"/>
  <c r="BP32"/>
  <c r="BO32"/>
  <c r="BN32"/>
  <c r="BM32"/>
  <c r="BL32"/>
  <c r="BK32"/>
  <c r="BJ32"/>
  <c r="BG32"/>
  <c r="BF32"/>
  <c r="BE32"/>
  <c r="BD32"/>
  <c r="BC32"/>
  <c r="BB32"/>
  <c r="BA32"/>
  <c r="AZ32"/>
  <c r="AY32"/>
  <c r="AW32"/>
  <c r="AV32"/>
  <c r="AU32"/>
  <c r="AT32"/>
  <c r="AS32"/>
  <c r="AR32"/>
  <c r="AQ32"/>
  <c r="AP32"/>
  <c r="AO32"/>
  <c r="AN32"/>
  <c r="AM32"/>
  <c r="AL32"/>
  <c r="AK32"/>
  <c r="AJ32"/>
  <c r="AI32"/>
  <c r="AH32"/>
  <c r="AG32"/>
  <c r="AF32"/>
  <c r="AE32"/>
  <c r="AD32"/>
  <c r="AC32"/>
  <c r="AB32"/>
  <c r="H32"/>
  <c r="X32"/>
  <c r="W32"/>
  <c r="V32"/>
  <c r="U32"/>
  <c r="T32"/>
  <c r="S32"/>
  <c r="R32"/>
  <c r="Q32"/>
  <c r="P32"/>
  <c r="O32"/>
  <c r="N32"/>
  <c r="M32"/>
  <c r="L32"/>
  <c r="K32"/>
  <c r="J32"/>
  <c r="I32"/>
  <c r="E32"/>
  <c r="D32"/>
  <c r="C32"/>
  <c r="O48" i="5" l="1"/>
  <c r="O36" s="1"/>
  <c r="L48"/>
  <c r="L36" s="1"/>
  <c r="I48"/>
  <c r="I36" s="1"/>
  <c r="E48"/>
  <c r="E36" s="1"/>
  <c r="CD34" i="1"/>
  <c r="CC34"/>
  <c r="CA34"/>
  <c r="BZ34"/>
  <c r="BY34"/>
  <c r="BS34"/>
  <c r="BR34"/>
  <c r="BQ34"/>
  <c r="BP34"/>
  <c r="BN34"/>
  <c r="BM34"/>
  <c r="BL34"/>
  <c r="BK34"/>
  <c r="BJ34"/>
  <c r="BH34"/>
  <c r="BG34"/>
  <c r="BF34"/>
  <c r="BE34"/>
  <c r="BD34"/>
  <c r="BB34"/>
  <c r="BA34"/>
  <c r="AW34"/>
  <c r="AV34"/>
  <c r="AU34"/>
  <c r="AT34"/>
  <c r="AS34"/>
  <c r="AR34"/>
  <c r="AK34"/>
  <c r="AJ34"/>
  <c r="AI34"/>
  <c r="AG34"/>
  <c r="AF34"/>
  <c r="AE34"/>
  <c r="AD34"/>
  <c r="AC34"/>
  <c r="AB34"/>
  <c r="AA34"/>
  <c r="Y34"/>
  <c r="V34"/>
  <c r="U34"/>
  <c r="R34"/>
  <c r="Q34"/>
  <c r="P34"/>
  <c r="O34"/>
  <c r="M34"/>
  <c r="K34"/>
  <c r="F34" i="4"/>
  <c r="E34"/>
  <c r="D34"/>
  <c r="C34"/>
  <c r="B34"/>
  <c r="H36" i="51"/>
  <c r="F36"/>
  <c r="E36"/>
  <c r="D36"/>
  <c r="C36"/>
  <c r="B36"/>
  <c r="P48" i="5" l="1"/>
  <c r="P36" s="1"/>
  <c r="J40" i="35"/>
  <c r="H40"/>
  <c r="G40"/>
  <c r="E40"/>
  <c r="D40"/>
  <c r="C40"/>
  <c r="B40"/>
  <c r="M36" i="3"/>
  <c r="K36"/>
  <c r="I36"/>
  <c r="H36"/>
  <c r="F36"/>
  <c r="E36"/>
  <c r="C36"/>
  <c r="B36"/>
  <c r="R48" i="5" l="1"/>
  <c r="R36" s="1"/>
  <c r="CE46" i="1"/>
  <c r="CB46"/>
  <c r="BX46"/>
  <c r="CE34" l="1"/>
  <c r="CB34"/>
  <c r="BX34"/>
  <c r="S48" i="5"/>
  <c r="S36" s="1"/>
  <c r="BT46" i="1"/>
  <c r="AX46"/>
  <c r="AM46"/>
  <c r="AN46"/>
  <c r="AO46"/>
  <c r="AL46"/>
  <c r="AH46"/>
  <c r="S46"/>
  <c r="L46"/>
  <c r="J48" i="3"/>
  <c r="J36" s="1"/>
  <c r="G48"/>
  <c r="D48"/>
  <c r="I52" i="35"/>
  <c r="I40" s="1"/>
  <c r="F52"/>
  <c r="F40" s="1"/>
  <c r="G46" i="4"/>
  <c r="G34" s="1"/>
  <c r="Y26" i="38"/>
  <c r="W26"/>
  <c r="B27" s="1"/>
  <c r="W25"/>
  <c r="V25"/>
  <c r="U25"/>
  <c r="T25"/>
  <c r="S25"/>
  <c r="R25"/>
  <c r="Q25"/>
  <c r="O25"/>
  <c r="N25"/>
  <c r="M25"/>
  <c r="L25"/>
  <c r="K25"/>
  <c r="J25"/>
  <c r="I25"/>
  <c r="G25"/>
  <c r="F25"/>
  <c r="E25"/>
  <c r="D25"/>
  <c r="C25"/>
  <c r="B25"/>
  <c r="Y24"/>
  <c r="W24"/>
  <c r="P25" s="1"/>
  <c r="W60" i="39"/>
  <c r="K61"/>
  <c r="I61"/>
  <c r="H61"/>
  <c r="F61"/>
  <c r="E61"/>
  <c r="D61"/>
  <c r="C61"/>
  <c r="B61"/>
  <c r="U60"/>
  <c r="Q60"/>
  <c r="L60"/>
  <c r="J60"/>
  <c r="G60"/>
  <c r="S50" i="38"/>
  <c r="K50"/>
  <c r="C50"/>
  <c r="W49"/>
  <c r="T50" s="1"/>
  <c r="E30" i="66"/>
  <c r="BA45" i="1"/>
  <c r="BA44"/>
  <c r="BA43"/>
  <c r="G36" i="3" l="1"/>
  <c r="D36"/>
  <c r="L48"/>
  <c r="AX34" i="1"/>
  <c r="BT34"/>
  <c r="AN34"/>
  <c r="S34"/>
  <c r="AM34"/>
  <c r="AO34"/>
  <c r="AH34"/>
  <c r="AL34"/>
  <c r="T46"/>
  <c r="BC46"/>
  <c r="L34"/>
  <c r="G36" i="51"/>
  <c r="AY46" i="1"/>
  <c r="K52" i="35"/>
  <c r="BV46" i="1"/>
  <c r="N46"/>
  <c r="H25" i="38"/>
  <c r="U50"/>
  <c r="B50"/>
  <c r="J50"/>
  <c r="R50"/>
  <c r="Y49"/>
  <c r="I50"/>
  <c r="Q50"/>
  <c r="H50"/>
  <c r="P50"/>
  <c r="G50"/>
  <c r="O50"/>
  <c r="W50"/>
  <c r="F50"/>
  <c r="N50"/>
  <c r="V50"/>
  <c r="E50"/>
  <c r="M50"/>
  <c r="D50"/>
  <c r="L50"/>
  <c r="AV43" i="1"/>
  <c r="K40" i="35" l="1"/>
  <c r="L36" i="3"/>
  <c r="N48"/>
  <c r="N34" i="1"/>
  <c r="BV34"/>
  <c r="T34"/>
  <c r="BC34"/>
  <c r="AY34"/>
  <c r="AP34"/>
  <c r="BW46"/>
  <c r="J36" i="51"/>
  <c r="I36"/>
  <c r="AZ46" i="1"/>
  <c r="W46"/>
  <c r="AV44"/>
  <c r="AV45"/>
  <c r="O48" i="3" l="1"/>
  <c r="O36" s="1"/>
  <c r="N36"/>
  <c r="BU34" i="1"/>
  <c r="BW34"/>
  <c r="W34"/>
  <c r="AZ34"/>
  <c r="X46"/>
  <c r="O33" i="2"/>
  <c r="M33"/>
  <c r="D33"/>
  <c r="B33"/>
  <c r="N33"/>
  <c r="L33"/>
  <c r="B20"/>
  <c r="X34" i="1" l="1"/>
  <c r="O47" i="5" l="1"/>
  <c r="I53" i="50" l="1"/>
  <c r="E53"/>
  <c r="I51" i="35"/>
  <c r="F51"/>
  <c r="K51" l="1"/>
  <c r="F43" i="36" l="1"/>
  <c r="K43" s="1"/>
  <c r="I43"/>
  <c r="L46" i="7" l="1"/>
  <c r="L45"/>
  <c r="G46"/>
  <c r="F46"/>
  <c r="E46"/>
  <c r="D46"/>
  <c r="C46"/>
  <c r="B46"/>
  <c r="AM46"/>
  <c r="O46"/>
  <c r="BF43" i="59"/>
  <c r="F43"/>
  <c r="G43"/>
  <c r="K46" i="7" l="1"/>
  <c r="AN46"/>
  <c r="AO46" s="1"/>
  <c r="L47" i="5" l="1"/>
  <c r="I47"/>
  <c r="E47"/>
  <c r="J54" i="33"/>
  <c r="J53"/>
  <c r="J52"/>
  <c r="J51"/>
  <c r="J50"/>
  <c r="J49"/>
  <c r="J48"/>
  <c r="J47"/>
  <c r="J46"/>
  <c r="J45"/>
  <c r="J55"/>
  <c r="P47" i="5" l="1"/>
  <c r="K55" i="33"/>
  <c r="R47" i="5" l="1"/>
  <c r="G47" i="51"/>
  <c r="I47" s="1"/>
  <c r="J47" s="1"/>
  <c r="G45" i="4"/>
  <c r="L47" i="3"/>
  <c r="J47"/>
  <c r="G47"/>
  <c r="D47"/>
  <c r="S47" i="5" l="1"/>
  <c r="N47" i="3"/>
  <c r="O47" l="1"/>
  <c r="CE45" i="1" l="1"/>
  <c r="CB45"/>
  <c r="BT45"/>
  <c r="BX45"/>
  <c r="AX45"/>
  <c r="AN45"/>
  <c r="AO45"/>
  <c r="AL45"/>
  <c r="AM45"/>
  <c r="AH45"/>
  <c r="S45"/>
  <c r="L45"/>
  <c r="BV45" l="1"/>
  <c r="AY45"/>
  <c r="T45"/>
  <c r="BC45"/>
  <c r="AP45"/>
  <c r="N45"/>
  <c r="AZ45" l="1"/>
  <c r="BU45"/>
  <c r="W45"/>
  <c r="BW45"/>
  <c r="X45" l="1"/>
  <c r="G45" i="7"/>
  <c r="F45"/>
  <c r="E45"/>
  <c r="D45"/>
  <c r="C45"/>
  <c r="U51" i="6"/>
  <c r="U50"/>
  <c r="U49"/>
  <c r="M49"/>
  <c r="M50"/>
  <c r="M51"/>
  <c r="J51"/>
  <c r="J44"/>
  <c r="J45"/>
  <c r="J46"/>
  <c r="J47"/>
  <c r="J48"/>
  <c r="J49"/>
  <c r="J50"/>
  <c r="J43"/>
  <c r="D51"/>
  <c r="D50"/>
  <c r="D49"/>
  <c r="D48"/>
  <c r="D47"/>
  <c r="D46"/>
  <c r="D45"/>
  <c r="D44"/>
  <c r="D43"/>
  <c r="G51"/>
  <c r="G44"/>
  <c r="G45"/>
  <c r="G46"/>
  <c r="G47"/>
  <c r="G48"/>
  <c r="G49"/>
  <c r="G50"/>
  <c r="G43"/>
  <c r="BF40" i="59"/>
  <c r="BF41"/>
  <c r="BF42"/>
  <c r="J42" i="6" l="1"/>
  <c r="G42"/>
  <c r="N51"/>
  <c r="N49"/>
  <c r="N50"/>
  <c r="V51" l="1"/>
  <c r="K45" i="7"/>
  <c r="AM45"/>
  <c r="O45"/>
  <c r="AN45" l="1"/>
  <c r="AO45" s="1"/>
  <c r="K54" i="33" l="1"/>
  <c r="I42" i="36" l="1"/>
  <c r="K42" s="1"/>
  <c r="F42"/>
  <c r="F42" i="59" l="1"/>
  <c r="G42"/>
  <c r="O46" i="5"/>
  <c r="L46"/>
  <c r="I46"/>
  <c r="E46"/>
  <c r="G46" i="51"/>
  <c r="G44" i="4"/>
  <c r="I50" i="35"/>
  <c r="F50"/>
  <c r="J46" i="3"/>
  <c r="G46"/>
  <c r="D46"/>
  <c r="CE44" i="1"/>
  <c r="CB44"/>
  <c r="BT44"/>
  <c r="BX44"/>
  <c r="BH44"/>
  <c r="AX44"/>
  <c r="AO44"/>
  <c r="AL44"/>
  <c r="AM44"/>
  <c r="AN44"/>
  <c r="AH44"/>
  <c r="S44"/>
  <c r="L44"/>
  <c r="I42" i="2"/>
  <c r="I41"/>
  <c r="I40"/>
  <c r="T44" i="1" l="1"/>
  <c r="N44"/>
  <c r="AY44"/>
  <c r="AP44"/>
  <c r="BW44" s="1"/>
  <c r="L46" i="3"/>
  <c r="N46" s="1"/>
  <c r="P46" i="5"/>
  <c r="K50" i="35"/>
  <c r="I46" i="51"/>
  <c r="BV44" i="1"/>
  <c r="BC44"/>
  <c r="BT43"/>
  <c r="O45" i="5"/>
  <c r="P45" s="1"/>
  <c r="L45"/>
  <c r="I45"/>
  <c r="E45"/>
  <c r="S45" l="1"/>
  <c r="W44" i="1"/>
  <c r="AZ44"/>
  <c r="BU44"/>
  <c r="R46" i="5"/>
  <c r="S46" s="1"/>
  <c r="J46" i="51"/>
  <c r="O46" i="3"/>
  <c r="R45" i="5"/>
  <c r="X44" i="1" l="1"/>
  <c r="I49" i="35"/>
  <c r="F49"/>
  <c r="K49" l="1"/>
  <c r="CE43" i="1" l="1"/>
  <c r="CB43"/>
  <c r="BV43"/>
  <c r="BX43"/>
  <c r="AX43" l="1"/>
  <c r="AM43"/>
  <c r="AN43"/>
  <c r="AO43"/>
  <c r="AL43"/>
  <c r="AH43"/>
  <c r="S43"/>
  <c r="L43"/>
  <c r="J45" i="3"/>
  <c r="G45"/>
  <c r="D45"/>
  <c r="G44" i="51"/>
  <c r="I44" s="1"/>
  <c r="J44" s="1"/>
  <c r="G45"/>
  <c r="I45" s="1"/>
  <c r="J45" s="1"/>
  <c r="G43" i="4"/>
  <c r="AY43" i="1" l="1"/>
  <c r="N43"/>
  <c r="T43"/>
  <c r="AP43"/>
  <c r="BC43"/>
  <c r="L45" i="3"/>
  <c r="N45" l="1"/>
  <c r="W43" i="1"/>
  <c r="BU43"/>
  <c r="BW43"/>
  <c r="I41" i="36"/>
  <c r="F41"/>
  <c r="O45" i="3" l="1"/>
  <c r="X43" i="1"/>
  <c r="K41" i="36"/>
  <c r="F41" i="59"/>
  <c r="G41"/>
  <c r="AM44" i="7" l="1"/>
  <c r="O44"/>
  <c r="L44"/>
  <c r="G44"/>
  <c r="F44"/>
  <c r="E44"/>
  <c r="D44"/>
  <c r="C44"/>
  <c r="B44"/>
  <c r="AN44" l="1"/>
  <c r="AO44" s="1"/>
  <c r="K44"/>
  <c r="V50" i="6"/>
  <c r="K53" i="33"/>
  <c r="K20" i="10" l="1"/>
  <c r="C4" i="63"/>
  <c r="D4"/>
  <c r="E4"/>
  <c r="F4"/>
  <c r="G4"/>
  <c r="H4"/>
  <c r="I4"/>
  <c r="I39" i="2" l="1"/>
  <c r="BA41" i="1" l="1"/>
  <c r="AV41"/>
  <c r="AV42" l="1"/>
  <c r="BA42" l="1"/>
  <c r="AM43" i="7" l="1"/>
  <c r="O43"/>
  <c r="L43"/>
  <c r="G43"/>
  <c r="F43"/>
  <c r="E43"/>
  <c r="D43"/>
  <c r="C43"/>
  <c r="B43"/>
  <c r="AM42"/>
  <c r="O42"/>
  <c r="L42"/>
  <c r="G42"/>
  <c r="F42"/>
  <c r="E42"/>
  <c r="D42"/>
  <c r="C42"/>
  <c r="B42"/>
  <c r="AM41"/>
  <c r="O41"/>
  <c r="L41"/>
  <c r="G41"/>
  <c r="F41"/>
  <c r="E41"/>
  <c r="D41"/>
  <c r="C41"/>
  <c r="B41"/>
  <c r="AM40"/>
  <c r="AN40" s="1"/>
  <c r="O40"/>
  <c r="L40"/>
  <c r="G40"/>
  <c r="F40"/>
  <c r="E40"/>
  <c r="D40"/>
  <c r="C40"/>
  <c r="B40"/>
  <c r="AM39"/>
  <c r="O39"/>
  <c r="K39"/>
  <c r="AM38"/>
  <c r="O38"/>
  <c r="L38"/>
  <c r="G38"/>
  <c r="F38"/>
  <c r="E38"/>
  <c r="D38"/>
  <c r="C38"/>
  <c r="B38"/>
  <c r="AM37"/>
  <c r="O37"/>
  <c r="L37"/>
  <c r="G37"/>
  <c r="F37"/>
  <c r="E37"/>
  <c r="C37"/>
  <c r="B37"/>
  <c r="AM36"/>
  <c r="O36"/>
  <c r="L36"/>
  <c r="G36"/>
  <c r="F36"/>
  <c r="E36"/>
  <c r="D36"/>
  <c r="C36"/>
  <c r="B36"/>
  <c r="AM34"/>
  <c r="O34"/>
  <c r="L34"/>
  <c r="G34"/>
  <c r="F34"/>
  <c r="E34"/>
  <c r="D34"/>
  <c r="C34"/>
  <c r="B34"/>
  <c r="AM33"/>
  <c r="AN33" s="1"/>
  <c r="O33"/>
  <c r="L33"/>
  <c r="G33"/>
  <c r="F33"/>
  <c r="E33"/>
  <c r="D33"/>
  <c r="C33"/>
  <c r="B33"/>
  <c r="AM32"/>
  <c r="O32"/>
  <c r="L32"/>
  <c r="G32"/>
  <c r="F32"/>
  <c r="E32"/>
  <c r="D32"/>
  <c r="C32"/>
  <c r="B32"/>
  <c r="AM31"/>
  <c r="O31"/>
  <c r="L31"/>
  <c r="G31"/>
  <c r="F31"/>
  <c r="E31"/>
  <c r="D31"/>
  <c r="C31"/>
  <c r="B31"/>
  <c r="AM30"/>
  <c r="O30"/>
  <c r="L30"/>
  <c r="G30"/>
  <c r="F30"/>
  <c r="E30"/>
  <c r="D30"/>
  <c r="C30"/>
  <c r="B30"/>
  <c r="AM29"/>
  <c r="O29"/>
  <c r="L29"/>
  <c r="G29"/>
  <c r="F29"/>
  <c r="E29"/>
  <c r="D29"/>
  <c r="C29"/>
  <c r="B29"/>
  <c r="AM28"/>
  <c r="O28"/>
  <c r="L28"/>
  <c r="G28"/>
  <c r="F28"/>
  <c r="E28"/>
  <c r="D28"/>
  <c r="C28"/>
  <c r="B28"/>
  <c r="AM27"/>
  <c r="O27"/>
  <c r="L27"/>
  <c r="G27"/>
  <c r="F27"/>
  <c r="E27"/>
  <c r="D27"/>
  <c r="C27"/>
  <c r="B27"/>
  <c r="AM26"/>
  <c r="O26"/>
  <c r="L26"/>
  <c r="G26"/>
  <c r="F26"/>
  <c r="E26"/>
  <c r="D26"/>
  <c r="C26"/>
  <c r="B26"/>
  <c r="AM25"/>
  <c r="O25"/>
  <c r="L25"/>
  <c r="G25"/>
  <c r="F25"/>
  <c r="E25"/>
  <c r="D25"/>
  <c r="C25"/>
  <c r="B25"/>
  <c r="AM24"/>
  <c r="O24"/>
  <c r="L24"/>
  <c r="G24"/>
  <c r="F24"/>
  <c r="E24"/>
  <c r="D24"/>
  <c r="C24"/>
  <c r="B24"/>
  <c r="AM23"/>
  <c r="O23"/>
  <c r="L23"/>
  <c r="G23"/>
  <c r="F23"/>
  <c r="E23"/>
  <c r="D23"/>
  <c r="C23"/>
  <c r="B23"/>
  <c r="AL22"/>
  <c r="AK22"/>
  <c r="AJ22"/>
  <c r="AI22"/>
  <c r="AH22"/>
  <c r="AG22"/>
  <c r="AF22"/>
  <c r="AE22"/>
  <c r="AD22"/>
  <c r="AC22"/>
  <c r="AB22"/>
  <c r="AA22"/>
  <c r="Z22"/>
  <c r="Y22"/>
  <c r="X22"/>
  <c r="W22"/>
  <c r="T22"/>
  <c r="S22"/>
  <c r="R22"/>
  <c r="Q22"/>
  <c r="P22"/>
  <c r="N22"/>
  <c r="M22"/>
  <c r="J22"/>
  <c r="I22"/>
  <c r="H22"/>
  <c r="AM21"/>
  <c r="O21"/>
  <c r="L21"/>
  <c r="G21"/>
  <c r="F21"/>
  <c r="E21"/>
  <c r="D21"/>
  <c r="C21"/>
  <c r="B21"/>
  <c r="AM20"/>
  <c r="O20"/>
  <c r="L20"/>
  <c r="G20"/>
  <c r="F20"/>
  <c r="E20"/>
  <c r="D20"/>
  <c r="C20"/>
  <c r="B20"/>
  <c r="AM19"/>
  <c r="O19"/>
  <c r="L19"/>
  <c r="G19"/>
  <c r="F19"/>
  <c r="E19"/>
  <c r="D19"/>
  <c r="C19"/>
  <c r="B19"/>
  <c r="AM18"/>
  <c r="O18"/>
  <c r="L18"/>
  <c r="G18"/>
  <c r="F18"/>
  <c r="E18"/>
  <c r="C18"/>
  <c r="B18"/>
  <c r="AM17"/>
  <c r="O17"/>
  <c r="L17"/>
  <c r="G17"/>
  <c r="F17"/>
  <c r="E17"/>
  <c r="C17"/>
  <c r="AM16"/>
  <c r="O16"/>
  <c r="L16"/>
  <c r="G16"/>
  <c r="F16"/>
  <c r="E16"/>
  <c r="D16"/>
  <c r="C16"/>
  <c r="B16"/>
  <c r="AM15"/>
  <c r="O15"/>
  <c r="L15"/>
  <c r="G15"/>
  <c r="F15"/>
  <c r="E15"/>
  <c r="D15"/>
  <c r="C15"/>
  <c r="B15"/>
  <c r="AM14"/>
  <c r="O14"/>
  <c r="L14"/>
  <c r="G14"/>
  <c r="F14"/>
  <c r="E14"/>
  <c r="D14"/>
  <c r="C14"/>
  <c r="B14"/>
  <c r="AM13"/>
  <c r="O13"/>
  <c r="L13"/>
  <c r="G13"/>
  <c r="F13"/>
  <c r="E13"/>
  <c r="D13"/>
  <c r="C13"/>
  <c r="B13"/>
  <c r="AM12"/>
  <c r="O12"/>
  <c r="L12"/>
  <c r="G12"/>
  <c r="F12"/>
  <c r="E12"/>
  <c r="D12"/>
  <c r="C12"/>
  <c r="B12"/>
  <c r="AM11"/>
  <c r="O11"/>
  <c r="L11"/>
  <c r="G11"/>
  <c r="F11"/>
  <c r="E11"/>
  <c r="D11"/>
  <c r="C11"/>
  <c r="B11"/>
  <c r="AM10"/>
  <c r="O10"/>
  <c r="L10"/>
  <c r="G10"/>
  <c r="F10"/>
  <c r="E10"/>
  <c r="D10"/>
  <c r="C10"/>
  <c r="B10"/>
  <c r="AL9"/>
  <c r="AK9"/>
  <c r="AJ9"/>
  <c r="AI9"/>
  <c r="AH9"/>
  <c r="AG9"/>
  <c r="AF9"/>
  <c r="AE9"/>
  <c r="AD9"/>
  <c r="AC9"/>
  <c r="AB9"/>
  <c r="AA9"/>
  <c r="Z9"/>
  <c r="Y9"/>
  <c r="X9"/>
  <c r="W9"/>
  <c r="T9"/>
  <c r="S9"/>
  <c r="R9"/>
  <c r="Q9"/>
  <c r="P9"/>
  <c r="N9"/>
  <c r="M9"/>
  <c r="J9"/>
  <c r="I9"/>
  <c r="H9"/>
  <c r="V49" i="6"/>
  <c r="U48"/>
  <c r="M48"/>
  <c r="N48" s="1"/>
  <c r="U47"/>
  <c r="M47"/>
  <c r="N47" s="1"/>
  <c r="U46"/>
  <c r="M46"/>
  <c r="N46" s="1"/>
  <c r="U45"/>
  <c r="N45"/>
  <c r="M45"/>
  <c r="U44"/>
  <c r="M44"/>
  <c r="N44" s="1"/>
  <c r="U43"/>
  <c r="M43"/>
  <c r="U41"/>
  <c r="M41"/>
  <c r="J41"/>
  <c r="G41"/>
  <c r="D41"/>
  <c r="U40"/>
  <c r="M40"/>
  <c r="J40"/>
  <c r="G40"/>
  <c r="D40"/>
  <c r="U39"/>
  <c r="M39"/>
  <c r="J39"/>
  <c r="G39"/>
  <c r="D39"/>
  <c r="U38"/>
  <c r="M38"/>
  <c r="J38"/>
  <c r="G38"/>
  <c r="D38"/>
  <c r="T37"/>
  <c r="S37"/>
  <c r="R37"/>
  <c r="Q37"/>
  <c r="L37"/>
  <c r="K37"/>
  <c r="I37"/>
  <c r="H37"/>
  <c r="F37"/>
  <c r="E37"/>
  <c r="C37"/>
  <c r="B37"/>
  <c r="U36"/>
  <c r="M36"/>
  <c r="J36"/>
  <c r="G36"/>
  <c r="D36"/>
  <c r="U35"/>
  <c r="M35"/>
  <c r="J35"/>
  <c r="G35"/>
  <c r="D35"/>
  <c r="U34"/>
  <c r="M34"/>
  <c r="J34"/>
  <c r="G34"/>
  <c r="D34"/>
  <c r="U33"/>
  <c r="M33"/>
  <c r="J33"/>
  <c r="G33"/>
  <c r="D33"/>
  <c r="T32"/>
  <c r="S32"/>
  <c r="R32"/>
  <c r="Q32"/>
  <c r="P32"/>
  <c r="L32"/>
  <c r="K32"/>
  <c r="I32"/>
  <c r="H32"/>
  <c r="F32"/>
  <c r="E32"/>
  <c r="C32"/>
  <c r="B32"/>
  <c r="U31"/>
  <c r="M31"/>
  <c r="J31"/>
  <c r="G31"/>
  <c r="D31"/>
  <c r="U30"/>
  <c r="M30"/>
  <c r="J30"/>
  <c r="G30"/>
  <c r="D30"/>
  <c r="U29"/>
  <c r="M29"/>
  <c r="J29"/>
  <c r="G29"/>
  <c r="D29"/>
  <c r="U28"/>
  <c r="M28"/>
  <c r="J28"/>
  <c r="G28"/>
  <c r="D28"/>
  <c r="T27"/>
  <c r="S27"/>
  <c r="R27"/>
  <c r="Q27"/>
  <c r="P27"/>
  <c r="L27"/>
  <c r="K27"/>
  <c r="I27"/>
  <c r="H27"/>
  <c r="F27"/>
  <c r="E27"/>
  <c r="C27"/>
  <c r="B27"/>
  <c r="U26"/>
  <c r="M26"/>
  <c r="J26"/>
  <c r="G26"/>
  <c r="D26"/>
  <c r="U25"/>
  <c r="M25"/>
  <c r="J25"/>
  <c r="G25"/>
  <c r="D25"/>
  <c r="U24"/>
  <c r="M24"/>
  <c r="J24"/>
  <c r="G24"/>
  <c r="D24"/>
  <c r="U23"/>
  <c r="M23"/>
  <c r="J23"/>
  <c r="G23"/>
  <c r="D23"/>
  <c r="T22"/>
  <c r="S22"/>
  <c r="R22"/>
  <c r="Q22"/>
  <c r="P22"/>
  <c r="L22"/>
  <c r="K22"/>
  <c r="I22"/>
  <c r="H22"/>
  <c r="F22"/>
  <c r="E22"/>
  <c r="C22"/>
  <c r="B22"/>
  <c r="U21"/>
  <c r="M21"/>
  <c r="J21"/>
  <c r="G21"/>
  <c r="D21"/>
  <c r="U20"/>
  <c r="M20"/>
  <c r="J20"/>
  <c r="G20"/>
  <c r="D20"/>
  <c r="U19"/>
  <c r="M19"/>
  <c r="J19"/>
  <c r="G19"/>
  <c r="D19"/>
  <c r="U18"/>
  <c r="M18"/>
  <c r="J18"/>
  <c r="G18"/>
  <c r="D18"/>
  <c r="T17"/>
  <c r="S17"/>
  <c r="R17"/>
  <c r="Q17"/>
  <c r="P17"/>
  <c r="L17"/>
  <c r="K17"/>
  <c r="I17"/>
  <c r="H17"/>
  <c r="F17"/>
  <c r="E17"/>
  <c r="C17"/>
  <c r="B17"/>
  <c r="U6"/>
  <c r="V6" s="1"/>
  <c r="AM35" i="7" l="1"/>
  <c r="L35"/>
  <c r="G35"/>
  <c r="F35"/>
  <c r="E35"/>
  <c r="D35"/>
  <c r="C35"/>
  <c r="O35"/>
  <c r="B35"/>
  <c r="N43" i="6"/>
  <c r="N42" s="1"/>
  <c r="M42"/>
  <c r="V47"/>
  <c r="M32"/>
  <c r="N33"/>
  <c r="V33" s="1"/>
  <c r="M17"/>
  <c r="U17"/>
  <c r="U32"/>
  <c r="G17"/>
  <c r="V46"/>
  <c r="N34"/>
  <c r="V34" s="1"/>
  <c r="U37"/>
  <c r="M37"/>
  <c r="N21"/>
  <c r="V21" s="1"/>
  <c r="D27"/>
  <c r="M27"/>
  <c r="N24"/>
  <c r="V24" s="1"/>
  <c r="U27"/>
  <c r="U22"/>
  <c r="M22"/>
  <c r="AN37" i="7"/>
  <c r="AO37" s="1"/>
  <c r="N26" i="6"/>
  <c r="V26" s="1"/>
  <c r="N18"/>
  <c r="V18" s="1"/>
  <c r="N23"/>
  <c r="V23" s="1"/>
  <c r="N31"/>
  <c r="V31" s="1"/>
  <c r="N39"/>
  <c r="V39" s="1"/>
  <c r="N28"/>
  <c r="V28" s="1"/>
  <c r="N36"/>
  <c r="V36" s="1"/>
  <c r="N41"/>
  <c r="V41" s="1"/>
  <c r="N20"/>
  <c r="V20" s="1"/>
  <c r="G22"/>
  <c r="N38"/>
  <c r="N25"/>
  <c r="V25" s="1"/>
  <c r="G27"/>
  <c r="K30" i="7"/>
  <c r="N30" i="6"/>
  <c r="V30" s="1"/>
  <c r="G32"/>
  <c r="N35"/>
  <c r="V35" s="1"/>
  <c r="G37"/>
  <c r="N40"/>
  <c r="V40" s="1"/>
  <c r="N19"/>
  <c r="V19" s="1"/>
  <c r="V44"/>
  <c r="V48"/>
  <c r="V45"/>
  <c r="AN30" i="7"/>
  <c r="AO30" s="1"/>
  <c r="AN21"/>
  <c r="AO21" s="1"/>
  <c r="G22"/>
  <c r="AN42"/>
  <c r="D22"/>
  <c r="E9"/>
  <c r="K13"/>
  <c r="K15"/>
  <c r="B22"/>
  <c r="O22"/>
  <c r="B9"/>
  <c r="L9"/>
  <c r="AN23"/>
  <c r="AN38"/>
  <c r="AO38" s="1"/>
  <c r="D9"/>
  <c r="C9"/>
  <c r="AM22"/>
  <c r="AN41"/>
  <c r="AO41" s="1"/>
  <c r="AN14"/>
  <c r="AO14" s="1"/>
  <c r="K11"/>
  <c r="AN12"/>
  <c r="AO12" s="1"/>
  <c r="AN25"/>
  <c r="AO25" s="1"/>
  <c r="AN43"/>
  <c r="AO43" s="1"/>
  <c r="K17"/>
  <c r="O9"/>
  <c r="AN39"/>
  <c r="AO39" s="1"/>
  <c r="AN18"/>
  <c r="AO18" s="1"/>
  <c r="AN16"/>
  <c r="AO16" s="1"/>
  <c r="AN19"/>
  <c r="AO19" s="1"/>
  <c r="AN20"/>
  <c r="AO20" s="1"/>
  <c r="K18"/>
  <c r="K24"/>
  <c r="K32"/>
  <c r="AN11"/>
  <c r="AO11" s="1"/>
  <c r="AN15"/>
  <c r="AO15" s="1"/>
  <c r="G9"/>
  <c r="AN29"/>
  <c r="AO29" s="1"/>
  <c r="K38"/>
  <c r="AN10"/>
  <c r="AO10" s="1"/>
  <c r="K43"/>
  <c r="F22"/>
  <c r="E22"/>
  <c r="AN27"/>
  <c r="AO27" s="1"/>
  <c r="AN28"/>
  <c r="AO28" s="1"/>
  <c r="AN36"/>
  <c r="K20"/>
  <c r="K28"/>
  <c r="AO42"/>
  <c r="F9"/>
  <c r="AN13"/>
  <c r="AO13" s="1"/>
  <c r="C22"/>
  <c r="AN26"/>
  <c r="AO26" s="1"/>
  <c r="AN34"/>
  <c r="AO34" s="1"/>
  <c r="K37"/>
  <c r="K41"/>
  <c r="K26"/>
  <c r="K34"/>
  <c r="AN17"/>
  <c r="AO17" s="1"/>
  <c r="AN24"/>
  <c r="AO24" s="1"/>
  <c r="AN31"/>
  <c r="AO31" s="1"/>
  <c r="AN32"/>
  <c r="AO32" s="1"/>
  <c r="AO40"/>
  <c r="AO33"/>
  <c r="K23"/>
  <c r="K25"/>
  <c r="K27"/>
  <c r="K29"/>
  <c r="K31"/>
  <c r="K33"/>
  <c r="K36"/>
  <c r="K35" s="1"/>
  <c r="K40"/>
  <c r="K42"/>
  <c r="K19"/>
  <c r="K21"/>
  <c r="L22"/>
  <c r="K10"/>
  <c r="K12"/>
  <c r="K14"/>
  <c r="K16"/>
  <c r="AM9"/>
  <c r="V38" i="6"/>
  <c r="D22"/>
  <c r="D32"/>
  <c r="D37"/>
  <c r="D17"/>
  <c r="J17"/>
  <c r="J22"/>
  <c r="J27"/>
  <c r="J32"/>
  <c r="J37"/>
  <c r="N29"/>
  <c r="V29" s="1"/>
  <c r="AO36" i="7" l="1"/>
  <c r="AO35" s="1"/>
  <c r="AN35"/>
  <c r="AO23"/>
  <c r="AO22" s="1"/>
  <c r="AN22"/>
  <c r="V43" i="6"/>
  <c r="V42" s="1"/>
  <c r="V32"/>
  <c r="N32"/>
  <c r="V27"/>
  <c r="V17"/>
  <c r="N37"/>
  <c r="V37"/>
  <c r="V22"/>
  <c r="N22"/>
  <c r="N17"/>
  <c r="AO9" i="7"/>
  <c r="K22"/>
  <c r="AN9"/>
  <c r="K9"/>
  <c r="N27" i="6"/>
  <c r="I52" i="50" l="1"/>
  <c r="E52"/>
  <c r="F40" i="59" l="1"/>
  <c r="K52" i="33" l="1"/>
  <c r="I48" i="35"/>
  <c r="K48" s="1"/>
  <c r="F48"/>
  <c r="I40" i="36" l="1"/>
  <c r="F40"/>
  <c r="K40" l="1"/>
  <c r="G29" i="4" l="1"/>
  <c r="G38" i="51"/>
  <c r="I38" s="1"/>
  <c r="J38" s="1"/>
  <c r="O41" i="5" l="1"/>
  <c r="O42"/>
  <c r="O43"/>
  <c r="O44"/>
  <c r="E43" l="1"/>
  <c r="G40" i="59" l="1"/>
  <c r="E44" i="5" l="1"/>
  <c r="I44"/>
  <c r="L44"/>
  <c r="G42" i="4"/>
  <c r="J44" i="3"/>
  <c r="G44"/>
  <c r="D44"/>
  <c r="CE42" i="1"/>
  <c r="CB42"/>
  <c r="BX42"/>
  <c r="BT42"/>
  <c r="BH42"/>
  <c r="AX42"/>
  <c r="AO42"/>
  <c r="AL42"/>
  <c r="AM42"/>
  <c r="AN42"/>
  <c r="AH42"/>
  <c r="S42"/>
  <c r="L42"/>
  <c r="N42" s="1"/>
  <c r="W42" s="1"/>
  <c r="X42" s="1"/>
  <c r="K59" i="39"/>
  <c r="I59"/>
  <c r="H59"/>
  <c r="F59"/>
  <c r="E59"/>
  <c r="D59"/>
  <c r="C59"/>
  <c r="B59"/>
  <c r="W58"/>
  <c r="U58"/>
  <c r="Q58"/>
  <c r="L58"/>
  <c r="J58"/>
  <c r="G58"/>
  <c r="W47" i="38"/>
  <c r="U48" s="1"/>
  <c r="U45"/>
  <c r="W45" s="1"/>
  <c r="U43"/>
  <c r="U41"/>
  <c r="U39"/>
  <c r="U37"/>
  <c r="W37" s="1"/>
  <c r="T38" s="1"/>
  <c r="U35"/>
  <c r="U33"/>
  <c r="W33" s="1"/>
  <c r="U31"/>
  <c r="W31" s="1"/>
  <c r="U29"/>
  <c r="W29" s="1"/>
  <c r="Q27"/>
  <c r="W22"/>
  <c r="Q23" s="1"/>
  <c r="U20"/>
  <c r="W20" s="1"/>
  <c r="U18"/>
  <c r="U16"/>
  <c r="U14"/>
  <c r="W14" s="1"/>
  <c r="T15" s="1"/>
  <c r="U12"/>
  <c r="U10"/>
  <c r="W10" s="1"/>
  <c r="U8"/>
  <c r="W8" s="1"/>
  <c r="U6"/>
  <c r="W6" s="1"/>
  <c r="L44" i="3" l="1"/>
  <c r="F23" i="38"/>
  <c r="E23"/>
  <c r="Q21"/>
  <c r="D21"/>
  <c r="F21"/>
  <c r="E21"/>
  <c r="K21"/>
  <c r="L21"/>
  <c r="C21"/>
  <c r="V34"/>
  <c r="R34"/>
  <c r="J34"/>
  <c r="W32"/>
  <c r="Y31"/>
  <c r="S32"/>
  <c r="V11"/>
  <c r="R11"/>
  <c r="B11"/>
  <c r="C11"/>
  <c r="I11"/>
  <c r="J11"/>
  <c r="K11"/>
  <c r="W9"/>
  <c r="Y8"/>
  <c r="D23"/>
  <c r="F27"/>
  <c r="W43"/>
  <c r="J44" s="1"/>
  <c r="C48"/>
  <c r="C23"/>
  <c r="E27"/>
  <c r="B48"/>
  <c r="U21"/>
  <c r="D27"/>
  <c r="Y47"/>
  <c r="P48"/>
  <c r="D48"/>
  <c r="C27"/>
  <c r="T48"/>
  <c r="S48"/>
  <c r="K23"/>
  <c r="R48"/>
  <c r="Q48"/>
  <c r="E48"/>
  <c r="BC42" i="1"/>
  <c r="R32" i="38"/>
  <c r="N32"/>
  <c r="R9"/>
  <c r="Q9"/>
  <c r="Q32"/>
  <c r="O48"/>
  <c r="J32"/>
  <c r="S9"/>
  <c r="U38"/>
  <c r="K9"/>
  <c r="V23"/>
  <c r="I9"/>
  <c r="T23"/>
  <c r="S27"/>
  <c r="I32"/>
  <c r="B34"/>
  <c r="L48"/>
  <c r="N9"/>
  <c r="L9"/>
  <c r="J9"/>
  <c r="S23"/>
  <c r="F32"/>
  <c r="K48"/>
  <c r="U32"/>
  <c r="V27"/>
  <c r="K32"/>
  <c r="U23"/>
  <c r="M48"/>
  <c r="Y10"/>
  <c r="S21"/>
  <c r="D32"/>
  <c r="J48"/>
  <c r="U27"/>
  <c r="V21"/>
  <c r="T21"/>
  <c r="N27"/>
  <c r="D9"/>
  <c r="N23"/>
  <c r="C9"/>
  <c r="V9"/>
  <c r="N21"/>
  <c r="M23"/>
  <c r="L27"/>
  <c r="C32"/>
  <c r="V32"/>
  <c r="I48"/>
  <c r="U9"/>
  <c r="L32"/>
  <c r="T27"/>
  <c r="F9"/>
  <c r="M27"/>
  <c r="B9"/>
  <c r="T9"/>
  <c r="U15"/>
  <c r="M21"/>
  <c r="L23"/>
  <c r="K27"/>
  <c r="B32"/>
  <c r="T32"/>
  <c r="G48"/>
  <c r="W48"/>
  <c r="BV42" i="1"/>
  <c r="AY42"/>
  <c r="AP42"/>
  <c r="BU42" s="1"/>
  <c r="T42"/>
  <c r="P44" i="5"/>
  <c r="P46" i="38"/>
  <c r="H46"/>
  <c r="Q46"/>
  <c r="I46"/>
  <c r="Y45"/>
  <c r="R46"/>
  <c r="J46"/>
  <c r="B46"/>
  <c r="T46"/>
  <c r="S46"/>
  <c r="K46"/>
  <c r="C46"/>
  <c r="L46"/>
  <c r="M46"/>
  <c r="E46"/>
  <c r="D46"/>
  <c r="V46"/>
  <c r="N46"/>
  <c r="F46"/>
  <c r="W46"/>
  <c r="O46"/>
  <c r="G46"/>
  <c r="P7"/>
  <c r="H7"/>
  <c r="I7"/>
  <c r="J7"/>
  <c r="Q7"/>
  <c r="Y6"/>
  <c r="B7"/>
  <c r="T7"/>
  <c r="R7"/>
  <c r="L7"/>
  <c r="S7"/>
  <c r="K7"/>
  <c r="C7"/>
  <c r="U7"/>
  <c r="M7"/>
  <c r="E7"/>
  <c r="V7"/>
  <c r="N7"/>
  <c r="F7"/>
  <c r="W7"/>
  <c r="O7"/>
  <c r="G7"/>
  <c r="D7"/>
  <c r="P30"/>
  <c r="H30"/>
  <c r="I30"/>
  <c r="Y29"/>
  <c r="L30"/>
  <c r="Q30"/>
  <c r="T30"/>
  <c r="R30"/>
  <c r="J30"/>
  <c r="B30"/>
  <c r="D30"/>
  <c r="S30"/>
  <c r="K30"/>
  <c r="C30"/>
  <c r="U30"/>
  <c r="M30"/>
  <c r="E30"/>
  <c r="V30"/>
  <c r="N30"/>
  <c r="F30"/>
  <c r="W30"/>
  <c r="O30"/>
  <c r="G30"/>
  <c r="E11"/>
  <c r="M11"/>
  <c r="U11"/>
  <c r="C15"/>
  <c r="K15"/>
  <c r="S15"/>
  <c r="H21"/>
  <c r="P21"/>
  <c r="H23"/>
  <c r="P23"/>
  <c r="H27"/>
  <c r="P27"/>
  <c r="E34"/>
  <c r="M34"/>
  <c r="U34"/>
  <c r="C38"/>
  <c r="K38"/>
  <c r="S38"/>
  <c r="E9"/>
  <c r="M9"/>
  <c r="D11"/>
  <c r="L11"/>
  <c r="T11"/>
  <c r="B15"/>
  <c r="J15"/>
  <c r="R15"/>
  <c r="W18"/>
  <c r="G21"/>
  <c r="O21"/>
  <c r="W21"/>
  <c r="G23"/>
  <c r="O23"/>
  <c r="W23"/>
  <c r="G27"/>
  <c r="O27"/>
  <c r="W27"/>
  <c r="E32"/>
  <c r="M32"/>
  <c r="D34"/>
  <c r="L34"/>
  <c r="T34"/>
  <c r="B38"/>
  <c r="J38"/>
  <c r="R38"/>
  <c r="W41"/>
  <c r="U42" s="1"/>
  <c r="G44"/>
  <c r="F48"/>
  <c r="N48"/>
  <c r="V48"/>
  <c r="S11"/>
  <c r="Y14"/>
  <c r="I15"/>
  <c r="Q15"/>
  <c r="W16"/>
  <c r="U17" s="1"/>
  <c r="C34"/>
  <c r="K34"/>
  <c r="S34"/>
  <c r="Y37"/>
  <c r="I38"/>
  <c r="Q38"/>
  <c r="W39"/>
  <c r="U46"/>
  <c r="Q11"/>
  <c r="W12"/>
  <c r="U13" s="1"/>
  <c r="G15"/>
  <c r="O15"/>
  <c r="W15"/>
  <c r="Y33"/>
  <c r="I34"/>
  <c r="Q34"/>
  <c r="W35"/>
  <c r="G38"/>
  <c r="O38"/>
  <c r="W38"/>
  <c r="H15"/>
  <c r="P15"/>
  <c r="H38"/>
  <c r="P11"/>
  <c r="N15"/>
  <c r="V15"/>
  <c r="H34"/>
  <c r="P34"/>
  <c r="F38"/>
  <c r="N38"/>
  <c r="V38"/>
  <c r="C44"/>
  <c r="P38"/>
  <c r="H9"/>
  <c r="P9"/>
  <c r="O11"/>
  <c r="E15"/>
  <c r="J21"/>
  <c r="B23"/>
  <c r="R23"/>
  <c r="R27"/>
  <c r="G34"/>
  <c r="O34"/>
  <c r="E38"/>
  <c r="M38"/>
  <c r="B44"/>
  <c r="H11"/>
  <c r="F15"/>
  <c r="G11"/>
  <c r="W11"/>
  <c r="M15"/>
  <c r="B21"/>
  <c r="R21"/>
  <c r="J23"/>
  <c r="J27"/>
  <c r="H32"/>
  <c r="P32"/>
  <c r="W34"/>
  <c r="G9"/>
  <c r="O9"/>
  <c r="F11"/>
  <c r="N11"/>
  <c r="D15"/>
  <c r="L15"/>
  <c r="Y20"/>
  <c r="I21"/>
  <c r="Y22"/>
  <c r="I23"/>
  <c r="I27"/>
  <c r="G32"/>
  <c r="O32"/>
  <c r="F34"/>
  <c r="N34"/>
  <c r="D38"/>
  <c r="L38"/>
  <c r="I44"/>
  <c r="H48"/>
  <c r="Y43" l="1"/>
  <c r="R44"/>
  <c r="K44"/>
  <c r="O44"/>
  <c r="S44"/>
  <c r="W44"/>
  <c r="N44"/>
  <c r="H44"/>
  <c r="D44"/>
  <c r="F44"/>
  <c r="L44"/>
  <c r="T44"/>
  <c r="V44"/>
  <c r="P44"/>
  <c r="U44"/>
  <c r="Q44"/>
  <c r="E44"/>
  <c r="M44"/>
  <c r="R44" i="5"/>
  <c r="N44" i="3"/>
  <c r="AZ42" i="1"/>
  <c r="BW42"/>
  <c r="S40" i="38"/>
  <c r="K40"/>
  <c r="C40"/>
  <c r="T40"/>
  <c r="L40"/>
  <c r="D40"/>
  <c r="W40"/>
  <c r="M40"/>
  <c r="E40"/>
  <c r="O40"/>
  <c r="V40"/>
  <c r="N40"/>
  <c r="F40"/>
  <c r="P40"/>
  <c r="H40"/>
  <c r="Q40"/>
  <c r="I40"/>
  <c r="Y39"/>
  <c r="R40"/>
  <c r="J40"/>
  <c r="B40"/>
  <c r="G40"/>
  <c r="S17"/>
  <c r="K17"/>
  <c r="C17"/>
  <c r="L17"/>
  <c r="D17"/>
  <c r="W17"/>
  <c r="T17"/>
  <c r="M17"/>
  <c r="E17"/>
  <c r="G17"/>
  <c r="V17"/>
  <c r="N17"/>
  <c r="F17"/>
  <c r="P17"/>
  <c r="H17"/>
  <c r="Q17"/>
  <c r="I17"/>
  <c r="Y16"/>
  <c r="R17"/>
  <c r="J17"/>
  <c r="B17"/>
  <c r="O17"/>
  <c r="R19"/>
  <c r="J19"/>
  <c r="B19"/>
  <c r="K19"/>
  <c r="C19"/>
  <c r="S19"/>
  <c r="L19"/>
  <c r="V19"/>
  <c r="T19"/>
  <c r="D19"/>
  <c r="N19"/>
  <c r="M19"/>
  <c r="E19"/>
  <c r="W19"/>
  <c r="O19"/>
  <c r="G19"/>
  <c r="F19"/>
  <c r="P19"/>
  <c r="H19"/>
  <c r="Q19"/>
  <c r="I19"/>
  <c r="Y18"/>
  <c r="M36"/>
  <c r="E36"/>
  <c r="V36"/>
  <c r="N36"/>
  <c r="F36"/>
  <c r="Q36"/>
  <c r="W36"/>
  <c r="O36"/>
  <c r="G36"/>
  <c r="P36"/>
  <c r="H36"/>
  <c r="R36"/>
  <c r="J36"/>
  <c r="B36"/>
  <c r="Y35"/>
  <c r="S36"/>
  <c r="K36"/>
  <c r="C36"/>
  <c r="T36"/>
  <c r="L36"/>
  <c r="D36"/>
  <c r="I36"/>
  <c r="M13"/>
  <c r="E13"/>
  <c r="V13"/>
  <c r="F13"/>
  <c r="G13"/>
  <c r="Q13"/>
  <c r="N13"/>
  <c r="Y12"/>
  <c r="W13"/>
  <c r="O13"/>
  <c r="I13"/>
  <c r="P13"/>
  <c r="H13"/>
  <c r="R13"/>
  <c r="J13"/>
  <c r="B13"/>
  <c r="S13"/>
  <c r="K13"/>
  <c r="C13"/>
  <c r="T13"/>
  <c r="L13"/>
  <c r="D13"/>
  <c r="R42"/>
  <c r="J42"/>
  <c r="B42"/>
  <c r="N42"/>
  <c r="S42"/>
  <c r="K42"/>
  <c r="C42"/>
  <c r="T42"/>
  <c r="L42"/>
  <c r="D42"/>
  <c r="V42"/>
  <c r="F42"/>
  <c r="M42"/>
  <c r="E42"/>
  <c r="W42"/>
  <c r="O42"/>
  <c r="G42"/>
  <c r="P42"/>
  <c r="H42"/>
  <c r="Q42"/>
  <c r="I42"/>
  <c r="Y41"/>
  <c r="U40"/>
  <c r="U19"/>
  <c r="U36"/>
  <c r="S44" i="5" l="1"/>
  <c r="O44" i="3"/>
  <c r="I51" i="50"/>
  <c r="E51"/>
  <c r="I49"/>
  <c r="E49"/>
  <c r="I48"/>
  <c r="E48"/>
  <c r="I47"/>
  <c r="E47"/>
  <c r="I46"/>
  <c r="E46"/>
  <c r="H45"/>
  <c r="G45"/>
  <c r="F45"/>
  <c r="D45"/>
  <c r="C45"/>
  <c r="B45"/>
  <c r="I44"/>
  <c r="E44"/>
  <c r="I43"/>
  <c r="E43"/>
  <c r="I42"/>
  <c r="E42"/>
  <c r="I41"/>
  <c r="E41"/>
  <c r="H40"/>
  <c r="I40" s="1"/>
  <c r="G40"/>
  <c r="F40"/>
  <c r="D40"/>
  <c r="C40"/>
  <c r="B40"/>
  <c r="I39"/>
  <c r="E39"/>
  <c r="I38"/>
  <c r="E38"/>
  <c r="I37"/>
  <c r="E37"/>
  <c r="I36"/>
  <c r="E36"/>
  <c r="H35"/>
  <c r="G35"/>
  <c r="F35"/>
  <c r="D35"/>
  <c r="C35"/>
  <c r="B35"/>
  <c r="I34"/>
  <c r="E34"/>
  <c r="I33"/>
  <c r="E33"/>
  <c r="I32"/>
  <c r="E32"/>
  <c r="I31"/>
  <c r="E31"/>
  <c r="H30"/>
  <c r="G30"/>
  <c r="F30"/>
  <c r="I30" s="1"/>
  <c r="D30"/>
  <c r="C30"/>
  <c r="B30"/>
  <c r="I29"/>
  <c r="E29"/>
  <c r="I28"/>
  <c r="E28"/>
  <c r="I27"/>
  <c r="E27"/>
  <c r="I26"/>
  <c r="E26"/>
  <c r="H25"/>
  <c r="G25"/>
  <c r="F25"/>
  <c r="D25"/>
  <c r="C25"/>
  <c r="B25"/>
  <c r="I24"/>
  <c r="E24"/>
  <c r="I23"/>
  <c r="E23"/>
  <c r="I22"/>
  <c r="E22"/>
  <c r="I21"/>
  <c r="E21"/>
  <c r="H20"/>
  <c r="G20"/>
  <c r="F20"/>
  <c r="D20"/>
  <c r="C20"/>
  <c r="B20"/>
  <c r="I19"/>
  <c r="E19"/>
  <c r="I18"/>
  <c r="E18"/>
  <c r="I17"/>
  <c r="E17"/>
  <c r="I16"/>
  <c r="E16"/>
  <c r="E15" s="1"/>
  <c r="I15"/>
  <c r="H15"/>
  <c r="G15"/>
  <c r="F15"/>
  <c r="D15"/>
  <c r="C15"/>
  <c r="B15"/>
  <c r="I20" l="1"/>
  <c r="E30"/>
  <c r="I45"/>
  <c r="I35"/>
  <c r="E25"/>
  <c r="I25"/>
  <c r="E45"/>
  <c r="E35"/>
  <c r="E40"/>
  <c r="E20"/>
  <c r="BF39" i="59" l="1"/>
  <c r="K51" i="33"/>
  <c r="I47" i="35"/>
  <c r="F47"/>
  <c r="K47" l="1"/>
  <c r="G43" i="51"/>
  <c r="I43" s="1"/>
  <c r="J43" s="1"/>
  <c r="L41" i="1" l="1"/>
  <c r="F39" i="59" l="1"/>
  <c r="G39"/>
  <c r="L43" i="5"/>
  <c r="I43"/>
  <c r="G41" i="4"/>
  <c r="J43" i="3"/>
  <c r="G43"/>
  <c r="D43"/>
  <c r="CE41" i="1"/>
  <c r="CB41"/>
  <c r="BX41"/>
  <c r="BT41"/>
  <c r="BV41" s="1"/>
  <c r="BH41"/>
  <c r="AX41"/>
  <c r="AY41" s="1"/>
  <c r="AO41"/>
  <c r="AN41"/>
  <c r="AM41"/>
  <c r="AL41"/>
  <c r="AH41"/>
  <c r="S41"/>
  <c r="T41" s="1"/>
  <c r="N41"/>
  <c r="K50" i="33"/>
  <c r="K49"/>
  <c r="K48"/>
  <c r="K47"/>
  <c r="K46"/>
  <c r="K45"/>
  <c r="J43"/>
  <c r="K43" s="1"/>
  <c r="J42"/>
  <c r="K42" s="1"/>
  <c r="J41"/>
  <c r="K41" s="1"/>
  <c r="J40"/>
  <c r="K40" s="1"/>
  <c r="J39"/>
  <c r="K39" s="1"/>
  <c r="J38"/>
  <c r="K38" s="1"/>
  <c r="J37"/>
  <c r="K37" s="1"/>
  <c r="J36"/>
  <c r="K36" s="1"/>
  <c r="J35"/>
  <c r="K35" s="1"/>
  <c r="K34"/>
  <c r="J34"/>
  <c r="J33"/>
  <c r="K33" s="1"/>
  <c r="J32"/>
  <c r="K32" s="1"/>
  <c r="I31"/>
  <c r="H31"/>
  <c r="G31"/>
  <c r="F31"/>
  <c r="E31"/>
  <c r="D31"/>
  <c r="C31"/>
  <c r="J30"/>
  <c r="K30" s="1"/>
  <c r="J29"/>
  <c r="K29" s="1"/>
  <c r="J28"/>
  <c r="K28" s="1"/>
  <c r="K27"/>
  <c r="J27"/>
  <c r="J26"/>
  <c r="K26" s="1"/>
  <c r="J25"/>
  <c r="K25" s="1"/>
  <c r="J24"/>
  <c r="K24" s="1"/>
  <c r="J23"/>
  <c r="K23" s="1"/>
  <c r="K22"/>
  <c r="J22"/>
  <c r="J21"/>
  <c r="K21" s="1"/>
  <c r="J20"/>
  <c r="K20" s="1"/>
  <c r="J19"/>
  <c r="K19" s="1"/>
  <c r="O18"/>
  <c r="N18"/>
  <c r="M18"/>
  <c r="L18"/>
  <c r="I18"/>
  <c r="H18"/>
  <c r="G18"/>
  <c r="F18"/>
  <c r="E18"/>
  <c r="D18"/>
  <c r="C18"/>
  <c r="B18"/>
  <c r="J18" l="1"/>
  <c r="AZ41" i="1"/>
  <c r="L43" i="3"/>
  <c r="AP41" i="1"/>
  <c r="W41"/>
  <c r="BC41"/>
  <c r="P43" i="5"/>
  <c r="K31" i="33"/>
  <c r="K18"/>
  <c r="J31"/>
  <c r="N43" i="3" l="1"/>
  <c r="BU41" i="1"/>
  <c r="BW41"/>
  <c r="X41"/>
  <c r="R43" i="5"/>
  <c r="O43" i="3" l="1"/>
  <c r="S43" i="5"/>
  <c r="BF34" i="59" l="1"/>
  <c r="BF35"/>
  <c r="BF36"/>
  <c r="BF37"/>
  <c r="BF38"/>
  <c r="F36"/>
  <c r="G36"/>
  <c r="F37"/>
  <c r="G37"/>
  <c r="F38"/>
  <c r="G38"/>
  <c r="F30" i="66" l="1"/>
  <c r="I37" i="2"/>
  <c r="I38"/>
  <c r="I38" i="36" l="1"/>
  <c r="I39"/>
  <c r="F38"/>
  <c r="F39"/>
  <c r="K39" l="1"/>
  <c r="K38"/>
  <c r="I46" i="35"/>
  <c r="F46"/>
  <c r="K46" l="1"/>
  <c r="K42" i="3" l="1"/>
  <c r="K41"/>
  <c r="BA40" i="1"/>
  <c r="AV40" l="1"/>
  <c r="AX40" s="1"/>
  <c r="L42" i="5" l="1"/>
  <c r="I42"/>
  <c r="E42"/>
  <c r="P42" l="1"/>
  <c r="R42" s="1"/>
  <c r="S42" s="1"/>
  <c r="G42" i="51"/>
  <c r="I42" s="1"/>
  <c r="J42" s="1"/>
  <c r="G40" i="4"/>
  <c r="J42" i="3"/>
  <c r="G42"/>
  <c r="D42"/>
  <c r="CE40" i="1"/>
  <c r="CB40"/>
  <c r="BX40"/>
  <c r="BT40"/>
  <c r="BV40" s="1"/>
  <c r="L42" i="3" l="1"/>
  <c r="N42" s="1"/>
  <c r="O42" s="1"/>
  <c r="S40" i="1"/>
  <c r="T40" s="1"/>
  <c r="AY40"/>
  <c r="AZ40" s="1"/>
  <c r="BH40"/>
  <c r="AM40"/>
  <c r="AN40"/>
  <c r="AO40"/>
  <c r="AL40"/>
  <c r="AH40"/>
  <c r="AD40"/>
  <c r="L40"/>
  <c r="BC40" s="1"/>
  <c r="G30" i="44"/>
  <c r="F30"/>
  <c r="E30"/>
  <c r="D30"/>
  <c r="C30"/>
  <c r="B30"/>
  <c r="B17"/>
  <c r="AP40" i="1" l="1"/>
  <c r="BU40" s="1"/>
  <c r="N40"/>
  <c r="W40" s="1"/>
  <c r="X40" s="1"/>
  <c r="BH39"/>
  <c r="J21"/>
  <c r="BW40" l="1"/>
  <c r="BA38" l="1"/>
  <c r="AV38"/>
  <c r="AV39"/>
  <c r="BA39" l="1"/>
  <c r="I45" i="35" l="1"/>
  <c r="F45"/>
  <c r="BA37" i="1"/>
  <c r="L41" i="5"/>
  <c r="I41"/>
  <c r="E41"/>
  <c r="F37" i="36"/>
  <c r="I37"/>
  <c r="G41" i="51"/>
  <c r="I41" s="1"/>
  <c r="J41" s="1"/>
  <c r="G39" i="4"/>
  <c r="D41" i="3"/>
  <c r="J41"/>
  <c r="G41"/>
  <c r="L39" i="1"/>
  <c r="N39" s="1"/>
  <c r="W39" s="1"/>
  <c r="X39" s="1"/>
  <c r="S39"/>
  <c r="T39" s="1"/>
  <c r="CE39"/>
  <c r="CB39"/>
  <c r="BT39"/>
  <c r="AM39"/>
  <c r="AN39"/>
  <c r="AO39"/>
  <c r="AL39"/>
  <c r="AH39"/>
  <c r="AD39"/>
  <c r="I8" i="5"/>
  <c r="L8"/>
  <c r="BC39" i="1" l="1"/>
  <c r="K37" i="36"/>
  <c r="K45" i="35"/>
  <c r="P41" i="5"/>
  <c r="R41" s="1"/>
  <c r="S41" s="1"/>
  <c r="BX39" i="1"/>
  <c r="BV39"/>
  <c r="AX39"/>
  <c r="AY39" s="1"/>
  <c r="AZ39" s="1"/>
  <c r="AP39"/>
  <c r="BU39" s="1"/>
  <c r="L41" i="3"/>
  <c r="N41" s="1"/>
  <c r="O41" s="1"/>
  <c r="P8" i="5"/>
  <c r="R8" s="1"/>
  <c r="S8" s="1"/>
  <c r="BW39" i="1" l="1"/>
  <c r="CE38"/>
  <c r="CB38"/>
  <c r="BT38"/>
  <c r="BV38" s="1"/>
  <c r="BH38"/>
  <c r="AX38"/>
  <c r="AY38" s="1"/>
  <c r="AO38"/>
  <c r="AN38"/>
  <c r="AM38"/>
  <c r="AL38"/>
  <c r="AH38"/>
  <c r="AD38"/>
  <c r="T38"/>
  <c r="S38"/>
  <c r="L38"/>
  <c r="BC38" s="1"/>
  <c r="N38" l="1"/>
  <c r="W38" s="1"/>
  <c r="X38" s="1"/>
  <c r="AZ38"/>
  <c r="BX38"/>
  <c r="AP38"/>
  <c r="BU38" s="1"/>
  <c r="BW38" l="1"/>
  <c r="J10" i="13"/>
  <c r="I10"/>
  <c r="G10"/>
  <c r="F10"/>
  <c r="D10"/>
  <c r="C10"/>
  <c r="B30" i="66"/>
  <c r="D30"/>
  <c r="C30"/>
  <c r="H17"/>
  <c r="G17"/>
  <c r="F17"/>
  <c r="E17"/>
  <c r="D17"/>
  <c r="C17"/>
  <c r="B17"/>
  <c r="I36" i="10"/>
  <c r="I35"/>
  <c r="I34"/>
  <c r="I32"/>
  <c r="I31"/>
  <c r="I30"/>
  <c r="I29"/>
  <c r="I28"/>
  <c r="I27"/>
  <c r="I26"/>
  <c r="I25"/>
  <c r="I24"/>
  <c r="I23"/>
  <c r="I22"/>
  <c r="I21"/>
  <c r="J20"/>
  <c r="H20"/>
  <c r="G20"/>
  <c r="F20"/>
  <c r="E20"/>
  <c r="D20"/>
  <c r="C20"/>
  <c r="B20"/>
  <c r="G35" i="59"/>
  <c r="F35"/>
  <c r="G34"/>
  <c r="F34"/>
  <c r="BF33"/>
  <c r="G33"/>
  <c r="F33"/>
  <c r="F32" s="1"/>
  <c r="BF31"/>
  <c r="BF19" s="1"/>
  <c r="G31"/>
  <c r="F31"/>
  <c r="BF30"/>
  <c r="G30"/>
  <c r="F30"/>
  <c r="BF29"/>
  <c r="G29"/>
  <c r="F29"/>
  <c r="BF28"/>
  <c r="G28"/>
  <c r="F28"/>
  <c r="BF27"/>
  <c r="G27"/>
  <c r="F27"/>
  <c r="BF26"/>
  <c r="G26"/>
  <c r="F26"/>
  <c r="BF25"/>
  <c r="G25"/>
  <c r="F25"/>
  <c r="BF24"/>
  <c r="G24"/>
  <c r="F24"/>
  <c r="BF23"/>
  <c r="G23"/>
  <c r="F23"/>
  <c r="BF22"/>
  <c r="G22"/>
  <c r="F22"/>
  <c r="BF21"/>
  <c r="G21"/>
  <c r="F21"/>
  <c r="BF20"/>
  <c r="G20"/>
  <c r="F20"/>
  <c r="BS19"/>
  <c r="BR19"/>
  <c r="BQ19"/>
  <c r="BP19"/>
  <c r="BO19"/>
  <c r="BN19"/>
  <c r="BM19"/>
  <c r="BL19"/>
  <c r="BK19"/>
  <c r="BJ19"/>
  <c r="BI19"/>
  <c r="BH19"/>
  <c r="BG19"/>
  <c r="BE19"/>
  <c r="BD19"/>
  <c r="BC19"/>
  <c r="BB19"/>
  <c r="BA19"/>
  <c r="AZ19"/>
  <c r="AY19"/>
  <c r="AW19"/>
  <c r="AV19"/>
  <c r="AU19"/>
  <c r="AT19"/>
  <c r="AS19"/>
  <c r="AR19"/>
  <c r="AQ19"/>
  <c r="AP19"/>
  <c r="AO19"/>
  <c r="AN19"/>
  <c r="AM19"/>
  <c r="AL19"/>
  <c r="AK19"/>
  <c r="AJ19"/>
  <c r="AI19"/>
  <c r="AH19"/>
  <c r="AG19"/>
  <c r="AF19"/>
  <c r="AE19"/>
  <c r="AD19"/>
  <c r="AC19"/>
  <c r="AB19"/>
  <c r="AA19"/>
  <c r="Z19"/>
  <c r="X19"/>
  <c r="W19"/>
  <c r="V19"/>
  <c r="U19"/>
  <c r="T19"/>
  <c r="S19"/>
  <c r="R19"/>
  <c r="Q19"/>
  <c r="P19"/>
  <c r="O19"/>
  <c r="N19"/>
  <c r="M19"/>
  <c r="L19"/>
  <c r="K19"/>
  <c r="J19"/>
  <c r="I19"/>
  <c r="H19"/>
  <c r="E19"/>
  <c r="D19"/>
  <c r="C19"/>
  <c r="B19"/>
  <c r="G32" l="1"/>
  <c r="I20" i="10"/>
  <c r="G19" i="59"/>
  <c r="F19"/>
  <c r="G40" i="51" l="1"/>
  <c r="I40" s="1"/>
  <c r="J40" s="1"/>
  <c r="G39"/>
  <c r="I39" s="1"/>
  <c r="J39" s="1"/>
  <c r="G37"/>
  <c r="I37" s="1"/>
  <c r="J37" s="1"/>
  <c r="G35"/>
  <c r="G23" s="1"/>
  <c r="G34"/>
  <c r="I34" s="1"/>
  <c r="J34" s="1"/>
  <c r="G33"/>
  <c r="I33" s="1"/>
  <c r="J33" s="1"/>
  <c r="G32"/>
  <c r="I32" s="1"/>
  <c r="J32" s="1"/>
  <c r="G31"/>
  <c r="I31" s="1"/>
  <c r="J31" s="1"/>
  <c r="G30"/>
  <c r="I30" s="1"/>
  <c r="J30" s="1"/>
  <c r="G29"/>
  <c r="I29" s="1"/>
  <c r="J29" s="1"/>
  <c r="G28"/>
  <c r="I28" s="1"/>
  <c r="J28" s="1"/>
  <c r="G27"/>
  <c r="I27" s="1"/>
  <c r="J27" s="1"/>
  <c r="G26"/>
  <c r="I26" s="1"/>
  <c r="J26" s="1"/>
  <c r="G25"/>
  <c r="I25" s="1"/>
  <c r="J25" s="1"/>
  <c r="G24"/>
  <c r="I24" s="1"/>
  <c r="J24" s="1"/>
  <c r="H23"/>
  <c r="F23"/>
  <c r="E23"/>
  <c r="D23"/>
  <c r="C23"/>
  <c r="B23"/>
  <c r="G10"/>
  <c r="I10" s="1"/>
  <c r="J10" s="1"/>
  <c r="G9"/>
  <c r="I9" s="1"/>
  <c r="J9" s="1"/>
  <c r="G8"/>
  <c r="I8" s="1"/>
  <c r="J8" s="1"/>
  <c r="G38" i="4"/>
  <c r="G37"/>
  <c r="G36"/>
  <c r="G35"/>
  <c r="G33"/>
  <c r="G21" s="1"/>
  <c r="G32"/>
  <c r="G31"/>
  <c r="G30"/>
  <c r="G28"/>
  <c r="G27"/>
  <c r="G26"/>
  <c r="G25"/>
  <c r="G24"/>
  <c r="G23"/>
  <c r="G22"/>
  <c r="F21"/>
  <c r="E21"/>
  <c r="D21"/>
  <c r="C21"/>
  <c r="B21"/>
  <c r="D40" i="3"/>
  <c r="G40"/>
  <c r="J40"/>
  <c r="K40"/>
  <c r="I35" i="51" l="1"/>
  <c r="I23" s="1"/>
  <c r="L40" i="3"/>
  <c r="N40" s="1"/>
  <c r="O40" s="1"/>
  <c r="M40" i="5"/>
  <c r="O40" s="1"/>
  <c r="J40"/>
  <c r="L40" s="1"/>
  <c r="I40"/>
  <c r="E40"/>
  <c r="J35" i="51" l="1"/>
  <c r="J23" s="1"/>
  <c r="P40" i="5"/>
  <c r="R40" s="1"/>
  <c r="S40" s="1"/>
  <c r="I44" i="35" l="1"/>
  <c r="F44"/>
  <c r="K44" l="1"/>
  <c r="I35" i="2" l="1"/>
  <c r="I36"/>
  <c r="BT37" i="1" l="1"/>
  <c r="AV37" l="1"/>
  <c r="M39" i="5" l="1"/>
  <c r="O39" s="1"/>
  <c r="J39"/>
  <c r="L39" s="1"/>
  <c r="F39"/>
  <c r="I39" s="1"/>
  <c r="E39"/>
  <c r="B39"/>
  <c r="P39" l="1"/>
  <c r="R39" s="1"/>
  <c r="S39" s="1"/>
  <c r="I43" i="35"/>
  <c r="F43"/>
  <c r="F34" i="36"/>
  <c r="K34" s="1"/>
  <c r="I34"/>
  <c r="I36"/>
  <c r="I35"/>
  <c r="F36"/>
  <c r="F35"/>
  <c r="K36" l="1"/>
  <c r="K35"/>
  <c r="K43" i="35"/>
  <c r="K39" i="3" l="1"/>
  <c r="J39"/>
  <c r="G39"/>
  <c r="D39"/>
  <c r="CE37" i="1"/>
  <c r="CB37"/>
  <c r="BV37"/>
  <c r="BX37"/>
  <c r="BH37"/>
  <c r="AX37"/>
  <c r="AY37" s="1"/>
  <c r="AL37"/>
  <c r="AO37"/>
  <c r="AN37"/>
  <c r="AM37"/>
  <c r="AH37"/>
  <c r="AD37"/>
  <c r="S37"/>
  <c r="T37" s="1"/>
  <c r="L37"/>
  <c r="BC37" s="1"/>
  <c r="BA36"/>
  <c r="L39" i="3" l="1"/>
  <c r="N39" s="1"/>
  <c r="O39" s="1"/>
  <c r="N37" i="1"/>
  <c r="W37" s="1"/>
  <c r="X37" s="1"/>
  <c r="AP37"/>
  <c r="AZ37"/>
  <c r="AV36"/>
  <c r="BU37" l="1"/>
  <c r="BW37"/>
  <c r="M38" i="5" l="1"/>
  <c r="J38"/>
  <c r="F38"/>
  <c r="B38"/>
  <c r="O38" l="1"/>
  <c r="L38"/>
  <c r="I38"/>
  <c r="E38"/>
  <c r="I42" i="35"/>
  <c r="F42"/>
  <c r="P38" i="5" l="1"/>
  <c r="R38" s="1"/>
  <c r="S38" s="1"/>
  <c r="K42" i="35"/>
  <c r="I34" i="2" l="1"/>
  <c r="K38" i="3" l="1"/>
  <c r="J38"/>
  <c r="G38"/>
  <c r="D38"/>
  <c r="CE36" i="1"/>
  <c r="CB36"/>
  <c r="BT36"/>
  <c r="BX36"/>
  <c r="BH36"/>
  <c r="BB36"/>
  <c r="AX36"/>
  <c r="AY36" s="1"/>
  <c r="AL36"/>
  <c r="AO36"/>
  <c r="AN36"/>
  <c r="AM36"/>
  <c r="AH36"/>
  <c r="AD36"/>
  <c r="S36"/>
  <c r="T36" s="1"/>
  <c r="L36"/>
  <c r="BC36" s="1"/>
  <c r="AP36" l="1"/>
  <c r="BU36" s="1"/>
  <c r="N36"/>
  <c r="W36" s="1"/>
  <c r="X36" s="1"/>
  <c r="AZ36"/>
  <c r="L38" i="3"/>
  <c r="N38" s="1"/>
  <c r="O38" s="1"/>
  <c r="BV36" i="1"/>
  <c r="BT35"/>
  <c r="BW36" l="1"/>
  <c r="M37" i="5" l="1"/>
  <c r="F37"/>
  <c r="J37"/>
  <c r="B37"/>
  <c r="O37" l="1"/>
  <c r="L37"/>
  <c r="I37"/>
  <c r="E37"/>
  <c r="M35"/>
  <c r="M23" s="1"/>
  <c r="J35"/>
  <c r="J23" s="1"/>
  <c r="F35"/>
  <c r="F23" s="1"/>
  <c r="B35"/>
  <c r="E35" s="1"/>
  <c r="E23" s="1"/>
  <c r="M34"/>
  <c r="O34" s="1"/>
  <c r="J34"/>
  <c r="L34" s="1"/>
  <c r="I34"/>
  <c r="F34"/>
  <c r="B34"/>
  <c r="E34" s="1"/>
  <c r="M33"/>
  <c r="O33" s="1"/>
  <c r="J33"/>
  <c r="L33" s="1"/>
  <c r="F33"/>
  <c r="I33" s="1"/>
  <c r="B33"/>
  <c r="E33" s="1"/>
  <c r="M32"/>
  <c r="O32" s="1"/>
  <c r="L32"/>
  <c r="J32"/>
  <c r="I32"/>
  <c r="F32"/>
  <c r="B32"/>
  <c r="E32" s="1"/>
  <c r="M31"/>
  <c r="O31" s="1"/>
  <c r="J31"/>
  <c r="L31" s="1"/>
  <c r="I31"/>
  <c r="F31"/>
  <c r="B31"/>
  <c r="E31" s="1"/>
  <c r="M30"/>
  <c r="O30" s="1"/>
  <c r="J30"/>
  <c r="L30" s="1"/>
  <c r="F30"/>
  <c r="I30" s="1"/>
  <c r="B30"/>
  <c r="E30" s="1"/>
  <c r="M29"/>
  <c r="O29" s="1"/>
  <c r="J29"/>
  <c r="L29" s="1"/>
  <c r="F29"/>
  <c r="I29" s="1"/>
  <c r="B29"/>
  <c r="E29" s="1"/>
  <c r="M28"/>
  <c r="O28" s="1"/>
  <c r="J28"/>
  <c r="L28" s="1"/>
  <c r="F28"/>
  <c r="I28" s="1"/>
  <c r="B28"/>
  <c r="E28" s="1"/>
  <c r="M27"/>
  <c r="O27" s="1"/>
  <c r="J27"/>
  <c r="L27" s="1"/>
  <c r="I27"/>
  <c r="F27"/>
  <c r="B27"/>
  <c r="E27" s="1"/>
  <c r="O26"/>
  <c r="M26"/>
  <c r="J26"/>
  <c r="L26" s="1"/>
  <c r="F26"/>
  <c r="I26" s="1"/>
  <c r="B26"/>
  <c r="E26" s="1"/>
  <c r="M25"/>
  <c r="O25" s="1"/>
  <c r="J25"/>
  <c r="L25" s="1"/>
  <c r="F25"/>
  <c r="I25" s="1"/>
  <c r="B25"/>
  <c r="E25" s="1"/>
  <c r="M24"/>
  <c r="O24" s="1"/>
  <c r="J24"/>
  <c r="L24" s="1"/>
  <c r="F24"/>
  <c r="I24" s="1"/>
  <c r="E24"/>
  <c r="B24"/>
  <c r="Q23"/>
  <c r="N23"/>
  <c r="K23"/>
  <c r="H23"/>
  <c r="G23"/>
  <c r="D23"/>
  <c r="C23"/>
  <c r="L10"/>
  <c r="I10"/>
  <c r="L9"/>
  <c r="I9"/>
  <c r="P10" l="1"/>
  <c r="R10" s="1"/>
  <c r="S10" s="1"/>
  <c r="P37"/>
  <c r="R37" s="1"/>
  <c r="S37" s="1"/>
  <c r="P31"/>
  <c r="R31" s="1"/>
  <c r="S31" s="1"/>
  <c r="I35"/>
  <c r="I23" s="1"/>
  <c r="B23"/>
  <c r="O35"/>
  <c r="O23" s="1"/>
  <c r="P26"/>
  <c r="R26" s="1"/>
  <c r="S26" s="1"/>
  <c r="P28"/>
  <c r="R28" s="1"/>
  <c r="S28" s="1"/>
  <c r="P24"/>
  <c r="R24" s="1"/>
  <c r="S24" s="1"/>
  <c r="P33"/>
  <c r="R33" s="1"/>
  <c r="S33" s="1"/>
  <c r="P9"/>
  <c r="R9" s="1"/>
  <c r="S9" s="1"/>
  <c r="P25"/>
  <c r="R25" s="1"/>
  <c r="S25" s="1"/>
  <c r="P30"/>
  <c r="R30" s="1"/>
  <c r="S30" s="1"/>
  <c r="P32"/>
  <c r="R32" s="1"/>
  <c r="S32" s="1"/>
  <c r="P27"/>
  <c r="R27" s="1"/>
  <c r="S27" s="1"/>
  <c r="P34"/>
  <c r="R34" s="1"/>
  <c r="S34" s="1"/>
  <c r="P29"/>
  <c r="R29" s="1"/>
  <c r="S29" s="1"/>
  <c r="L35"/>
  <c r="L23" s="1"/>
  <c r="P35" l="1"/>
  <c r="R35" s="1"/>
  <c r="P23" l="1"/>
  <c r="R23"/>
  <c r="S35"/>
  <c r="S23" s="1"/>
  <c r="H20" i="36" l="1"/>
  <c r="G20"/>
  <c r="E20"/>
  <c r="D20"/>
  <c r="C20"/>
  <c r="B20"/>
  <c r="J32"/>
  <c r="J20" s="1"/>
  <c r="I32"/>
  <c r="I20" s="1"/>
  <c r="F32"/>
  <c r="F20" s="1"/>
  <c r="K32" l="1"/>
  <c r="K20" s="1"/>
  <c r="V33" i="65" l="1"/>
  <c r="V32"/>
  <c r="N33"/>
  <c r="R33" s="1"/>
  <c r="N32"/>
  <c r="I33"/>
  <c r="I32"/>
  <c r="D33"/>
  <c r="F33" s="1"/>
  <c r="D32"/>
  <c r="F32" s="1"/>
  <c r="R32" l="1"/>
  <c r="S32" s="1"/>
  <c r="S33"/>
  <c r="F41" i="35"/>
  <c r="I41"/>
  <c r="K41" l="1"/>
  <c r="K37" i="3"/>
  <c r="K35"/>
  <c r="J37"/>
  <c r="G37"/>
  <c r="D37"/>
  <c r="CE35" i="1"/>
  <c r="CB35"/>
  <c r="BH35"/>
  <c r="BA35"/>
  <c r="L37" i="3" l="1"/>
  <c r="N37" s="1"/>
  <c r="O37" s="1"/>
  <c r="BA33" i="1"/>
  <c r="AX35"/>
  <c r="AY35" s="1"/>
  <c r="AZ35" s="1"/>
  <c r="AV35"/>
  <c r="BX35" l="1"/>
  <c r="BV35"/>
  <c r="AV33"/>
  <c r="AO35"/>
  <c r="AN35"/>
  <c r="AM35"/>
  <c r="AL35"/>
  <c r="AH35"/>
  <c r="AD35"/>
  <c r="T35"/>
  <c r="S35"/>
  <c r="L35"/>
  <c r="BC35" s="1"/>
  <c r="AP35" l="1"/>
  <c r="BW35" s="1"/>
  <c r="N35"/>
  <c r="W35" s="1"/>
  <c r="X35" s="1"/>
  <c r="H20" i="2"/>
  <c r="G20"/>
  <c r="F20"/>
  <c r="I32"/>
  <c r="BU35" i="1" l="1"/>
  <c r="I20" i="2"/>
  <c r="I31" l="1"/>
  <c r="J27" i="35" l="1"/>
  <c r="H27"/>
  <c r="G27"/>
  <c r="E27"/>
  <c r="D27"/>
  <c r="C27"/>
  <c r="B27"/>
  <c r="I39"/>
  <c r="F39"/>
  <c r="F27" s="1"/>
  <c r="K39" l="1"/>
  <c r="K27" s="1"/>
  <c r="I27"/>
  <c r="K23" i="3"/>
  <c r="J35"/>
  <c r="J23" s="1"/>
  <c r="G35"/>
  <c r="G23" s="1"/>
  <c r="D35"/>
  <c r="D23" s="1"/>
  <c r="M23"/>
  <c r="I23"/>
  <c r="H23"/>
  <c r="F23"/>
  <c r="E23"/>
  <c r="C23"/>
  <c r="B23"/>
  <c r="CE33" i="1"/>
  <c r="CE21" s="1"/>
  <c r="CB33"/>
  <c r="CB21" s="1"/>
  <c r="BX33"/>
  <c r="BX21" s="1"/>
  <c r="BT33"/>
  <c r="BH33"/>
  <c r="BH21" s="1"/>
  <c r="BA21"/>
  <c r="AX33"/>
  <c r="AY33" s="1"/>
  <c r="AV21"/>
  <c r="AL33"/>
  <c r="AM33"/>
  <c r="AM21" s="1"/>
  <c r="AN33"/>
  <c r="AN21" s="1"/>
  <c r="AO33"/>
  <c r="AO21" s="1"/>
  <c r="AH33"/>
  <c r="AH21" s="1"/>
  <c r="AD33"/>
  <c r="AD21" s="1"/>
  <c r="S33"/>
  <c r="S21" s="1"/>
  <c r="L33"/>
  <c r="L21" s="1"/>
  <c r="CD21"/>
  <c r="CC21"/>
  <c r="CA21"/>
  <c r="BZ21"/>
  <c r="BY21"/>
  <c r="BS21"/>
  <c r="BR21"/>
  <c r="BQ21"/>
  <c r="BP21"/>
  <c r="BN21"/>
  <c r="BM21"/>
  <c r="BL21"/>
  <c r="BK21"/>
  <c r="BJ21"/>
  <c r="BG21"/>
  <c r="BF21"/>
  <c r="BE21"/>
  <c r="BD21"/>
  <c r="BB21"/>
  <c r="AW21"/>
  <c r="AU21"/>
  <c r="AT21"/>
  <c r="AS21"/>
  <c r="AR21"/>
  <c r="AK21"/>
  <c r="AJ21"/>
  <c r="AI21"/>
  <c r="AG21"/>
  <c r="AF21"/>
  <c r="AE21"/>
  <c r="AC21"/>
  <c r="AB21"/>
  <c r="AA21"/>
  <c r="Y21"/>
  <c r="V21"/>
  <c r="U21"/>
  <c r="R21"/>
  <c r="Q21"/>
  <c r="P21"/>
  <c r="O21"/>
  <c r="M21"/>
  <c r="K21"/>
  <c r="AY21" l="1"/>
  <c r="AZ33"/>
  <c r="AZ21" s="1"/>
  <c r="L35" i="3"/>
  <c r="N35" s="1"/>
  <c r="N23" s="1"/>
  <c r="AP33" i="1"/>
  <c r="BC33"/>
  <c r="BC21" s="1"/>
  <c r="BV33"/>
  <c r="BV21" s="1"/>
  <c r="BT21"/>
  <c r="AX21"/>
  <c r="AL21"/>
  <c r="N33"/>
  <c r="T33"/>
  <c r="T21" s="1"/>
  <c r="I31" i="36"/>
  <c r="F31"/>
  <c r="K31" l="1"/>
  <c r="L23" i="3"/>
  <c r="O35"/>
  <c r="O23" s="1"/>
  <c r="AP21" i="1"/>
  <c r="BU33"/>
  <c r="BU21" s="1"/>
  <c r="BW33"/>
  <c r="BW21" s="1"/>
  <c r="N21"/>
  <c r="W33"/>
  <c r="W21" l="1"/>
  <c r="X33"/>
  <c r="X21" s="1"/>
  <c r="BA32" l="1"/>
  <c r="BA31" l="1"/>
  <c r="AV32" l="1"/>
  <c r="AV31" l="1"/>
  <c r="AX32" l="1"/>
  <c r="AY32" s="1"/>
  <c r="AZ32" s="1"/>
  <c r="AL32"/>
  <c r="AM32"/>
  <c r="AN32"/>
  <c r="AO32"/>
  <c r="AH32"/>
  <c r="AD32"/>
  <c r="S32"/>
  <c r="T32" s="1"/>
  <c r="L32"/>
  <c r="BC32" s="1"/>
  <c r="BH32"/>
  <c r="BX32"/>
  <c r="CE32"/>
  <c r="CB32"/>
  <c r="BT32"/>
  <c r="N32" l="1"/>
  <c r="W32" s="1"/>
  <c r="X32" s="1"/>
  <c r="BV32"/>
  <c r="AP32"/>
  <c r="BW32" s="1"/>
  <c r="I30" i="2"/>
  <c r="BU32" i="1" l="1"/>
  <c r="O20" i="2"/>
  <c r="N20"/>
  <c r="M20"/>
  <c r="L20"/>
  <c r="J20"/>
  <c r="D20"/>
  <c r="J34" i="3" l="1"/>
  <c r="L34" s="1"/>
  <c r="N34" s="1"/>
  <c r="O34" s="1"/>
  <c r="G34"/>
  <c r="D34"/>
  <c r="I38" i="35" l="1"/>
  <c r="K38" s="1"/>
  <c r="F38"/>
  <c r="J29" i="36" l="1"/>
  <c r="J28"/>
  <c r="J27"/>
  <c r="I30"/>
  <c r="F30"/>
  <c r="J23"/>
  <c r="K30" l="1"/>
  <c r="I37" i="35"/>
  <c r="F37"/>
  <c r="K37" l="1"/>
  <c r="J32" i="3" l="1"/>
  <c r="J33"/>
  <c r="G32"/>
  <c r="G33"/>
  <c r="D32"/>
  <c r="D33"/>
  <c r="L32" l="1"/>
  <c r="N32" s="1"/>
  <c r="O32" s="1"/>
  <c r="L33"/>
  <c r="N33" s="1"/>
  <c r="O33" s="1"/>
  <c r="I9" i="2"/>
  <c r="I10"/>
  <c r="I11"/>
  <c r="I8"/>
  <c r="I21"/>
  <c r="I22"/>
  <c r="I23"/>
  <c r="I24"/>
  <c r="I25"/>
  <c r="I26"/>
  <c r="I27"/>
  <c r="I28"/>
  <c r="I29"/>
  <c r="I13"/>
  <c r="I14"/>
  <c r="I15"/>
  <c r="I16"/>
  <c r="I12"/>
  <c r="CE31" i="1" l="1"/>
  <c r="CB31"/>
  <c r="BT31"/>
  <c r="BX31"/>
  <c r="BH31"/>
  <c r="AX31"/>
  <c r="AY31" s="1"/>
  <c r="AL31"/>
  <c r="AM31"/>
  <c r="AN31"/>
  <c r="AO31"/>
  <c r="AH31"/>
  <c r="AD31"/>
  <c r="S30"/>
  <c r="T30" s="1"/>
  <c r="S31"/>
  <c r="T31" s="1"/>
  <c r="L30"/>
  <c r="N30" s="1"/>
  <c r="W30" s="1"/>
  <c r="X30" s="1"/>
  <c r="L31"/>
  <c r="BC31" s="1"/>
  <c r="AD30"/>
  <c r="AH30"/>
  <c r="AL30"/>
  <c r="AM30"/>
  <c r="AN30"/>
  <c r="AO30"/>
  <c r="AV30"/>
  <c r="AX30" s="1"/>
  <c r="AY30" s="1"/>
  <c r="BA30"/>
  <c r="BH30"/>
  <c r="BT30"/>
  <c r="CB30"/>
  <c r="CE30"/>
  <c r="AP31" l="1"/>
  <c r="BU31" s="1"/>
  <c r="N31"/>
  <c r="W31" s="1"/>
  <c r="X31" s="1"/>
  <c r="AZ30"/>
  <c r="BC30"/>
  <c r="BV30"/>
  <c r="BV31"/>
  <c r="AZ31"/>
  <c r="AP30"/>
  <c r="BU30" s="1"/>
  <c r="BX30"/>
  <c r="BW31" l="1"/>
  <c r="BW30"/>
  <c r="I29" i="36" l="1"/>
  <c r="F29"/>
  <c r="I36" i="35"/>
  <c r="F36"/>
  <c r="I28" i="36"/>
  <c r="F28"/>
  <c r="F35" i="35"/>
  <c r="I35"/>
  <c r="K28" i="36" l="1"/>
  <c r="K29"/>
  <c r="K36" i="35"/>
  <c r="K35"/>
  <c r="BA29" i="1" l="1"/>
  <c r="BA28"/>
  <c r="BA27"/>
  <c r="AV29"/>
  <c r="AV28"/>
  <c r="I27" i="36" l="1"/>
  <c r="F27"/>
  <c r="I34" i="35"/>
  <c r="F34"/>
  <c r="I33"/>
  <c r="F33"/>
  <c r="I32"/>
  <c r="F32"/>
  <c r="J31"/>
  <c r="I31"/>
  <c r="F31"/>
  <c r="I30"/>
  <c r="F30"/>
  <c r="J29"/>
  <c r="I29"/>
  <c r="F29"/>
  <c r="J28"/>
  <c r="I28"/>
  <c r="F28"/>
  <c r="J26"/>
  <c r="J14" s="1"/>
  <c r="I26"/>
  <c r="F26"/>
  <c r="F14" s="1"/>
  <c r="J25"/>
  <c r="I25"/>
  <c r="F25"/>
  <c r="I24"/>
  <c r="F24"/>
  <c r="J23"/>
  <c r="I23"/>
  <c r="F23"/>
  <c r="J22"/>
  <c r="I22"/>
  <c r="F22"/>
  <c r="I21"/>
  <c r="F21"/>
  <c r="I20"/>
  <c r="F20"/>
  <c r="I19"/>
  <c r="F19"/>
  <c r="I18"/>
  <c r="F18"/>
  <c r="I17"/>
  <c r="F17"/>
  <c r="I16"/>
  <c r="F16"/>
  <c r="I15"/>
  <c r="F15"/>
  <c r="I14"/>
  <c r="H14"/>
  <c r="G14"/>
  <c r="E14"/>
  <c r="D14"/>
  <c r="C14"/>
  <c r="B14"/>
  <c r="K26" l="1"/>
  <c r="K14" s="1"/>
  <c r="K30"/>
  <c r="K25"/>
  <c r="K20"/>
  <c r="K33"/>
  <c r="K28"/>
  <c r="K32"/>
  <c r="K16"/>
  <c r="K17"/>
  <c r="K31"/>
  <c r="K18"/>
  <c r="K22"/>
  <c r="K15"/>
  <c r="K21"/>
  <c r="K23"/>
  <c r="K19"/>
  <c r="K24"/>
  <c r="K29"/>
  <c r="K27" i="36"/>
  <c r="K34" i="35"/>
  <c r="K31" i="3" l="1"/>
  <c r="J31"/>
  <c r="G31"/>
  <c r="D31"/>
  <c r="K30"/>
  <c r="J30"/>
  <c r="G30"/>
  <c r="D30"/>
  <c r="K29"/>
  <c r="J29"/>
  <c r="G29"/>
  <c r="D29"/>
  <c r="K28"/>
  <c r="J28"/>
  <c r="G28"/>
  <c r="D28"/>
  <c r="K27"/>
  <c r="J27"/>
  <c r="G27"/>
  <c r="D27"/>
  <c r="K26"/>
  <c r="J26"/>
  <c r="G26"/>
  <c r="D26"/>
  <c r="K25"/>
  <c r="J25"/>
  <c r="G25"/>
  <c r="D25"/>
  <c r="K24"/>
  <c r="J24"/>
  <c r="G24"/>
  <c r="D24"/>
  <c r="N11"/>
  <c r="O11" s="1"/>
  <c r="D10"/>
  <c r="J9"/>
  <c r="G9"/>
  <c r="D9"/>
  <c r="CE29" i="1"/>
  <c r="CB29"/>
  <c r="BT29"/>
  <c r="BV29" s="1"/>
  <c r="BH29"/>
  <c r="AX29"/>
  <c r="AY29" s="1"/>
  <c r="AZ29" s="1"/>
  <c r="AO29"/>
  <c r="AN29"/>
  <c r="AM29"/>
  <c r="AL29"/>
  <c r="AH29"/>
  <c r="AD29"/>
  <c r="S29"/>
  <c r="T29" s="1"/>
  <c r="L29"/>
  <c r="N29" s="1"/>
  <c r="W29" s="1"/>
  <c r="X29" s="1"/>
  <c r="CE28"/>
  <c r="CB28"/>
  <c r="BT28"/>
  <c r="BH28"/>
  <c r="BX28"/>
  <c r="AX28"/>
  <c r="AY28" s="1"/>
  <c r="AO28"/>
  <c r="AN28"/>
  <c r="AM28"/>
  <c r="AL28"/>
  <c r="AH28"/>
  <c r="AD28"/>
  <c r="S28"/>
  <c r="T28" s="1"/>
  <c r="L28"/>
  <c r="BC28" s="1"/>
  <c r="CE27"/>
  <c r="CB27"/>
  <c r="BT27"/>
  <c r="BH27"/>
  <c r="AV27"/>
  <c r="AX27" s="1"/>
  <c r="AY27" s="1"/>
  <c r="AZ27" s="1"/>
  <c r="AO27"/>
  <c r="AN27"/>
  <c r="AM27"/>
  <c r="AL27"/>
  <c r="AH27"/>
  <c r="AD27"/>
  <c r="S27"/>
  <c r="T27" s="1"/>
  <c r="L27"/>
  <c r="BC27" s="1"/>
  <c r="CE26"/>
  <c r="CB26"/>
  <c r="BT26"/>
  <c r="BH26"/>
  <c r="BA26"/>
  <c r="AV26"/>
  <c r="AX26" s="1"/>
  <c r="AY26" s="1"/>
  <c r="AO26"/>
  <c r="AN26"/>
  <c r="AM26"/>
  <c r="AL26"/>
  <c r="AH26"/>
  <c r="AD26"/>
  <c r="S26"/>
  <c r="T26" s="1"/>
  <c r="L26"/>
  <c r="N26" s="1"/>
  <c r="W26" s="1"/>
  <c r="X26" s="1"/>
  <c r="CE25"/>
  <c r="CB25"/>
  <c r="BT25"/>
  <c r="BH25"/>
  <c r="BA25"/>
  <c r="AV25"/>
  <c r="AX25" s="1"/>
  <c r="AY25" s="1"/>
  <c r="AO25"/>
  <c r="AN25"/>
  <c r="AM25"/>
  <c r="AL25"/>
  <c r="AH25"/>
  <c r="AD25"/>
  <c r="S25"/>
  <c r="T25" s="1"/>
  <c r="L25"/>
  <c r="N25" s="1"/>
  <c r="W25" s="1"/>
  <c r="X25" s="1"/>
  <c r="CE24"/>
  <c r="CB24"/>
  <c r="BT24"/>
  <c r="BH24"/>
  <c r="BA24"/>
  <c r="BX24" s="1"/>
  <c r="AV24"/>
  <c r="AO24"/>
  <c r="AN24"/>
  <c r="AM24"/>
  <c r="AL24"/>
  <c r="AH24"/>
  <c r="AD24"/>
  <c r="S24"/>
  <c r="T24" s="1"/>
  <c r="L24"/>
  <c r="N24" s="1"/>
  <c r="W24" s="1"/>
  <c r="X24" s="1"/>
  <c r="CE23"/>
  <c r="CB23"/>
  <c r="BT23"/>
  <c r="BH23"/>
  <c r="BA23"/>
  <c r="AV23"/>
  <c r="AX23" s="1"/>
  <c r="AY23" s="1"/>
  <c r="AO23"/>
  <c r="AN23"/>
  <c r="AM23"/>
  <c r="AL23"/>
  <c r="AH23"/>
  <c r="AD23"/>
  <c r="S23"/>
  <c r="T23" s="1"/>
  <c r="L23"/>
  <c r="N23" s="1"/>
  <c r="W23" s="1"/>
  <c r="X23" s="1"/>
  <c r="CE22"/>
  <c r="CB22"/>
  <c r="BT22"/>
  <c r="BH22"/>
  <c r="BA22"/>
  <c r="AV22"/>
  <c r="AX22" s="1"/>
  <c r="AY22" s="1"/>
  <c r="AO22"/>
  <c r="AN22"/>
  <c r="AM22"/>
  <c r="AL22"/>
  <c r="AH22"/>
  <c r="AD22"/>
  <c r="S22"/>
  <c r="T22" s="1"/>
  <c r="L22"/>
  <c r="N22" s="1"/>
  <c r="W22" s="1"/>
  <c r="X22" s="1"/>
  <c r="CE9"/>
  <c r="CB9"/>
  <c r="CB8"/>
  <c r="CB7"/>
  <c r="L25" i="3" l="1"/>
  <c r="N25" s="1"/>
  <c r="O25" s="1"/>
  <c r="AP23" i="1"/>
  <c r="BW23" s="1"/>
  <c r="L31" i="3"/>
  <c r="N31" s="1"/>
  <c r="O31" s="1"/>
  <c r="L26"/>
  <c r="N26" s="1"/>
  <c r="O26" s="1"/>
  <c r="L30"/>
  <c r="N30" s="1"/>
  <c r="O30" s="1"/>
  <c r="L27"/>
  <c r="N27" s="1"/>
  <c r="O27" s="1"/>
  <c r="L9"/>
  <c r="L29"/>
  <c r="N29" s="1"/>
  <c r="O29" s="1"/>
  <c r="L28"/>
  <c r="N28" s="1"/>
  <c r="O28" s="1"/>
  <c r="L24"/>
  <c r="N24" s="1"/>
  <c r="O24" s="1"/>
  <c r="AZ23" i="1"/>
  <c r="BV27"/>
  <c r="AP22"/>
  <c r="BU22" s="1"/>
  <c r="AP25"/>
  <c r="BU25" s="1"/>
  <c r="BX23"/>
  <c r="BV23"/>
  <c r="BX25"/>
  <c r="BV26"/>
  <c r="BX27"/>
  <c r="N27"/>
  <c r="W27" s="1"/>
  <c r="X27" s="1"/>
  <c r="AZ26"/>
  <c r="BC22"/>
  <c r="BV25"/>
  <c r="AZ22"/>
  <c r="BV24"/>
  <c r="AP28"/>
  <c r="BU28" s="1"/>
  <c r="AP27"/>
  <c r="BU27" s="1"/>
  <c r="AP26"/>
  <c r="BW26" s="1"/>
  <c r="N28"/>
  <c r="W28" s="1"/>
  <c r="X28" s="1"/>
  <c r="BV22"/>
  <c r="AP24"/>
  <c r="BW24" s="1"/>
  <c r="AP29"/>
  <c r="BW29" s="1"/>
  <c r="BX22"/>
  <c r="BC24"/>
  <c r="BV28"/>
  <c r="BX29"/>
  <c r="AX24"/>
  <c r="AY24" s="1"/>
  <c r="AZ24" s="1"/>
  <c r="BX26"/>
  <c r="BC25"/>
  <c r="AZ28"/>
  <c r="AZ25"/>
  <c r="BC29"/>
  <c r="BC26"/>
  <c r="BC23"/>
  <c r="BU23" l="1"/>
  <c r="BW25"/>
  <c r="BU26"/>
  <c r="BW22"/>
  <c r="BW28"/>
  <c r="BU24"/>
  <c r="BW27"/>
  <c r="BU29"/>
  <c r="J24" i="36" l="1"/>
  <c r="I25"/>
  <c r="I26"/>
  <c r="F25"/>
  <c r="F26"/>
  <c r="K26" l="1"/>
  <c r="K25"/>
  <c r="W50" i="39" l="1"/>
  <c r="U50"/>
  <c r="U54"/>
  <c r="U56"/>
  <c r="L56"/>
  <c r="L54"/>
  <c r="L50"/>
  <c r="L52"/>
  <c r="K57"/>
  <c r="K55"/>
  <c r="K53"/>
  <c r="K51"/>
  <c r="J56"/>
  <c r="J54"/>
  <c r="I57"/>
  <c r="I55"/>
  <c r="I53"/>
  <c r="I51"/>
  <c r="H57"/>
  <c r="H55"/>
  <c r="H53"/>
  <c r="H51"/>
  <c r="G56"/>
  <c r="G54"/>
  <c r="F57"/>
  <c r="E57"/>
  <c r="D57"/>
  <c r="C57"/>
  <c r="C55"/>
  <c r="D55"/>
  <c r="E55"/>
  <c r="F55"/>
  <c r="C53"/>
  <c r="D53"/>
  <c r="E53"/>
  <c r="F53"/>
  <c r="C51"/>
  <c r="D51"/>
  <c r="E51"/>
  <c r="F51"/>
  <c r="B57"/>
  <c r="I24" i="36" l="1"/>
  <c r="F24"/>
  <c r="K24" l="1"/>
  <c r="C17" i="44" l="1"/>
  <c r="D17"/>
  <c r="G17"/>
  <c r="F17"/>
  <c r="E17"/>
  <c r="I23" i="36" l="1"/>
  <c r="F23"/>
  <c r="K23" l="1"/>
  <c r="I22" l="1"/>
  <c r="F22"/>
  <c r="K22" l="1"/>
  <c r="I21" l="1"/>
  <c r="F21"/>
  <c r="K21" l="1"/>
  <c r="W56" i="39" l="1"/>
  <c r="Q56"/>
  <c r="B55" l="1"/>
  <c r="W54"/>
  <c r="Q54"/>
  <c r="V53"/>
  <c r="B53"/>
  <c r="W52"/>
  <c r="U52"/>
  <c r="Q52"/>
  <c r="J52"/>
  <c r="G52"/>
  <c r="V51"/>
  <c r="B51"/>
  <c r="Q50"/>
  <c r="J50"/>
  <c r="G50"/>
  <c r="V49"/>
  <c r="S49"/>
  <c r="K49"/>
  <c r="I49"/>
  <c r="H49"/>
  <c r="F49"/>
  <c r="E49"/>
  <c r="D49"/>
  <c r="C49"/>
  <c r="B49"/>
  <c r="W48"/>
  <c r="U48"/>
  <c r="Q48"/>
  <c r="L48"/>
  <c r="J48"/>
  <c r="G48"/>
  <c r="V47"/>
  <c r="S47"/>
  <c r="K47"/>
  <c r="I47"/>
  <c r="H47"/>
  <c r="F47"/>
  <c r="E47"/>
  <c r="D47"/>
  <c r="C47"/>
  <c r="B47"/>
  <c r="W46"/>
  <c r="U46"/>
  <c r="Q46"/>
  <c r="L46"/>
  <c r="J46"/>
  <c r="G46"/>
  <c r="V45"/>
  <c r="S45"/>
  <c r="K45"/>
  <c r="I45"/>
  <c r="H45"/>
  <c r="F45"/>
  <c r="E45"/>
  <c r="D45"/>
  <c r="C45"/>
  <c r="B45"/>
  <c r="W44"/>
  <c r="U44"/>
  <c r="Q44"/>
  <c r="L44"/>
  <c r="J44"/>
  <c r="G44"/>
  <c r="V43"/>
  <c r="S43"/>
  <c r="K43"/>
  <c r="I43"/>
  <c r="H43"/>
  <c r="F43"/>
  <c r="E43"/>
  <c r="D43"/>
  <c r="C43"/>
  <c r="B43"/>
  <c r="W42"/>
  <c r="U42"/>
  <c r="Q42"/>
  <c r="L42"/>
  <c r="J42"/>
  <c r="G42"/>
  <c r="V41"/>
  <c r="S41"/>
  <c r="K41"/>
  <c r="I41"/>
  <c r="H41"/>
  <c r="F41"/>
  <c r="E41"/>
  <c r="D41"/>
  <c r="C41"/>
  <c r="B41"/>
  <c r="W40"/>
  <c r="U40"/>
  <c r="Q40"/>
  <c r="L40"/>
  <c r="J40"/>
  <c r="G40"/>
  <c r="K38"/>
  <c r="I38"/>
  <c r="H38"/>
  <c r="F38"/>
  <c r="E38"/>
  <c r="D38"/>
  <c r="C38"/>
  <c r="B38"/>
  <c r="W37"/>
  <c r="V37"/>
  <c r="V38" s="1"/>
  <c r="U37"/>
  <c r="S37"/>
  <c r="S38" s="1"/>
  <c r="Q37"/>
  <c r="L37"/>
  <c r="J37"/>
  <c r="G37"/>
  <c r="K36"/>
  <c r="I36"/>
  <c r="H36"/>
  <c r="F36"/>
  <c r="E36"/>
  <c r="D36"/>
  <c r="C36"/>
  <c r="B36"/>
  <c r="W35"/>
  <c r="V35"/>
  <c r="V36" s="1"/>
  <c r="U35"/>
  <c r="S35"/>
  <c r="S36" s="1"/>
  <c r="Q35"/>
  <c r="L35"/>
  <c r="J35"/>
  <c r="G35"/>
  <c r="K34"/>
  <c r="I34"/>
  <c r="H34"/>
  <c r="F34"/>
  <c r="E34"/>
  <c r="D34"/>
  <c r="C34"/>
  <c r="B34"/>
  <c r="W33"/>
  <c r="V33"/>
  <c r="V34" s="1"/>
  <c r="U33"/>
  <c r="S33"/>
  <c r="S34" s="1"/>
  <c r="Q33"/>
  <c r="L33"/>
  <c r="J33"/>
  <c r="G33"/>
  <c r="K32"/>
  <c r="I32"/>
  <c r="H32"/>
  <c r="F32"/>
  <c r="E32"/>
  <c r="D32"/>
  <c r="C32"/>
  <c r="B32"/>
  <c r="W31"/>
  <c r="V31"/>
  <c r="V32" s="1"/>
  <c r="U31"/>
  <c r="S31"/>
  <c r="S32" s="1"/>
  <c r="Q31"/>
  <c r="L31"/>
  <c r="J31"/>
  <c r="G31"/>
  <c r="S30"/>
  <c r="K30"/>
  <c r="I30"/>
  <c r="H30"/>
  <c r="F30"/>
  <c r="E30"/>
  <c r="D30"/>
  <c r="C30"/>
  <c r="B30"/>
  <c r="W29"/>
  <c r="V29"/>
  <c r="V30" s="1"/>
  <c r="U29"/>
  <c r="Q29"/>
  <c r="L29"/>
  <c r="J29"/>
  <c r="G29"/>
  <c r="V28"/>
  <c r="S28"/>
  <c r="K28"/>
  <c r="I28"/>
  <c r="H28"/>
  <c r="F28"/>
  <c r="E28"/>
  <c r="D28"/>
  <c r="C28"/>
  <c r="B28"/>
  <c r="Q27"/>
  <c r="L27"/>
  <c r="J27"/>
  <c r="G27"/>
  <c r="V26"/>
  <c r="S26"/>
  <c r="K26"/>
  <c r="I26"/>
  <c r="H26"/>
  <c r="F26"/>
  <c r="E26"/>
  <c r="D26"/>
  <c r="C26"/>
  <c r="B26"/>
  <c r="Q25"/>
  <c r="L25"/>
  <c r="J25"/>
  <c r="G25"/>
  <c r="V24"/>
  <c r="S24"/>
  <c r="K24"/>
  <c r="I24"/>
  <c r="H24"/>
  <c r="F24"/>
  <c r="E24"/>
  <c r="D24"/>
  <c r="C24"/>
  <c r="B24"/>
  <c r="Q23"/>
  <c r="L23"/>
  <c r="J23"/>
  <c r="G23"/>
  <c r="V22"/>
  <c r="S22"/>
  <c r="K22"/>
  <c r="I22"/>
  <c r="H22"/>
  <c r="F22"/>
  <c r="E22"/>
  <c r="D22"/>
  <c r="C22"/>
  <c r="B22"/>
  <c r="Q21"/>
  <c r="L21"/>
  <c r="J21"/>
  <c r="G21"/>
  <c r="V20"/>
  <c r="S20"/>
  <c r="K20"/>
  <c r="I20"/>
  <c r="H20"/>
  <c r="F20"/>
  <c r="E20"/>
  <c r="D20"/>
  <c r="C20"/>
  <c r="B20"/>
  <c r="Q19"/>
  <c r="L19"/>
  <c r="J19"/>
  <c r="G19"/>
  <c r="V18"/>
  <c r="S18"/>
  <c r="K18"/>
  <c r="I18"/>
  <c r="H18"/>
  <c r="F18"/>
  <c r="E18"/>
  <c r="D18"/>
  <c r="C18"/>
  <c r="B18"/>
  <c r="Q17"/>
  <c r="L17"/>
  <c r="J17"/>
  <c r="G17"/>
  <c r="V16"/>
  <c r="S16"/>
  <c r="K16"/>
  <c r="I16"/>
  <c r="H16"/>
  <c r="F16"/>
  <c r="E16"/>
  <c r="D16"/>
  <c r="C16"/>
  <c r="B16"/>
  <c r="Q15"/>
  <c r="L15"/>
  <c r="J15"/>
  <c r="G15"/>
  <c r="V14"/>
  <c r="S14"/>
  <c r="K14"/>
  <c r="I14"/>
  <c r="H14"/>
  <c r="F14"/>
  <c r="E14"/>
  <c r="D14"/>
  <c r="C14"/>
  <c r="B14"/>
  <c r="Q13"/>
  <c r="L13"/>
  <c r="J13"/>
  <c r="G13"/>
  <c r="V12"/>
  <c r="S12"/>
  <c r="K12"/>
  <c r="I12"/>
  <c r="H12"/>
  <c r="F12"/>
  <c r="E12"/>
  <c r="D12"/>
  <c r="C12"/>
  <c r="B12"/>
  <c r="Q11"/>
  <c r="L11"/>
  <c r="J11"/>
  <c r="G11"/>
  <c r="V10"/>
  <c r="S10"/>
  <c r="K10"/>
  <c r="I10"/>
  <c r="H10"/>
  <c r="F10"/>
  <c r="E10"/>
  <c r="D10"/>
  <c r="C10"/>
  <c r="B10"/>
  <c r="Q9"/>
  <c r="L9"/>
  <c r="J9"/>
  <c r="G9"/>
  <c r="V8"/>
  <c r="S8"/>
  <c r="K8"/>
  <c r="I8"/>
  <c r="H8"/>
  <c r="F8"/>
  <c r="E8"/>
  <c r="D8"/>
  <c r="C8"/>
  <c r="B8"/>
  <c r="Q7"/>
  <c r="L7"/>
  <c r="J7"/>
  <c r="G7"/>
  <c r="W39" i="27" l="1"/>
  <c r="Q28" i="11" l="1"/>
  <c r="P28"/>
  <c r="O28"/>
  <c r="N28"/>
  <c r="M28"/>
  <c r="L28"/>
  <c r="K28"/>
  <c r="J28"/>
  <c r="I28"/>
  <c r="H28"/>
  <c r="G28"/>
  <c r="F28"/>
  <c r="E28"/>
  <c r="D28"/>
  <c r="C28"/>
  <c r="B28"/>
  <c r="Q15"/>
  <c r="P15"/>
  <c r="O15"/>
  <c r="N15"/>
  <c r="M15"/>
  <c r="L15"/>
  <c r="K15"/>
  <c r="J15"/>
  <c r="I15"/>
  <c r="H15"/>
  <c r="G15"/>
  <c r="F15"/>
  <c r="E15"/>
  <c r="D15"/>
  <c r="C15"/>
  <c r="B15"/>
  <c r="I6" i="36" l="1"/>
  <c r="F6"/>
  <c r="K6" l="1"/>
  <c r="Q69" i="37" l="1"/>
  <c r="S69" s="1"/>
  <c r="Q67"/>
  <c r="S67" s="1"/>
  <c r="Q65"/>
  <c r="S65" s="1"/>
  <c r="Q63"/>
  <c r="S63" s="1"/>
  <c r="Q61"/>
  <c r="S61" s="1"/>
  <c r="U59"/>
  <c r="S59"/>
  <c r="E60" s="1"/>
  <c r="Q59"/>
  <c r="Q57"/>
  <c r="S57" s="1"/>
  <c r="Q55"/>
  <c r="S53"/>
  <c r="H54" s="1"/>
  <c r="Q53"/>
  <c r="Q51"/>
  <c r="S51" s="1"/>
  <c r="Q49"/>
  <c r="S49" s="1"/>
  <c r="Q47"/>
  <c r="S47" s="1"/>
  <c r="Q45"/>
  <c r="S45" s="1"/>
  <c r="H46" s="1"/>
  <c r="U43"/>
  <c r="S43"/>
  <c r="E44" s="1"/>
  <c r="Q43"/>
  <c r="Q41"/>
  <c r="S41" s="1"/>
  <c r="B40"/>
  <c r="S39"/>
  <c r="K40" s="1"/>
  <c r="Q39"/>
  <c r="S36"/>
  <c r="H37" s="1"/>
  <c r="Q36"/>
  <c r="Q34"/>
  <c r="S34" s="1"/>
  <c r="E35" s="1"/>
  <c r="Q32"/>
  <c r="S32" s="1"/>
  <c r="Q30"/>
  <c r="S30" s="1"/>
  <c r="S28"/>
  <c r="H29" s="1"/>
  <c r="Q28"/>
  <c r="Q26"/>
  <c r="S26" s="1"/>
  <c r="Q24"/>
  <c r="S24" s="1"/>
  <c r="B23"/>
  <c r="S22"/>
  <c r="M23" s="1"/>
  <c r="Q22"/>
  <c r="Q20"/>
  <c r="S20" s="1"/>
  <c r="H21" s="1"/>
  <c r="Q18"/>
  <c r="S18" s="1"/>
  <c r="Q16"/>
  <c r="S16" s="1"/>
  <c r="Q14"/>
  <c r="S14" s="1"/>
  <c r="Q12"/>
  <c r="S12" s="1"/>
  <c r="Q10"/>
  <c r="S10" s="1"/>
  <c r="Q8"/>
  <c r="S8" s="1"/>
  <c r="R7"/>
  <c r="U6"/>
  <c r="S6"/>
  <c r="K7" s="1"/>
  <c r="Q6"/>
  <c r="E52" l="1"/>
  <c r="U51"/>
  <c r="H52"/>
  <c r="K31"/>
  <c r="D31"/>
  <c r="B31"/>
  <c r="C31"/>
  <c r="K64"/>
  <c r="E64"/>
  <c r="B64"/>
  <c r="F64"/>
  <c r="C64"/>
  <c r="G64"/>
  <c r="N64"/>
  <c r="D64"/>
  <c r="O64"/>
  <c r="E40"/>
  <c r="F40"/>
  <c r="D40"/>
  <c r="C40"/>
  <c r="E19"/>
  <c r="I19"/>
  <c r="M19"/>
  <c r="U18"/>
  <c r="K15"/>
  <c r="R15"/>
  <c r="U14"/>
  <c r="B15"/>
  <c r="P15"/>
  <c r="Q15"/>
  <c r="R11"/>
  <c r="U10"/>
  <c r="I11"/>
  <c r="M11"/>
  <c r="Q31"/>
  <c r="Q23"/>
  <c r="I60"/>
  <c r="F44"/>
  <c r="H60"/>
  <c r="E68"/>
  <c r="M68"/>
  <c r="U67"/>
  <c r="F68"/>
  <c r="H68"/>
  <c r="R68"/>
  <c r="K48"/>
  <c r="L48"/>
  <c r="Q48"/>
  <c r="N48"/>
  <c r="E48"/>
  <c r="O48"/>
  <c r="P48"/>
  <c r="D48"/>
  <c r="G48"/>
  <c r="R48"/>
  <c r="C48"/>
  <c r="S48"/>
  <c r="B48"/>
  <c r="F48"/>
  <c r="E27"/>
  <c r="U26"/>
  <c r="I27"/>
  <c r="M27"/>
  <c r="O7"/>
  <c r="N15"/>
  <c r="Q52"/>
  <c r="M15"/>
  <c r="S40"/>
  <c r="S23"/>
  <c r="P23"/>
  <c r="M7"/>
  <c r="O23"/>
  <c r="L15"/>
  <c r="N23"/>
  <c r="Q29"/>
  <c r="P31"/>
  <c r="R40"/>
  <c r="S55"/>
  <c r="Q56" s="1"/>
  <c r="R23"/>
  <c r="R31"/>
  <c r="Q68"/>
  <c r="O15"/>
  <c r="F7"/>
  <c r="P7"/>
  <c r="Q44"/>
  <c r="G23"/>
  <c r="Q40"/>
  <c r="P40"/>
  <c r="D7"/>
  <c r="Q11"/>
  <c r="E15"/>
  <c r="Q19"/>
  <c r="E23"/>
  <c r="G31"/>
  <c r="M35"/>
  <c r="O40"/>
  <c r="Q46"/>
  <c r="Q54"/>
  <c r="S64"/>
  <c r="Q7"/>
  <c r="N7"/>
  <c r="Q60"/>
  <c r="E7"/>
  <c r="Q37"/>
  <c r="C7"/>
  <c r="D15"/>
  <c r="D23"/>
  <c r="F31"/>
  <c r="I35"/>
  <c r="N40"/>
  <c r="M44"/>
  <c r="M52"/>
  <c r="R64"/>
  <c r="Q35"/>
  <c r="S31"/>
  <c r="Q21"/>
  <c r="G7"/>
  <c r="G15"/>
  <c r="O31"/>
  <c r="F15"/>
  <c r="F23"/>
  <c r="N31"/>
  <c r="B7"/>
  <c r="S7"/>
  <c r="C15"/>
  <c r="S15"/>
  <c r="C23"/>
  <c r="Q27"/>
  <c r="E31"/>
  <c r="U34"/>
  <c r="G40"/>
  <c r="I44"/>
  <c r="I52"/>
  <c r="M60"/>
  <c r="P64"/>
  <c r="N42"/>
  <c r="B42"/>
  <c r="C42"/>
  <c r="P42"/>
  <c r="D42"/>
  <c r="Q42"/>
  <c r="E42"/>
  <c r="R42"/>
  <c r="F42"/>
  <c r="S42"/>
  <c r="G42"/>
  <c r="H42"/>
  <c r="I42"/>
  <c r="J42"/>
  <c r="K42"/>
  <c r="O42"/>
  <c r="L42"/>
  <c r="M42"/>
  <c r="U41"/>
  <c r="N50"/>
  <c r="B50"/>
  <c r="O50"/>
  <c r="C50"/>
  <c r="P50"/>
  <c r="D50"/>
  <c r="Q50"/>
  <c r="E50"/>
  <c r="R50"/>
  <c r="F50"/>
  <c r="S50"/>
  <c r="G50"/>
  <c r="H50"/>
  <c r="I50"/>
  <c r="J50"/>
  <c r="K50"/>
  <c r="L50"/>
  <c r="M50"/>
  <c r="U49"/>
  <c r="N58"/>
  <c r="B58"/>
  <c r="O58"/>
  <c r="C58"/>
  <c r="P58"/>
  <c r="D58"/>
  <c r="Q58"/>
  <c r="E58"/>
  <c r="R58"/>
  <c r="F58"/>
  <c r="S58"/>
  <c r="G58"/>
  <c r="H58"/>
  <c r="I58"/>
  <c r="J58"/>
  <c r="K58"/>
  <c r="L58"/>
  <c r="M58"/>
  <c r="U57"/>
  <c r="N66"/>
  <c r="B66"/>
  <c r="O66"/>
  <c r="C66"/>
  <c r="P66"/>
  <c r="D66"/>
  <c r="Q66"/>
  <c r="E66"/>
  <c r="R66"/>
  <c r="F66"/>
  <c r="S66"/>
  <c r="G66"/>
  <c r="H66"/>
  <c r="I66"/>
  <c r="J66"/>
  <c r="K66"/>
  <c r="L66"/>
  <c r="M66"/>
  <c r="U65"/>
  <c r="N17"/>
  <c r="B17"/>
  <c r="Q17"/>
  <c r="P17"/>
  <c r="D17"/>
  <c r="R17"/>
  <c r="F17"/>
  <c r="S17"/>
  <c r="G17"/>
  <c r="H17"/>
  <c r="I17"/>
  <c r="J17"/>
  <c r="K17"/>
  <c r="E17"/>
  <c r="L17"/>
  <c r="C17"/>
  <c r="M17"/>
  <c r="U16"/>
  <c r="O17"/>
  <c r="H62"/>
  <c r="I62"/>
  <c r="J62"/>
  <c r="K62"/>
  <c r="L62"/>
  <c r="M62"/>
  <c r="U61"/>
  <c r="N62"/>
  <c r="B62"/>
  <c r="O62"/>
  <c r="C62"/>
  <c r="P62"/>
  <c r="D62"/>
  <c r="E62"/>
  <c r="R62"/>
  <c r="F62"/>
  <c r="S62"/>
  <c r="G62"/>
  <c r="N25"/>
  <c r="P25"/>
  <c r="D25"/>
  <c r="Q25"/>
  <c r="E25"/>
  <c r="R25"/>
  <c r="F25"/>
  <c r="S25"/>
  <c r="G25"/>
  <c r="H25"/>
  <c r="I25"/>
  <c r="J25"/>
  <c r="K25"/>
  <c r="L25"/>
  <c r="C25"/>
  <c r="M25"/>
  <c r="U24"/>
  <c r="B25"/>
  <c r="O25"/>
  <c r="H70"/>
  <c r="I70"/>
  <c r="J70"/>
  <c r="K70"/>
  <c r="L70"/>
  <c r="M70"/>
  <c r="U69"/>
  <c r="N70"/>
  <c r="B70"/>
  <c r="O70"/>
  <c r="C70"/>
  <c r="P70"/>
  <c r="D70"/>
  <c r="E70"/>
  <c r="R70"/>
  <c r="F70"/>
  <c r="S70"/>
  <c r="G70"/>
  <c r="H13"/>
  <c r="J13"/>
  <c r="K13"/>
  <c r="L13"/>
  <c r="M13"/>
  <c r="U12"/>
  <c r="N13"/>
  <c r="B13"/>
  <c r="O13"/>
  <c r="C13"/>
  <c r="P13"/>
  <c r="D13"/>
  <c r="E13"/>
  <c r="R13"/>
  <c r="F13"/>
  <c r="I13"/>
  <c r="S13"/>
  <c r="G13"/>
  <c r="N9"/>
  <c r="C9"/>
  <c r="P9"/>
  <c r="D9"/>
  <c r="Q9"/>
  <c r="E9"/>
  <c r="R9"/>
  <c r="F9"/>
  <c r="S9"/>
  <c r="G9"/>
  <c r="H9"/>
  <c r="I9"/>
  <c r="J9"/>
  <c r="K9"/>
  <c r="L9"/>
  <c r="O9"/>
  <c r="M9"/>
  <c r="U8"/>
  <c r="B9"/>
  <c r="N33"/>
  <c r="B33"/>
  <c r="P33"/>
  <c r="D33"/>
  <c r="Q33"/>
  <c r="E33"/>
  <c r="R33"/>
  <c r="F33"/>
  <c r="S33"/>
  <c r="G33"/>
  <c r="H33"/>
  <c r="I33"/>
  <c r="J33"/>
  <c r="K33"/>
  <c r="L33"/>
  <c r="O33"/>
  <c r="M33"/>
  <c r="U32"/>
  <c r="C33"/>
  <c r="L7"/>
  <c r="F11"/>
  <c r="R19"/>
  <c r="L23"/>
  <c r="I29"/>
  <c r="R35"/>
  <c r="L40"/>
  <c r="I46"/>
  <c r="J7"/>
  <c r="D11"/>
  <c r="P11"/>
  <c r="J15"/>
  <c r="D19"/>
  <c r="P19"/>
  <c r="G21"/>
  <c r="S21"/>
  <c r="J23"/>
  <c r="D27"/>
  <c r="P27"/>
  <c r="G29"/>
  <c r="S29"/>
  <c r="J31"/>
  <c r="D35"/>
  <c r="P35"/>
  <c r="G37"/>
  <c r="S37"/>
  <c r="J40"/>
  <c r="D44"/>
  <c r="P44"/>
  <c r="G46"/>
  <c r="S46"/>
  <c r="J48"/>
  <c r="D52"/>
  <c r="P52"/>
  <c r="G54"/>
  <c r="S54"/>
  <c r="J56"/>
  <c r="D60"/>
  <c r="P60"/>
  <c r="J64"/>
  <c r="D68"/>
  <c r="P68"/>
  <c r="F19"/>
  <c r="I21"/>
  <c r="F27"/>
  <c r="E11"/>
  <c r="K23"/>
  <c r="I7"/>
  <c r="C11"/>
  <c r="O11"/>
  <c r="I15"/>
  <c r="C19"/>
  <c r="O19"/>
  <c r="F21"/>
  <c r="R21"/>
  <c r="I23"/>
  <c r="C27"/>
  <c r="O27"/>
  <c r="F29"/>
  <c r="R29"/>
  <c r="I31"/>
  <c r="C35"/>
  <c r="O35"/>
  <c r="F37"/>
  <c r="R37"/>
  <c r="I40"/>
  <c r="C44"/>
  <c r="O44"/>
  <c r="F46"/>
  <c r="R46"/>
  <c r="I48"/>
  <c r="C52"/>
  <c r="O52"/>
  <c r="F54"/>
  <c r="R54"/>
  <c r="I56"/>
  <c r="C60"/>
  <c r="O60"/>
  <c r="I64"/>
  <c r="C68"/>
  <c r="O68"/>
  <c r="H7"/>
  <c r="B11"/>
  <c r="N11"/>
  <c r="Q13"/>
  <c r="H15"/>
  <c r="B19"/>
  <c r="N19"/>
  <c r="E21"/>
  <c r="H23"/>
  <c r="B27"/>
  <c r="N27"/>
  <c r="E29"/>
  <c r="H31"/>
  <c r="B35"/>
  <c r="N35"/>
  <c r="E37"/>
  <c r="H40"/>
  <c r="B44"/>
  <c r="N44"/>
  <c r="E46"/>
  <c r="H48"/>
  <c r="B52"/>
  <c r="N52"/>
  <c r="E54"/>
  <c r="H56"/>
  <c r="B60"/>
  <c r="N60"/>
  <c r="Q62"/>
  <c r="H64"/>
  <c r="B68"/>
  <c r="N68"/>
  <c r="Q70"/>
  <c r="D21"/>
  <c r="P21"/>
  <c r="D29"/>
  <c r="P29"/>
  <c r="D37"/>
  <c r="P37"/>
  <c r="D46"/>
  <c r="P46"/>
  <c r="D54"/>
  <c r="P54"/>
  <c r="L11"/>
  <c r="L19"/>
  <c r="C21"/>
  <c r="O21"/>
  <c r="L27"/>
  <c r="C29"/>
  <c r="O29"/>
  <c r="L35"/>
  <c r="C37"/>
  <c r="O37"/>
  <c r="L44"/>
  <c r="C46"/>
  <c r="O46"/>
  <c r="L52"/>
  <c r="C54"/>
  <c r="O54"/>
  <c r="L60"/>
  <c r="L68"/>
  <c r="K11"/>
  <c r="K19"/>
  <c r="B21"/>
  <c r="N21"/>
  <c r="K27"/>
  <c r="B29"/>
  <c r="N29"/>
  <c r="K35"/>
  <c r="B37"/>
  <c r="N37"/>
  <c r="K44"/>
  <c r="B46"/>
  <c r="N46"/>
  <c r="K52"/>
  <c r="B54"/>
  <c r="N54"/>
  <c r="K60"/>
  <c r="Q64"/>
  <c r="K68"/>
  <c r="J11"/>
  <c r="J19"/>
  <c r="U20"/>
  <c r="M21"/>
  <c r="J27"/>
  <c r="U28"/>
  <c r="M29"/>
  <c r="J35"/>
  <c r="U36"/>
  <c r="M37"/>
  <c r="J44"/>
  <c r="U45"/>
  <c r="M46"/>
  <c r="J52"/>
  <c r="U53"/>
  <c r="M54"/>
  <c r="J60"/>
  <c r="J68"/>
  <c r="L21"/>
  <c r="L29"/>
  <c r="L37"/>
  <c r="L46"/>
  <c r="L54"/>
  <c r="I68"/>
  <c r="H11"/>
  <c r="H19"/>
  <c r="K21"/>
  <c r="H27"/>
  <c r="K29"/>
  <c r="H35"/>
  <c r="K37"/>
  <c r="H44"/>
  <c r="K46"/>
  <c r="K54"/>
  <c r="G11"/>
  <c r="S11"/>
  <c r="G19"/>
  <c r="S19"/>
  <c r="J21"/>
  <c r="U22"/>
  <c r="G27"/>
  <c r="S27"/>
  <c r="J29"/>
  <c r="U30"/>
  <c r="M31"/>
  <c r="G35"/>
  <c r="S35"/>
  <c r="J37"/>
  <c r="U39"/>
  <c r="M40"/>
  <c r="G44"/>
  <c r="S44"/>
  <c r="J46"/>
  <c r="U47"/>
  <c r="M48"/>
  <c r="G52"/>
  <c r="S52"/>
  <c r="J54"/>
  <c r="U55"/>
  <c r="M56"/>
  <c r="G60"/>
  <c r="S60"/>
  <c r="U63"/>
  <c r="M64"/>
  <c r="G68"/>
  <c r="S68"/>
  <c r="R27"/>
  <c r="L31"/>
  <c r="F35"/>
  <c r="I37"/>
  <c r="R44"/>
  <c r="F52"/>
  <c r="R52"/>
  <c r="I54"/>
  <c r="L56"/>
  <c r="F60"/>
  <c r="R60"/>
  <c r="L64"/>
  <c r="K56" l="1"/>
  <c r="N56"/>
  <c r="C56"/>
  <c r="O56"/>
  <c r="P56"/>
  <c r="R56"/>
  <c r="G56"/>
  <c r="S56"/>
  <c r="D56"/>
  <c r="B56"/>
  <c r="E56"/>
  <c r="F56"/>
  <c r="W38" i="27" l="1"/>
  <c r="W37"/>
  <c r="U31" i="32" l="1"/>
  <c r="T31"/>
  <c r="S31"/>
  <c r="R31"/>
  <c r="Q31"/>
  <c r="P31"/>
  <c r="O31"/>
  <c r="M31"/>
  <c r="K31"/>
  <c r="I31"/>
  <c r="H31"/>
  <c r="G31"/>
  <c r="F31"/>
  <c r="E31"/>
  <c r="D31"/>
  <c r="C31"/>
  <c r="B31"/>
  <c r="U18"/>
  <c r="T18"/>
  <c r="S18"/>
  <c r="R18"/>
  <c r="Q18"/>
  <c r="P18"/>
  <c r="O18"/>
  <c r="N18"/>
  <c r="M18"/>
  <c r="K18"/>
  <c r="I18"/>
  <c r="H18"/>
  <c r="G18"/>
  <c r="F18"/>
  <c r="E18"/>
  <c r="D18"/>
  <c r="C18"/>
  <c r="B18"/>
  <c r="W36" i="27"/>
  <c r="W35"/>
  <c r="W34"/>
  <c r="W33"/>
  <c r="R32"/>
  <c r="Q32"/>
  <c r="P32"/>
  <c r="O32"/>
  <c r="R31"/>
  <c r="Q31"/>
  <c r="P31"/>
  <c r="O31"/>
  <c r="R30"/>
  <c r="Q30"/>
  <c r="P30"/>
  <c r="O30"/>
  <c r="R29"/>
  <c r="Q29"/>
  <c r="P29"/>
  <c r="O29"/>
  <c r="R28"/>
  <c r="Q28"/>
  <c r="P28"/>
  <c r="O28"/>
  <c r="R27"/>
  <c r="Q27"/>
  <c r="P27"/>
  <c r="O27"/>
  <c r="AB26"/>
  <c r="AA26"/>
  <c r="Z26"/>
  <c r="Y26"/>
  <c r="R26"/>
  <c r="Q26"/>
  <c r="P26"/>
  <c r="O26"/>
  <c r="R25"/>
  <c r="Q25"/>
  <c r="P25"/>
  <c r="O25"/>
  <c r="X24"/>
  <c r="R24"/>
  <c r="Q24"/>
  <c r="P24"/>
  <c r="O24"/>
  <c r="X23"/>
  <c r="R23"/>
  <c r="Q23"/>
  <c r="P23"/>
  <c r="O23"/>
  <c r="X21"/>
  <c r="W19"/>
</calcChain>
</file>

<file path=xl/sharedStrings.xml><?xml version="1.0" encoding="utf-8"?>
<sst xmlns="http://schemas.openxmlformats.org/spreadsheetml/2006/main" count="9839" uniqueCount="3080">
  <si>
    <t>(In million US$)</t>
  </si>
  <si>
    <t>28.01.09</t>
  </si>
  <si>
    <t>25.02.09</t>
  </si>
  <si>
    <t>25.02.29</t>
  </si>
  <si>
    <t>25.03.09</t>
  </si>
  <si>
    <t>25.03.29</t>
  </si>
  <si>
    <t>29.04.09</t>
  </si>
  <si>
    <t>29.04.29</t>
  </si>
  <si>
    <t>27.05.09</t>
  </si>
  <si>
    <t>27.05.29</t>
  </si>
  <si>
    <t>24.06.09</t>
  </si>
  <si>
    <t>24.06.29</t>
  </si>
  <si>
    <t>29.07.09</t>
  </si>
  <si>
    <t>29.07.29</t>
  </si>
  <si>
    <t>26.08.09</t>
  </si>
  <si>
    <t>26.08.29</t>
  </si>
  <si>
    <t>Source :</t>
  </si>
  <si>
    <t>RATES OF INTEREST ON NON-RESIDENT FOREIGN CURRENCY DEPOSIT (NFCD) ACCOUNT                             PRIVATE BANKS</t>
  </si>
  <si>
    <t>RATES OF INTEREST ON NON-RESIDENT FOREIGN CURRENCY DEPOSIT (NFCD) ACCOUNT                              FOREIGN BANKS</t>
  </si>
  <si>
    <t>Clothing &amp; Footwear</t>
  </si>
  <si>
    <t>Gross rent, Fuel &amp; Lighting</t>
  </si>
  <si>
    <t xml:space="preserve"> Period</t>
  </si>
  <si>
    <t>DMBs Borrowings</t>
  </si>
  <si>
    <t>DMBs Deposits (Excluding BSBL &amp; Inter-Bank)</t>
  </si>
  <si>
    <t>(Taka in crore)</t>
  </si>
  <si>
    <t>Particulars</t>
  </si>
  <si>
    <t>Savings Deposits:</t>
  </si>
  <si>
    <t>Fixed Deposits:</t>
  </si>
  <si>
    <t>Term Loan to Small Industry</t>
  </si>
  <si>
    <t>Net Profit After Tax</t>
  </si>
  <si>
    <t>Note:</t>
  </si>
  <si>
    <t>23.01.08</t>
  </si>
  <si>
    <t>27.02.08</t>
  </si>
  <si>
    <t>27.03.08</t>
  </si>
  <si>
    <t>23.04.08</t>
  </si>
  <si>
    <t>28.05.08</t>
  </si>
  <si>
    <t>27.08.08</t>
  </si>
  <si>
    <t>24.09.08</t>
  </si>
  <si>
    <t>29.10.08</t>
  </si>
  <si>
    <t>26.11.08</t>
  </si>
  <si>
    <t>24.12.08</t>
  </si>
  <si>
    <r>
      <t xml:space="preserve">United States </t>
    </r>
    <r>
      <rPr>
        <sz val="6"/>
        <color indexed="8"/>
        <rFont val="Times New Roman"/>
        <family val="1"/>
      </rPr>
      <t>(Rotterdam)</t>
    </r>
  </si>
  <si>
    <t>28.01.29</t>
  </si>
  <si>
    <t>23.01.28</t>
  </si>
  <si>
    <t>27.02.28</t>
  </si>
  <si>
    <t>27.03.28</t>
  </si>
  <si>
    <t>23.04.28</t>
  </si>
  <si>
    <t>28.05.28</t>
  </si>
  <si>
    <t>24.09.28</t>
  </si>
  <si>
    <t>29.10.28</t>
  </si>
  <si>
    <t>26.11.28</t>
  </si>
  <si>
    <t>24.12.28</t>
  </si>
  <si>
    <t>-</t>
  </si>
  <si>
    <t>Mudaraba Short Term Deposits</t>
  </si>
  <si>
    <t>Mudaraba Hajj Savings Deposits :</t>
  </si>
  <si>
    <t>Cash Waqf.</t>
  </si>
  <si>
    <t>Chinese  Yuan</t>
  </si>
  <si>
    <t>RATES OF INTEREST ON NON-RESIDENT FOREIGN CURRENCY DEPOSIT (NFCD) ACCOUNT                                       STATE OWNED COMMERCIAL BANKS</t>
  </si>
  <si>
    <t>Hong Kong Dollar</t>
  </si>
  <si>
    <t>Japanese Yen</t>
  </si>
  <si>
    <t xml:space="preserve">No. of Persons </t>
  </si>
  <si>
    <t xml:space="preserve">Remittances </t>
  </si>
  <si>
    <t>Saudi Arabia</t>
  </si>
  <si>
    <t>Kuwait</t>
  </si>
  <si>
    <t>Libya</t>
  </si>
  <si>
    <t>Qatar</t>
  </si>
  <si>
    <t>Oman</t>
  </si>
  <si>
    <t>Singapore</t>
  </si>
  <si>
    <t>Germany</t>
  </si>
  <si>
    <t>Bahrain</t>
  </si>
  <si>
    <t>Iran</t>
  </si>
  <si>
    <t>Japan</t>
  </si>
  <si>
    <t>Other Countries</t>
  </si>
  <si>
    <t>Total Income</t>
  </si>
  <si>
    <t>Total Expenditure</t>
  </si>
  <si>
    <t>Bangladesh Bank (Central Bank)</t>
  </si>
  <si>
    <t>Specialized Banks</t>
  </si>
  <si>
    <t>Total Manpower</t>
  </si>
  <si>
    <t>1 month</t>
  </si>
  <si>
    <t>1 year</t>
  </si>
  <si>
    <t>Pound Sterling</t>
  </si>
  <si>
    <t>2009-10</t>
  </si>
  <si>
    <t>A.</t>
  </si>
  <si>
    <t>Bank Rate</t>
  </si>
  <si>
    <t>C.</t>
  </si>
  <si>
    <t>2008-09</t>
  </si>
  <si>
    <t>Engineering </t>
  </si>
  <si>
    <t>Jute Industries</t>
  </si>
  <si>
    <t>Exports</t>
  </si>
  <si>
    <t>Cement Industries</t>
  </si>
  <si>
    <t>Total Market Capitalisation</t>
  </si>
  <si>
    <t>Retail Market Price of Dhaka City</t>
  </si>
  <si>
    <t>Inflation (Food)</t>
  </si>
  <si>
    <t>Inflation (Non-food)</t>
  </si>
  <si>
    <t>Point -to- Point</t>
  </si>
  <si>
    <t>12- Month Average</t>
  </si>
  <si>
    <t xml:space="preserve">Social Islami Bank </t>
  </si>
  <si>
    <t>State Owned Commercial Banks</t>
  </si>
  <si>
    <t>5 years</t>
  </si>
  <si>
    <t>8 years</t>
  </si>
  <si>
    <t>Double Benefit Scheme</t>
  </si>
  <si>
    <t>Triple Benefit Scheme</t>
  </si>
  <si>
    <t>Mudaraba Steady Money</t>
  </si>
  <si>
    <t>Mudaraba Super Savings</t>
  </si>
  <si>
    <t>Mudaraba Multi Plus Savings</t>
  </si>
  <si>
    <t>Mudaraba Smart Saver Deposits</t>
  </si>
  <si>
    <t>Mudaraba Lakhopati Deposits Scheme</t>
  </si>
  <si>
    <t>Mudaraba Future Deposits Scheme</t>
  </si>
  <si>
    <t>Mudaraba Housing  Savings Scheme</t>
  </si>
  <si>
    <t>Children Savings Scheme</t>
  </si>
  <si>
    <t>Point -to-Point</t>
  </si>
  <si>
    <t>Tea</t>
  </si>
  <si>
    <t xml:space="preserve">August </t>
  </si>
  <si>
    <t>Clinker</t>
  </si>
  <si>
    <t>Cotton</t>
  </si>
  <si>
    <t>Banking Sector</t>
  </si>
  <si>
    <t>TRADE</t>
  </si>
  <si>
    <t>FOREIGN</t>
  </si>
  <si>
    <t xml:space="preserve">PRODUCTION OF MAJOR </t>
  </si>
  <si>
    <t>AGRICULTURAL COMMODITIES</t>
  </si>
  <si>
    <t>Currency in Circulation</t>
  </si>
  <si>
    <t>From</t>
  </si>
  <si>
    <t>PAYMENTS</t>
  </si>
  <si>
    <t>BALANCE OF</t>
  </si>
  <si>
    <t>Monetary Aggregates</t>
  </si>
  <si>
    <t xml:space="preserve">SELECTED ECONOMIC </t>
  </si>
  <si>
    <t>INDICATORS  </t>
  </si>
  <si>
    <t>BB</t>
  </si>
  <si>
    <t>DMBs</t>
  </si>
  <si>
    <t>Advances &amp; Bills</t>
  </si>
  <si>
    <t>Percentage change over end of the last June</t>
  </si>
  <si>
    <t>Income Velocity of  Money</t>
  </si>
  <si>
    <t xml:space="preserve">  </t>
  </si>
  <si>
    <t>Credit (Net) to Gover- nment</t>
  </si>
  <si>
    <t>Credit to Other Public Sector</t>
  </si>
  <si>
    <t>Bank Rate </t>
  </si>
  <si>
    <t>Deposits</t>
  </si>
  <si>
    <t xml:space="preserve"> Advances </t>
  </si>
  <si>
    <t>TABLE- IV (Contd.)</t>
  </si>
  <si>
    <t>Total Domestic credit</t>
  </si>
  <si>
    <t>End of period</t>
  </si>
  <si>
    <t>Interest Rates on</t>
  </si>
  <si>
    <t>Specialised Banks</t>
  </si>
  <si>
    <t>Private Banks</t>
  </si>
  <si>
    <t>RAKUB</t>
  </si>
  <si>
    <t>TABLE- IIE</t>
  </si>
  <si>
    <t xml:space="preserve">Lending Rates: </t>
  </si>
  <si>
    <t>Agriculture</t>
  </si>
  <si>
    <t>Sub-Category-1</t>
  </si>
  <si>
    <t>Sub-Category-2</t>
  </si>
  <si>
    <t>Non-Financial  Corporation</t>
  </si>
  <si>
    <t xml:space="preserve">         Deposit Liabilities</t>
  </si>
  <si>
    <t xml:space="preserve">         - =Not applicable</t>
  </si>
  <si>
    <r>
      <t>* Dubai Mediam, Fateh 32</t>
    </r>
    <r>
      <rPr>
        <vertAlign val="superscript"/>
        <sz val="6.5"/>
        <color indexed="8"/>
        <rFont val="Times New Roman"/>
        <family val="1"/>
      </rPr>
      <t xml:space="preserve">o </t>
    </r>
    <r>
      <rPr>
        <sz val="6.5"/>
        <color indexed="8"/>
        <rFont val="Times New Roman"/>
        <family val="1"/>
      </rPr>
      <t>API, Spot, f.o.b. U.K.</t>
    </r>
  </si>
  <si>
    <r>
      <t xml:space="preserve"> @ United Kingdom Light, Brent 38</t>
    </r>
    <r>
      <rPr>
        <vertAlign val="superscript"/>
        <sz val="6.5"/>
        <color indexed="8"/>
        <rFont val="Times New Roman"/>
        <family val="1"/>
      </rPr>
      <t>o</t>
    </r>
    <r>
      <rPr>
        <sz val="6.5"/>
        <color indexed="8"/>
        <rFont val="Times New Roman"/>
        <family val="1"/>
      </rPr>
      <t xml:space="preserve"> API, Spot, f.o.b. U.K.</t>
    </r>
  </si>
  <si>
    <t>Term Loan to Large &amp; Medium Scale Industry</t>
  </si>
  <si>
    <t xml:space="preserve">  Sub-Category-1</t>
  </si>
  <si>
    <t xml:space="preserve">  Sub-Category-2</t>
  </si>
  <si>
    <t>NBDCs</t>
  </si>
  <si>
    <t>Working Capital to Industry</t>
  </si>
  <si>
    <t xml:space="preserve">Trade Financing </t>
  </si>
  <si>
    <t xml:space="preserve">Housing Loan </t>
  </si>
  <si>
    <t xml:space="preserve">Consumer Credit </t>
  </si>
  <si>
    <t xml:space="preserve">Others </t>
  </si>
  <si>
    <t>NCCBL</t>
  </si>
  <si>
    <t>BCBL</t>
  </si>
  <si>
    <t>Bank Asia</t>
  </si>
  <si>
    <t>Woori Bank</t>
  </si>
  <si>
    <t>MERCHANDISE EXPORTS</t>
  </si>
  <si>
    <t>MERCHANDISE IMPORTS</t>
  </si>
  <si>
    <t>MERCHANDISE</t>
  </si>
  <si>
    <t>IMPORTS</t>
  </si>
  <si>
    <t>Aus Rice</t>
  </si>
  <si>
    <t>Aman Rice</t>
  </si>
  <si>
    <t>Boro Rice</t>
  </si>
  <si>
    <t>Currency     in Tills of DMBs</t>
  </si>
  <si>
    <t>Deposit Money Banks  (DMBs)</t>
  </si>
  <si>
    <t>To      Private</t>
  </si>
  <si>
    <t>To    Public</t>
  </si>
  <si>
    <t>Public    Bills</t>
  </si>
  <si>
    <t xml:space="preserve">                       Public                                                                  Sector</t>
  </si>
  <si>
    <t>Invest-ment</t>
  </si>
  <si>
    <t>Credit     to    Private Sector</t>
  </si>
  <si>
    <t>Other                                 Public Sector</t>
  </si>
  <si>
    <t>CPI of Major Non-Food Items / Groups</t>
  </si>
  <si>
    <t>91 percent of savings deposits are included in time deposits with effect from July 2007</t>
  </si>
  <si>
    <t>To     Banks</t>
  </si>
  <si>
    <t xml:space="preserve">                      Rates,             Ratios         &amp;         Average         </t>
  </si>
  <si>
    <t>Foreign Trade (during the period)</t>
  </si>
  <si>
    <t>2010-11</t>
  </si>
  <si>
    <t xml:space="preserve"> Bangladesh Bureau of Statistics</t>
  </si>
  <si>
    <t xml:space="preserve">                 </t>
  </si>
  <si>
    <t>TABLE-IB</t>
  </si>
  <si>
    <t>TABLE-IIA</t>
  </si>
  <si>
    <r>
      <t>Note :</t>
    </r>
    <r>
      <rPr>
        <sz val="7"/>
        <rFont val="Times New Roman"/>
        <family val="1"/>
      </rPr>
      <t xml:space="preserve"> </t>
    </r>
  </si>
  <si>
    <r>
      <t xml:space="preserve">Source    </t>
    </r>
    <r>
      <rPr>
        <sz val="7"/>
        <rFont val="Times New Roman"/>
        <family val="1"/>
      </rPr>
      <t xml:space="preserve">: </t>
    </r>
  </si>
  <si>
    <r>
      <t xml:space="preserve">Note        </t>
    </r>
    <r>
      <rPr>
        <sz val="7"/>
        <rFont val="Times New Roman"/>
        <family val="1"/>
      </rPr>
      <t>: </t>
    </r>
  </si>
  <si>
    <t>Government       (Net)</t>
  </si>
  <si>
    <t>5= (3+4)</t>
  </si>
  <si>
    <t>8= (6+7)</t>
  </si>
  <si>
    <t>In FC   Clearing A/C</t>
  </si>
  <si>
    <t>Deposits with BB</t>
  </si>
  <si>
    <t>By  DMBs</t>
  </si>
  <si>
    <t>TABLE-IIC</t>
  </si>
  <si>
    <t>TABLE-IID</t>
  </si>
  <si>
    <t xml:space="preserve">Net Foreign Assets </t>
  </si>
  <si>
    <t>Deposit Money Banks</t>
  </si>
  <si>
    <r>
      <t xml:space="preserve">Total </t>
    </r>
    <r>
      <rPr>
        <sz val="8"/>
        <rFont val="Times New Roman"/>
        <family val="1"/>
      </rPr>
      <t>(2+3+4+5)</t>
    </r>
  </si>
  <si>
    <t>Net Domestic Assets (6+7)</t>
  </si>
  <si>
    <t>Reserve Money (1+8)</t>
  </si>
  <si>
    <t>Currency      in Tills of DMBs</t>
  </si>
  <si>
    <t xml:space="preserve">Note           : </t>
  </si>
  <si>
    <t>TABLE-IIF</t>
  </si>
  <si>
    <t>5 = (3+4)</t>
  </si>
  <si>
    <t>10 = (1+2+5+8+9)</t>
  </si>
  <si>
    <t xml:space="preserve">Note :  </t>
  </si>
  <si>
    <t>8 = (6+7)</t>
  </si>
  <si>
    <t>Commodities  ( others than food grains )</t>
  </si>
  <si>
    <t>( Taka in crore )</t>
  </si>
  <si>
    <t>Pharma-ceutical Products</t>
  </si>
  <si>
    <t>Capital machinery</t>
  </si>
  <si>
    <t>Total Exports     (1         through    10)</t>
  </si>
  <si>
    <t>Commodities                                                                                                ( other than food grains )</t>
  </si>
  <si>
    <t>TABLE-IV (Concld.)</t>
  </si>
  <si>
    <t xml:space="preserve">           </t>
  </si>
  <si>
    <t>Financial Institutions</t>
  </si>
  <si>
    <t>Mutual Funds</t>
  </si>
  <si>
    <t>13=(3+6+9+12)</t>
  </si>
  <si>
    <t>TABLE-V (Contd.)</t>
  </si>
  <si>
    <t>Tax Revenue Receipts (under NBR)</t>
  </si>
  <si>
    <t xml:space="preserve">SELECTED TAX REVENUE RECEIPTS  </t>
  </si>
  <si>
    <t>Telecomm-unication</t>
  </si>
  <si>
    <t>000'  sq. Metres</t>
  </si>
  <si>
    <t>Source : </t>
  </si>
  <si>
    <t xml:space="preserve">                  </t>
  </si>
  <si>
    <t xml:space="preserve">               </t>
  </si>
  <si>
    <t xml:space="preserve">                </t>
  </si>
  <si>
    <t>Monthly Profit Based Deposits</t>
  </si>
  <si>
    <t>Hajj Deposit (Term)</t>
  </si>
  <si>
    <t>Iranian Riyal</t>
  </si>
  <si>
    <t>Myanmar Kyat</t>
  </si>
  <si>
    <t>South Korean Won</t>
  </si>
  <si>
    <t>Soya bean Oil     (US $ /MT)</t>
  </si>
  <si>
    <t>Food      Products</t>
  </si>
  <si>
    <t>Oil      Products</t>
  </si>
  <si>
    <t xml:space="preserve">KEY INDICATORS OF </t>
  </si>
  <si>
    <t>NATIONAL ACCOUNTS</t>
  </si>
  <si>
    <t>GDP at Current Market Price</t>
  </si>
  <si>
    <t>GNI at Current Market Price</t>
  </si>
  <si>
    <t>Net  Current Transfer from Abroad</t>
  </si>
  <si>
    <t>Gross Domestic Savings at Current Market Price</t>
  </si>
  <si>
    <t>Gross National Savings at  Current Market Price</t>
  </si>
  <si>
    <t>National Savings as % of GDP at Current Market Price</t>
  </si>
  <si>
    <t>GDP at Constant Market Price</t>
  </si>
  <si>
    <t>GNI at Constant Market Price</t>
  </si>
  <si>
    <t>Per Capita (Amount in unit)</t>
  </si>
  <si>
    <t>Income at Current Market Price</t>
  </si>
  <si>
    <t>P = Provisional</t>
  </si>
  <si>
    <t>Non-Food</t>
  </si>
  <si>
    <t>Transport &amp; Communi-cations</t>
  </si>
  <si>
    <t>Recreation, Entertain-ment, Education &amp; Cultural Services</t>
  </si>
  <si>
    <t>Source:</t>
  </si>
  <si>
    <r>
      <t>Source</t>
    </r>
    <r>
      <rPr>
        <sz val="7"/>
        <color indexed="8"/>
        <rFont val="Times New Roman"/>
        <family val="1"/>
      </rPr>
      <t>: Bangladesh Bureau of Statistics</t>
    </r>
  </si>
  <si>
    <t>Import Duty</t>
  </si>
  <si>
    <t>Net Primary Income from Abroad</t>
  </si>
  <si>
    <t>Manufa-cturing</t>
  </si>
  <si>
    <t>Constr-uctions</t>
  </si>
  <si>
    <t>Finan-cial     Inter-medi-ations</t>
  </si>
  <si>
    <t>Educa-tion</t>
  </si>
  <si>
    <t>TABLE-X</t>
  </si>
  <si>
    <r>
      <t>Note       :</t>
    </r>
    <r>
      <rPr>
        <sz val="8"/>
        <color indexed="8"/>
        <rFont val="Times New Roman"/>
        <family val="1"/>
      </rPr>
      <t xml:space="preserve"> </t>
    </r>
  </si>
  <si>
    <t>Gross Disposable National  Income at Current Market Price</t>
  </si>
  <si>
    <t>Total Consum-ption at Current Market Price</t>
  </si>
  <si>
    <t>Income at Constant Market Price</t>
  </si>
  <si>
    <t>Annual Growth     of GDP at Constant Market Price %</t>
  </si>
  <si>
    <t>Miscella-neous </t>
  </si>
  <si>
    <t>u)</t>
  </si>
  <si>
    <t>Mudaraba Marriage Savings Scheme</t>
  </si>
  <si>
    <t>DMBs Total Assets/ Liabilities</t>
  </si>
  <si>
    <t>Total Invest-ments as    % of GDP at Current Market Price</t>
  </si>
  <si>
    <t>Total Consum-ption as % of GDP at Current Market Price</t>
  </si>
  <si>
    <t>Export Duty</t>
  </si>
  <si>
    <t xml:space="preserve"> Weighted Average Exchange Rate</t>
  </si>
  <si>
    <t>ii)  Loan above Tk. 15 lacs</t>
  </si>
  <si>
    <t>i)  Loan upto Tk. 15 lacs</t>
  </si>
  <si>
    <t>Sugar Cane</t>
  </si>
  <si>
    <t>Rape &amp; Mustard</t>
  </si>
  <si>
    <t>TABLE-V (Concld.)</t>
  </si>
  <si>
    <t>Moong</t>
  </si>
  <si>
    <t>Masur</t>
  </si>
  <si>
    <t>Tobacco</t>
  </si>
  <si>
    <t>Jute</t>
  </si>
  <si>
    <t>…</t>
  </si>
  <si>
    <t xml:space="preserve">iii) </t>
  </si>
  <si>
    <t xml:space="preserve">iv) </t>
  </si>
  <si>
    <t>iii)</t>
  </si>
  <si>
    <t>iv)</t>
  </si>
  <si>
    <t>Banking)</t>
  </si>
  <si>
    <t>INDICATORS</t>
  </si>
  <si>
    <t>TABLE-IA (Contd.)</t>
  </si>
  <si>
    <t xml:space="preserve"> Euro</t>
  </si>
  <si>
    <t>v)</t>
  </si>
  <si>
    <t>f)</t>
  </si>
  <si>
    <t>i)</t>
  </si>
  <si>
    <t>j)</t>
  </si>
  <si>
    <t>k)</t>
  </si>
  <si>
    <t>l)</t>
  </si>
  <si>
    <t>m)</t>
  </si>
  <si>
    <t>n)</t>
  </si>
  <si>
    <t>o)</t>
  </si>
  <si>
    <t>p)</t>
  </si>
  <si>
    <t xml:space="preserve">Domestic  </t>
  </si>
  <si>
    <t>AT INTERNATIONAL MARKET</t>
  </si>
  <si>
    <t>TABLE-IIIB</t>
  </si>
  <si>
    <t>Cotton (U.S. Cents/ pound)</t>
  </si>
  <si>
    <t>Gold (US $/ Troy Ounce)</t>
  </si>
  <si>
    <t xml:space="preserve">APPRECIATION / DEPRECIATION OF SELECTED </t>
  </si>
  <si>
    <t>CURRENCIES AGAINST US DOLLAR</t>
  </si>
  <si>
    <t>(Taka per</t>
  </si>
  <si>
    <t>RATES</t>
  </si>
  <si>
    <t>Currencies)</t>
  </si>
  <si>
    <t>EXCHANGE</t>
  </si>
  <si>
    <t xml:space="preserve">REMITTANCES </t>
  </si>
  <si>
    <t>36.37 Litres</t>
  </si>
  <si>
    <r>
      <t>1(</t>
    </r>
    <r>
      <rPr>
        <vertAlign val="superscript"/>
        <sz val="9"/>
        <color indexed="8"/>
        <rFont val="Times New Roman"/>
        <family val="1"/>
      </rPr>
      <t>0</t>
    </r>
    <r>
      <rPr>
        <sz val="9"/>
        <color indexed="8"/>
        <rFont val="Times New Roman"/>
        <family val="1"/>
      </rPr>
      <t>F)</t>
    </r>
  </si>
  <si>
    <r>
      <t>1.8(</t>
    </r>
    <r>
      <rPr>
        <vertAlign val="superscript"/>
        <sz val="9"/>
        <color indexed="8"/>
        <rFont val="Times New Roman"/>
        <family val="1"/>
      </rPr>
      <t>0</t>
    </r>
    <r>
      <rPr>
        <sz val="9"/>
        <color indexed="8"/>
        <rFont val="Times New Roman"/>
        <family val="1"/>
      </rPr>
      <t>C) + 32</t>
    </r>
  </si>
  <si>
    <t>100 Decimals</t>
  </si>
  <si>
    <t xml:space="preserve">Appendix : </t>
  </si>
  <si>
    <t>TABLE-IIB</t>
  </si>
  <si>
    <t>Services</t>
  </si>
  <si>
    <t>2007-08</t>
  </si>
  <si>
    <t>Liverpool  Index</t>
  </si>
  <si>
    <t>Inflows</t>
  </si>
  <si>
    <t>Stocks</t>
  </si>
  <si>
    <t xml:space="preserve">Total               </t>
  </si>
  <si>
    <t xml:space="preserve">Total                </t>
  </si>
  <si>
    <t>28.10.09</t>
  </si>
  <si>
    <t>28.10.29</t>
  </si>
  <si>
    <t>23.12.09</t>
  </si>
  <si>
    <t>23.12.29</t>
  </si>
  <si>
    <t>24.02.10</t>
  </si>
  <si>
    <t>24.02.30</t>
  </si>
  <si>
    <t>24.03.10</t>
  </si>
  <si>
    <t>24.03.30</t>
  </si>
  <si>
    <t>TABLE-XVI</t>
  </si>
  <si>
    <t xml:space="preserve">g)  </t>
  </si>
  <si>
    <t>Mudaraba Special Deposit  Pension Scheme</t>
  </si>
  <si>
    <t>12 years</t>
  </si>
  <si>
    <t xml:space="preserve"> i) </t>
  </si>
  <si>
    <t xml:space="preserve"> ii) </t>
  </si>
  <si>
    <t>15 years</t>
  </si>
  <si>
    <t>20 years</t>
  </si>
  <si>
    <t>25 years</t>
  </si>
  <si>
    <t>10 years</t>
  </si>
  <si>
    <t>Non Resident Bond</t>
  </si>
  <si>
    <t xml:space="preserve">h) </t>
  </si>
  <si>
    <t xml:space="preserve">e)     </t>
  </si>
  <si>
    <t>Benefit Scheme</t>
  </si>
  <si>
    <t xml:space="preserve">f) </t>
  </si>
  <si>
    <t>Millionaire Scheme Deposit</t>
  </si>
  <si>
    <t>ii)  11 to 25  years</t>
  </si>
  <si>
    <t>iii)  One Time Hajj Deposits</t>
  </si>
  <si>
    <t>i)    1 to 10 years</t>
  </si>
  <si>
    <t>MMPDR / Hajj Deposit (Monthly)</t>
  </si>
  <si>
    <t>... =Not applicable</t>
  </si>
  <si>
    <t xml:space="preserve">               </t>
  </si>
  <si>
    <t>… = Not Available</t>
  </si>
  <si>
    <t xml:space="preserve">Source :      </t>
  </si>
  <si>
    <t xml:space="preserve">Source : </t>
  </si>
  <si>
    <t xml:space="preserve">            </t>
  </si>
  <si>
    <t>TABLE-XVIII</t>
  </si>
  <si>
    <t>Source    :</t>
  </si>
  <si>
    <t>MONETARY</t>
  </si>
  <si>
    <t xml:space="preserve">COUNTRY-WISE WORKERS' </t>
  </si>
  <si>
    <t>Bangladeshi Taka</t>
  </si>
  <si>
    <t>South Korean  Won</t>
  </si>
  <si>
    <t>Sri  Lankan Rupee</t>
  </si>
  <si>
    <t xml:space="preserve">Source   : </t>
  </si>
  <si>
    <t>Deposits with BB other than DMBs</t>
  </si>
  <si>
    <t>DMBs Advances</t>
  </si>
  <si>
    <t>DMBs Investment</t>
  </si>
  <si>
    <t>Other Financial Corporation &amp; NBDCs</t>
  </si>
  <si>
    <t>Public</t>
  </si>
  <si>
    <t>Non-Financial Corporation</t>
  </si>
  <si>
    <t>10=(1+2+5+8+9)</t>
  </si>
  <si>
    <t xml:space="preserve">Total </t>
  </si>
  <si>
    <t>1 Maund</t>
  </si>
  <si>
    <t>=</t>
  </si>
  <si>
    <t>37.324 Kgs.</t>
  </si>
  <si>
    <t>1 Bale</t>
  </si>
  <si>
    <t>180 Kgs.</t>
  </si>
  <si>
    <t>82.285 lbs.</t>
  </si>
  <si>
    <t>4.823 Mds.</t>
  </si>
  <si>
    <t>1 Seer</t>
  </si>
  <si>
    <t>0.933 Kg.</t>
  </si>
  <si>
    <t>1 Metric Ton</t>
  </si>
  <si>
    <t>1000 Kgs.</t>
  </si>
  <si>
    <t>Public Sector</t>
  </si>
  <si>
    <t>26.792 Mds.</t>
  </si>
  <si>
    <t>1 Pound (lb)</t>
  </si>
  <si>
    <t>0.4536 Kg.</t>
  </si>
  <si>
    <t>1 Long Ton</t>
  </si>
  <si>
    <t>1016.05 Kgs.</t>
  </si>
  <si>
    <t>1 Tola</t>
  </si>
  <si>
    <t>11.66 gms.</t>
  </si>
  <si>
    <t>27.223 Mds.</t>
  </si>
  <si>
    <t>1 Metre</t>
  </si>
  <si>
    <t>39.37 Inches</t>
  </si>
  <si>
    <t>1 Ounce</t>
  </si>
  <si>
    <t>2.43 Tola</t>
  </si>
  <si>
    <t>3.2808 Ft.</t>
  </si>
  <si>
    <t>28.35 gms.</t>
  </si>
  <si>
    <t>1 Sq. Metre</t>
  </si>
  <si>
    <t>10.764 Sq. Ft.</t>
  </si>
  <si>
    <t>1 Troy ounce</t>
  </si>
  <si>
    <t>1 Mile</t>
  </si>
  <si>
    <t>1.6093 Km.</t>
  </si>
  <si>
    <t>2.666 Tola</t>
  </si>
  <si>
    <t>0.3048 Metre</t>
  </si>
  <si>
    <t>1 Quintal</t>
  </si>
  <si>
    <t>100 Kgs.</t>
  </si>
  <si>
    <t>1 Sq. Ft.</t>
  </si>
  <si>
    <t>0.0929 Sq. Metre</t>
  </si>
  <si>
    <t>220.5 lbs.</t>
  </si>
  <si>
    <t>1 Bigha</t>
  </si>
  <si>
    <t>0.3306 Acre</t>
  </si>
  <si>
    <t>2.679 Mds.</t>
  </si>
  <si>
    <t xml:space="preserve">TABLE-III A (Contd.) </t>
  </si>
  <si>
    <t>TABLE-III A (Concld.)</t>
  </si>
  <si>
    <t>1600 Sq. Yards</t>
  </si>
  <si>
    <t>0.1 Metric Ton</t>
  </si>
  <si>
    <t xml:space="preserve">MONETARY </t>
  </si>
  <si>
    <t>BY DEPOSITORY CORPORATIONS</t>
  </si>
  <si>
    <t>BY THE BANKING SYSTEM</t>
  </si>
  <si>
    <t>1.65 Decimal</t>
  </si>
  <si>
    <t>1 Litre</t>
  </si>
  <si>
    <t>0.22 Gallon</t>
  </si>
  <si>
    <t>720 Sq. Ft.</t>
  </si>
  <si>
    <t>1000 CC</t>
  </si>
  <si>
    <t>66.89 Sq. Metre</t>
  </si>
  <si>
    <t>0.027 Bushel</t>
  </si>
  <si>
    <t>1 Decimal</t>
  </si>
  <si>
    <t>435.6 Sq. Ft.</t>
  </si>
  <si>
    <t>1 Barrel</t>
  </si>
  <si>
    <t>34.9726 Gallon</t>
  </si>
  <si>
    <t>1 Acre</t>
  </si>
  <si>
    <t>0.405 Hectare</t>
  </si>
  <si>
    <t>0.125 M. T.</t>
  </si>
  <si>
    <t>4840 Sq. Yards</t>
  </si>
  <si>
    <t>1 Crore</t>
  </si>
  <si>
    <t>10 Millions</t>
  </si>
  <si>
    <t>100 Lacs.</t>
  </si>
  <si>
    <t>1 Hectare</t>
  </si>
  <si>
    <t>2.47 Acres</t>
  </si>
  <si>
    <t>0.01 Billion</t>
  </si>
  <si>
    <t>1 Megawatt</t>
  </si>
  <si>
    <t>1000 Kilo Watts.</t>
  </si>
  <si>
    <t xml:space="preserve"> --- = Not applicable</t>
  </si>
  <si>
    <t>q)</t>
  </si>
  <si>
    <t>Mudaraba Muhar Savings(10yrs.)</t>
  </si>
  <si>
    <t>r)</t>
  </si>
  <si>
    <t>BDBL</t>
  </si>
  <si>
    <t>Mudaraba Muhar Savings(5yrs.)</t>
  </si>
  <si>
    <t>s)</t>
  </si>
  <si>
    <t>t)</t>
  </si>
  <si>
    <t>26.09.07</t>
  </si>
  <si>
    <t>24.10.07</t>
  </si>
  <si>
    <t>28.11.07</t>
  </si>
  <si>
    <t>26.09.27</t>
  </si>
  <si>
    <t>24.10.27</t>
  </si>
  <si>
    <t>28.11.27</t>
  </si>
  <si>
    <t>ii)</t>
  </si>
  <si>
    <t>1 Katha</t>
  </si>
  <si>
    <t>4046.8468 Sq. Metre</t>
  </si>
  <si>
    <t>1 Feet</t>
  </si>
  <si>
    <t>End of Period</t>
  </si>
  <si>
    <t>Banks</t>
  </si>
  <si>
    <t>Total</t>
  </si>
  <si>
    <t>Private</t>
  </si>
  <si>
    <t>Domestic</t>
  </si>
  <si>
    <t>Average</t>
  </si>
  <si>
    <t>Period</t>
  </si>
  <si>
    <t>Net Foreign Assets</t>
  </si>
  <si>
    <t>Domestic Credit</t>
  </si>
  <si>
    <t>Government (Net)</t>
  </si>
  <si>
    <t>Other Public Sector</t>
  </si>
  <si>
    <t>Goods</t>
  </si>
  <si>
    <t>Receipts</t>
  </si>
  <si>
    <t>Payments</t>
  </si>
  <si>
    <t>Official</t>
  </si>
  <si>
    <t>Others</t>
  </si>
  <si>
    <t>Food grains</t>
  </si>
  <si>
    <t>Rice</t>
  </si>
  <si>
    <t>Wheat</t>
  </si>
  <si>
    <t>Spices</t>
  </si>
  <si>
    <t>Yarn</t>
  </si>
  <si>
    <t>Paper</t>
  </si>
  <si>
    <t>Cigarettes</t>
  </si>
  <si>
    <t>Food</t>
  </si>
  <si>
    <t>Matches</t>
  </si>
  <si>
    <t>CPI</t>
  </si>
  <si>
    <t>General</t>
  </si>
  <si>
    <t>Inflation (General)</t>
  </si>
  <si>
    <t>Fishing</t>
  </si>
  <si>
    <t>Textile Industries</t>
  </si>
  <si>
    <t>Insurance</t>
  </si>
  <si>
    <t>B.</t>
  </si>
  <si>
    <t>(Percent per annum)</t>
  </si>
  <si>
    <t>Maturity of Deposits</t>
  </si>
  <si>
    <t>Borrowing Rate</t>
  </si>
  <si>
    <t>Highest</t>
  </si>
  <si>
    <t>Lowest</t>
  </si>
  <si>
    <t>Lending Rate</t>
  </si>
  <si>
    <t>Malaysia</t>
  </si>
  <si>
    <t>ACU Dollar</t>
  </si>
  <si>
    <t>Bahrain Dinar</t>
  </si>
  <si>
    <t>Canadian Dollar</t>
  </si>
  <si>
    <t>Danish Krone</t>
  </si>
  <si>
    <t>Indian Rupee</t>
  </si>
  <si>
    <t>Indonesian Rupiah</t>
  </si>
  <si>
    <t>Kuwaiti Dinar</t>
  </si>
  <si>
    <t>Nepalese Rupee</t>
  </si>
  <si>
    <t>New Zealand Dollar</t>
  </si>
  <si>
    <t>Norwegian Krone</t>
  </si>
  <si>
    <t>Omani Riyal</t>
  </si>
  <si>
    <t>Pakistani Rupee</t>
  </si>
  <si>
    <t>Philippines Peso</t>
  </si>
  <si>
    <t>Qatar Riyal</t>
  </si>
  <si>
    <t>Russian Ruble</t>
  </si>
  <si>
    <t>Saudi Arabian Riyal</t>
  </si>
  <si>
    <t>Singapore Dollar</t>
  </si>
  <si>
    <t>Swedish Krona</t>
  </si>
  <si>
    <t>SDR</t>
  </si>
  <si>
    <t>UAE Dirham</t>
  </si>
  <si>
    <t>US Dollar</t>
  </si>
  <si>
    <t>Australia</t>
  </si>
  <si>
    <t>Ukraine</t>
  </si>
  <si>
    <t>Argentina</t>
  </si>
  <si>
    <t>VAT</t>
  </si>
  <si>
    <t>Import</t>
  </si>
  <si>
    <t>Supplementary Tax</t>
  </si>
  <si>
    <t>Registration</t>
  </si>
  <si>
    <t>1993-94</t>
  </si>
  <si>
    <t>1994-95</t>
  </si>
  <si>
    <t>1995-96</t>
  </si>
  <si>
    <t>1996-97</t>
  </si>
  <si>
    <t>1997-98</t>
  </si>
  <si>
    <t>1998-99</t>
  </si>
  <si>
    <t>1999-00</t>
  </si>
  <si>
    <t>2000-01</t>
  </si>
  <si>
    <t>2001-02</t>
  </si>
  <si>
    <t>2002-03</t>
  </si>
  <si>
    <t>2003-04</t>
  </si>
  <si>
    <t>2004-05</t>
  </si>
  <si>
    <t>September</t>
  </si>
  <si>
    <t>December</t>
  </si>
  <si>
    <t>March</t>
  </si>
  <si>
    <t>June</t>
  </si>
  <si>
    <t>2005-06</t>
  </si>
  <si>
    <t>July</t>
  </si>
  <si>
    <t>August</t>
  </si>
  <si>
    <t>October</t>
  </si>
  <si>
    <t>November</t>
  </si>
  <si>
    <t>January</t>
  </si>
  <si>
    <t>February</t>
  </si>
  <si>
    <t>April</t>
  </si>
  <si>
    <t>May</t>
  </si>
  <si>
    <t>2006-07</t>
  </si>
  <si>
    <t>Weight</t>
  </si>
  <si>
    <t>Credit</t>
  </si>
  <si>
    <t xml:space="preserve">Domestic                                       </t>
  </si>
  <si>
    <t>TABLE-IA (concld.)</t>
  </si>
  <si>
    <t>Nature of Deposits</t>
  </si>
  <si>
    <t>Cotton Yarn</t>
  </si>
  <si>
    <t>Cotton Cloth</t>
  </si>
  <si>
    <t>Fertilizers</t>
  </si>
  <si>
    <t>Private Sector</t>
  </si>
  <si>
    <t>Total Domestic Credit (6+9+10)</t>
  </si>
  <si>
    <t>Other Revenue Receipts</t>
  </si>
  <si>
    <t>Post Office Revenue</t>
  </si>
  <si>
    <t>...</t>
  </si>
  <si>
    <t>Items</t>
  </si>
  <si>
    <t>Country of Origin &amp; Market</t>
  </si>
  <si>
    <t>U.K. (London)</t>
  </si>
  <si>
    <t>---</t>
  </si>
  <si>
    <t>Sugar</t>
  </si>
  <si>
    <t>1)</t>
  </si>
  <si>
    <t>2)</t>
  </si>
  <si>
    <t>3)</t>
  </si>
  <si>
    <t>4)</t>
  </si>
  <si>
    <t>5)</t>
  </si>
  <si>
    <t xml:space="preserve">Note     : </t>
  </si>
  <si>
    <t xml:space="preserve">SOME SELECTED COMMODITY PRICES </t>
  </si>
  <si>
    <t>Dubai* Fateh</t>
  </si>
  <si>
    <t>U.K. @ Brent</t>
  </si>
  <si>
    <t>United States (US Gulf Ports)</t>
  </si>
  <si>
    <t>Malaysia (NW Europe)</t>
  </si>
  <si>
    <t>All Origins (Dutch Ports)</t>
  </si>
  <si>
    <t>Working Capital to Large &amp; Medium Scale Industry</t>
  </si>
  <si>
    <t>Working Capital to Small Industry</t>
  </si>
  <si>
    <t>TABLE-XV (Contd.)</t>
  </si>
  <si>
    <t xml:space="preserve">Private                                                                                                                                          Banks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</si>
  <si>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Foreign                                                                                                                              Banks</t>
  </si>
  <si>
    <t>HSBC</t>
  </si>
  <si>
    <t>TABLE-XV (Concld.)</t>
  </si>
  <si>
    <t>Thailand (Bangkok)</t>
  </si>
  <si>
    <t>Thailand </t>
  </si>
  <si>
    <t>Australia </t>
  </si>
  <si>
    <t>E.U Import Price</t>
  </si>
  <si>
    <t>Free Market</t>
  </si>
  <si>
    <t>U.S. Import Price</t>
  </si>
  <si>
    <t>(In Percent) </t>
  </si>
  <si>
    <t>Australian Dollar</t>
  </si>
  <si>
    <t>Malaysian Ringgit</t>
  </si>
  <si>
    <t>Syrian Pound</t>
  </si>
  <si>
    <t>Mudaraba Savings Deposits</t>
  </si>
  <si>
    <t>Mudaraba Term Deposits</t>
  </si>
  <si>
    <t>a)</t>
  </si>
  <si>
    <t>3 years</t>
  </si>
  <si>
    <t>b)</t>
  </si>
  <si>
    <t>2 years</t>
  </si>
  <si>
    <t>c)</t>
  </si>
  <si>
    <t>d)</t>
  </si>
  <si>
    <t>6 months</t>
  </si>
  <si>
    <t>e)</t>
  </si>
  <si>
    <t>3 months</t>
  </si>
  <si>
    <t>Mudaraba Special Notice Deposits</t>
  </si>
  <si>
    <t>Monthly Term Savings Deposit</t>
  </si>
  <si>
    <t>Monthly Savings Investment Deposit</t>
  </si>
  <si>
    <t xml:space="preserve"> </t>
  </si>
  <si>
    <t xml:space="preserve">Deposits with </t>
  </si>
  <si>
    <t xml:space="preserve">MARKET CAPITALISATION (VALUE) OF ORDINARY SHARES OF COMPANIES </t>
  </si>
  <si>
    <t>Euro</t>
  </si>
  <si>
    <t xml:space="preserve">Net             </t>
  </si>
  <si>
    <t xml:space="preserve">Net                 </t>
  </si>
  <si>
    <t>9 = (7-8)</t>
  </si>
  <si>
    <t>6 = (4-5)</t>
  </si>
  <si>
    <t>3 = (1-2)</t>
  </si>
  <si>
    <t xml:space="preserve">Total             </t>
  </si>
  <si>
    <t>12 = (10+11)</t>
  </si>
  <si>
    <t xml:space="preserve">Total                        </t>
  </si>
  <si>
    <t xml:space="preserve">Total           </t>
  </si>
  <si>
    <t>14=(12+13)</t>
  </si>
  <si>
    <t>37=(14+36)</t>
  </si>
  <si>
    <t>38=(11-37)</t>
  </si>
  <si>
    <t>Gross National Income (GNI) (18+19)</t>
  </si>
  <si>
    <t>Total Advances  (excluding    inter-bank)    (18+19)</t>
  </si>
  <si>
    <t>Total Bills   (excluding inter-bank) (22+23)</t>
  </si>
  <si>
    <t>Total Investment  (excluding        inter-bank)      (26+27)</t>
  </si>
  <si>
    <t>To            Banks     (17+21+25)</t>
  </si>
  <si>
    <t>Total    Deposit Liabilities    (37+38)</t>
  </si>
  <si>
    <t xml:space="preserve">Total Credit to Government (Gross) by the                Banking System </t>
  </si>
  <si>
    <t>Swiss Franc</t>
  </si>
  <si>
    <r>
      <rPr>
        <b/>
        <sz val="8"/>
        <color indexed="8"/>
        <rFont val="Times New Roman"/>
        <family val="1"/>
      </rPr>
      <t>Source:</t>
    </r>
    <r>
      <rPr>
        <sz val="8"/>
        <color indexed="8"/>
        <rFont val="Times New Roman"/>
        <family val="1"/>
      </rPr>
      <t xml:space="preserve"> </t>
    </r>
  </si>
  <si>
    <t>12.94</t>
  </si>
  <si>
    <t>26.05.10</t>
  </si>
  <si>
    <t>26.05.30</t>
  </si>
  <si>
    <t>29.07.10</t>
  </si>
  <si>
    <t>29.07.30</t>
  </si>
  <si>
    <t>25.08.10</t>
  </si>
  <si>
    <t>25.08.30</t>
  </si>
  <si>
    <t>29.09.10</t>
  </si>
  <si>
    <t>29.09.30</t>
  </si>
  <si>
    <t>27.10.10</t>
  </si>
  <si>
    <t>27.10.30</t>
  </si>
  <si>
    <t>24.11.10</t>
  </si>
  <si>
    <t>24.11.30</t>
  </si>
  <si>
    <t>29.12.10</t>
  </si>
  <si>
    <t>26.01.11</t>
  </si>
  <si>
    <t>26.01.31</t>
  </si>
  <si>
    <t>23.02.11</t>
  </si>
  <si>
    <t>23.02.31</t>
  </si>
  <si>
    <t>23.03.11</t>
  </si>
  <si>
    <t>23.03.31</t>
  </si>
  <si>
    <t>27.04.31</t>
  </si>
  <si>
    <t>Note :</t>
  </si>
  <si>
    <r>
      <rPr>
        <b/>
        <sz val="8"/>
        <color indexed="8"/>
        <rFont val="Times New Roman"/>
        <family val="1"/>
      </rPr>
      <t>Note:</t>
    </r>
    <r>
      <rPr>
        <sz val="8"/>
        <color indexed="8"/>
        <rFont val="Times New Roman"/>
        <family val="1"/>
      </rPr>
      <t xml:space="preserve">   </t>
    </r>
  </si>
  <si>
    <t>IV</t>
  </si>
  <si>
    <t>V</t>
  </si>
  <si>
    <t>VII</t>
  </si>
  <si>
    <t>VIII</t>
  </si>
  <si>
    <t>X</t>
  </si>
  <si>
    <t>XI</t>
  </si>
  <si>
    <t>XIII</t>
  </si>
  <si>
    <t>XIV</t>
  </si>
  <si>
    <t>XV</t>
  </si>
  <si>
    <t>XVI</t>
  </si>
  <si>
    <t>XVII</t>
  </si>
  <si>
    <t>XVIII</t>
  </si>
  <si>
    <t>XIX</t>
  </si>
  <si>
    <t>XX</t>
  </si>
  <si>
    <t>XXI</t>
  </si>
  <si>
    <t>XXII</t>
  </si>
  <si>
    <t>XXIII</t>
  </si>
  <si>
    <t>XXIV</t>
  </si>
  <si>
    <t>XXV</t>
  </si>
  <si>
    <t>XXVI</t>
  </si>
  <si>
    <t>XXVII</t>
  </si>
  <si>
    <t>Italy</t>
  </si>
  <si>
    <t xml:space="preserve">Note   : </t>
  </si>
  <si>
    <t xml:space="preserve">     Source :</t>
  </si>
  <si>
    <t>2011-12</t>
  </si>
  <si>
    <t>South Korea</t>
  </si>
  <si>
    <t xml:space="preserve">Source :   </t>
  </si>
  <si>
    <t>1 Bushel</t>
  </si>
  <si>
    <t>STATISTICAL TABLES</t>
  </si>
  <si>
    <t>IA</t>
  </si>
  <si>
    <t>IB</t>
  </si>
  <si>
    <t>IIA</t>
  </si>
  <si>
    <t>IIB</t>
  </si>
  <si>
    <t>Claims on Resident Sector by the Banking System</t>
  </si>
  <si>
    <t>IIC</t>
  </si>
  <si>
    <t>IID</t>
  </si>
  <si>
    <t>IIE</t>
  </si>
  <si>
    <t>IIF</t>
  </si>
  <si>
    <t>IIIA</t>
  </si>
  <si>
    <t>Balance of  Payments</t>
  </si>
  <si>
    <t>IIIB</t>
  </si>
  <si>
    <t>Foreign Trade</t>
  </si>
  <si>
    <t xml:space="preserve">Production of Major Agricultural Commodities </t>
  </si>
  <si>
    <t xml:space="preserve">Production of Major Industrial Commodities (Other than Jute Goods) </t>
  </si>
  <si>
    <t>Average Prices of Selected Commodities</t>
  </si>
  <si>
    <t>Key Indicators of National Accounts</t>
  </si>
  <si>
    <t xml:space="preserve">Interest Rate Structure of Government Securities/Bonds and Savings Instruments </t>
  </si>
  <si>
    <t xml:space="preserve">Rate of Interest on Non-resident Foreign Currency Deposit (NFCD) Accounts </t>
  </si>
  <si>
    <t>Monthly Average Call Money Market Rates</t>
  </si>
  <si>
    <t>Some Indicators of Income, Expenditure &amp; Profitability of the Banking Sector</t>
  </si>
  <si>
    <t>Country-wise Workers’ Remittances</t>
  </si>
  <si>
    <t>Exchange Rates (Taka Per Currencies)</t>
  </si>
  <si>
    <t>Appreciation/Depreciation of Some Selected Currencies Against U.S. Dollar</t>
  </si>
  <si>
    <t>Some Selected Commodity Prices at International Markets</t>
  </si>
  <si>
    <t>Mudaraba Education Deposit Scheme</t>
  </si>
  <si>
    <t>Mudaraba Monthly Profit Deposit Scheme (5 yrs.)</t>
  </si>
  <si>
    <t>Mudaraba Monthly Profit Deposit Scheme (3 yrs.)</t>
  </si>
  <si>
    <t>Market Capitalisation (Value) of Ordinary Shares of Companies Listed with the Dhaka Stock Exchange Ltd.</t>
  </si>
  <si>
    <t>Monetary Survey (M2)</t>
  </si>
  <si>
    <t xml:space="preserve">Monetary Survey (M3)  </t>
  </si>
  <si>
    <t>Cash     Base     of the Economy (3+42)</t>
  </si>
  <si>
    <t>Portfolio  Investment</t>
  </si>
  <si>
    <t>Other Investment</t>
  </si>
  <si>
    <t>Reserve Assets</t>
  </si>
  <si>
    <t>News  Print</t>
  </si>
  <si>
    <t>Ferti-lizers</t>
  </si>
  <si>
    <t>Oil  seeds</t>
  </si>
  <si>
    <t xml:space="preserve">    Edible      oil</t>
  </si>
  <si>
    <t>Staple fibres</t>
  </si>
  <si>
    <t xml:space="preserve">   Customs     Duty</t>
  </si>
  <si>
    <t xml:space="preserve">     Income   Tax</t>
  </si>
  <si>
    <t>Soybean  (US $/ MT)</t>
  </si>
  <si>
    <t>  Total Credit    (excluding        inter-bank)  (20+24+28)</t>
  </si>
  <si>
    <t>Total (excluding inter-bank) (7+10)</t>
  </si>
  <si>
    <t xml:space="preserve">  Other Resident      Sector </t>
  </si>
  <si>
    <t xml:space="preserve">     Other Resident           Sector</t>
  </si>
  <si>
    <t xml:space="preserve">    Equity    Capital</t>
  </si>
  <si>
    <t xml:space="preserve">   Equity    Capital</t>
  </si>
  <si>
    <t xml:space="preserve">    Total   Manpower</t>
  </si>
  <si>
    <t>Total   Manpower</t>
  </si>
  <si>
    <t xml:space="preserve">  Net Profit After Tax</t>
  </si>
  <si>
    <t xml:space="preserve">     Net      Profit</t>
  </si>
  <si>
    <t xml:space="preserve">    Total       Income</t>
  </si>
  <si>
    <t xml:space="preserve">     Total    Manpower</t>
  </si>
  <si>
    <t xml:space="preserve">  Govern-     ment    (Net)</t>
  </si>
  <si>
    <t xml:space="preserve">  Banking Sector</t>
  </si>
  <si>
    <t xml:space="preserve">  Total (1+2+3)</t>
  </si>
  <si>
    <t xml:space="preserve">   Total  (5+6+7)</t>
  </si>
  <si>
    <t>Total (9+10)</t>
  </si>
  <si>
    <t xml:space="preserve">   Banking  Sector</t>
  </si>
  <si>
    <t>Total  (12+13)</t>
  </si>
  <si>
    <t>Editorial Committee</t>
  </si>
  <si>
    <t xml:space="preserve">Statistics Department </t>
  </si>
  <si>
    <t xml:space="preserve">Bangladesh Bank         </t>
  </si>
  <si>
    <t>Ratio of DMBs Credit to Deposits  (in percent) </t>
  </si>
  <si>
    <t xml:space="preserve">       Coal            (US $/MT)</t>
  </si>
  <si>
    <t>Reinvested  Earning</t>
  </si>
  <si>
    <t xml:space="preserve">  Intra-company Loans</t>
  </si>
  <si>
    <t>Intra-company Loans</t>
  </si>
  <si>
    <t>Reinvested Earning</t>
  </si>
  <si>
    <t xml:space="preserve">  Pulses     (all sorts)</t>
  </si>
  <si>
    <t xml:space="preserve">        Area       (in '000' acres)</t>
  </si>
  <si>
    <t xml:space="preserve">      Total          Manpower</t>
  </si>
  <si>
    <t xml:space="preserve"> Net Profit After Tax</t>
  </si>
  <si>
    <t xml:space="preserve">    Total   Income</t>
  </si>
  <si>
    <t xml:space="preserve">    Total    Income</t>
  </si>
  <si>
    <t>( Inflation, Production Index, Foreign Trade,</t>
  </si>
  <si>
    <t xml:space="preserve">CLAIMS ON RESIDENT SECTORS </t>
  </si>
  <si>
    <t xml:space="preserve"> &lt; 1.00 crore</t>
  </si>
  <si>
    <t>1.00 crore but  &lt; 25.00 crore</t>
  </si>
  <si>
    <t>25.00 crore but  &lt; 50.00 crore</t>
  </si>
  <si>
    <t>50.00 crore but  &lt; 100.00 crore</t>
  </si>
  <si>
    <t>3 months but &lt;6 months</t>
  </si>
  <si>
    <t>6 months but &lt; 1 year</t>
  </si>
  <si>
    <t>1 year but&lt; 2 years</t>
  </si>
  <si>
    <t>2 years but &lt; 3 years</t>
  </si>
  <si>
    <t>3 years &amp; above</t>
  </si>
  <si>
    <t>Special Notice Deposits (SND):</t>
  </si>
  <si>
    <t>Reserve Money (1+2+3+5)</t>
  </si>
  <si>
    <t>Commercial Banks</t>
  </si>
  <si>
    <t>SOME INDICATORS OF INCOME, EXPENDITURE &amp;</t>
  </si>
  <si>
    <t>PROFITABILITY OF THE BANKING SECTOR</t>
  </si>
  <si>
    <t>State Owned Banks</t>
  </si>
  <si>
    <t xml:space="preserve">      Total Income</t>
  </si>
  <si>
    <t xml:space="preserve"> Financial  Corporation</t>
  </si>
  <si>
    <t xml:space="preserve">BANK WISE ANNOUNCED INTEREST RATE STRUCTURE </t>
  </si>
  <si>
    <t xml:space="preserve">Claims on Resident Sectors by Depository Corporations </t>
  </si>
  <si>
    <t>14.97</t>
  </si>
  <si>
    <t>15.16</t>
  </si>
  <si>
    <t>Annual Growth    of GDP at Current Market Price %</t>
  </si>
  <si>
    <t>GDP Deflator</t>
  </si>
  <si>
    <r>
      <rPr>
        <b/>
        <sz val="8"/>
        <rFont val="Times New Roman"/>
        <family val="1"/>
      </rPr>
      <t>Source :</t>
    </r>
    <r>
      <rPr>
        <sz val="8"/>
        <rFont val="Times New Roman"/>
        <family val="1"/>
      </rPr>
      <t xml:space="preserve"> </t>
    </r>
  </si>
  <si>
    <t>2012-13</t>
  </si>
  <si>
    <t>Currency Out side Banks</t>
  </si>
  <si>
    <t>Point- to- Point (Base: 2005-06=100)</t>
  </si>
  <si>
    <t>12- Month Average (Base: 2005-06=100)</t>
  </si>
  <si>
    <r>
      <t xml:space="preserve">Rate of Inflation in Bangladesh </t>
    </r>
    <r>
      <rPr>
        <b/>
        <sz val="9"/>
        <color indexed="8"/>
        <rFont val="Times New Roman"/>
        <family val="1"/>
      </rPr>
      <t xml:space="preserve">  Measured by Consumer  Price Index  (CPI)      </t>
    </r>
  </si>
  <si>
    <t>Chinese Yuan</t>
  </si>
  <si>
    <t xml:space="preserve"> Danish Krone</t>
  </si>
  <si>
    <t xml:space="preserve"> Hongkong Dollar</t>
  </si>
  <si>
    <t>Indone-sian   Rupiah</t>
  </si>
  <si>
    <t>Japanese  Yen</t>
  </si>
  <si>
    <t>Kuwait Dinar</t>
  </si>
  <si>
    <t>Malay-sian Ringgit</t>
  </si>
  <si>
    <t>Myan-mar Kyat</t>
  </si>
  <si>
    <t>Pakistan Rupee</t>
  </si>
  <si>
    <t>Russian Rouble</t>
  </si>
  <si>
    <t xml:space="preserve">  Saudi    Riyal</t>
  </si>
  <si>
    <t xml:space="preserve"> Singapore    Dollar</t>
  </si>
  <si>
    <t xml:space="preserve"> Swedish  Krona</t>
  </si>
  <si>
    <t>Sri Lankan Rupee</t>
  </si>
  <si>
    <t>Foreign Banks</t>
  </si>
  <si>
    <t xml:space="preserve">SOME INDICATORS OF INCOME, EXPENDITURE &amp; </t>
  </si>
  <si>
    <t>APPRECIATION / DEPRECIATION OF SELECTED</t>
  </si>
  <si>
    <t xml:space="preserve">2011-12 </t>
  </si>
  <si>
    <t>Commercial                                                                    Banks</t>
  </si>
  <si>
    <t xml:space="preserve">     Total  Manpower</t>
  </si>
  <si>
    <t>Bangladesh Bank</t>
  </si>
  <si>
    <t xml:space="preserve">Monthly </t>
  </si>
  <si>
    <t>Economic Trends</t>
  </si>
  <si>
    <t>No interest</t>
  </si>
  <si>
    <t xml:space="preserve">No interest </t>
  </si>
  <si>
    <t xml:space="preserve"> No interest</t>
  </si>
  <si>
    <t>i) Before six months from the date of issue</t>
  </si>
  <si>
    <t>ii) On completion of six months but before one year</t>
  </si>
  <si>
    <t>iii) On completion of one year but before 1½ year</t>
  </si>
  <si>
    <t>iv) On completion of 1½ years but before two year</t>
  </si>
  <si>
    <t>v) On completion of two years and thereafter</t>
  </si>
  <si>
    <t xml:space="preserve">vi) On completion of five years and thereafter </t>
  </si>
  <si>
    <t>a) Ordinary Account</t>
  </si>
  <si>
    <t>a) Dhaka and Chittagong Metropolitan Cities</t>
  </si>
  <si>
    <t>b) Other Divisional/District Head Quarters.</t>
  </si>
  <si>
    <t>c) Fixed Deposit Account (Interest after 6 months)</t>
  </si>
  <si>
    <t xml:space="preserve">i) Within one year from the date of issue </t>
  </si>
  <si>
    <t>ii) After completion of one year but within two years</t>
  </si>
  <si>
    <t>iii) After completion of two years but within three years</t>
  </si>
  <si>
    <t>iii) For three years</t>
  </si>
  <si>
    <t>ii) For two years</t>
  </si>
  <si>
    <t>i) For one year</t>
  </si>
  <si>
    <t>b) Fixed Deposit Account (Interest after maturity)</t>
  </si>
  <si>
    <t xml:space="preserve">  Furniture, Furnishing   &amp; Others</t>
  </si>
  <si>
    <t xml:space="preserve">  Misc. Goods &amp; Services</t>
  </si>
  <si>
    <t xml:space="preserve">With effect from 01.07.06  </t>
  </si>
  <si>
    <t>Interest Rates on Deposits with Directorate of National Savings</t>
  </si>
  <si>
    <t>i) Tin Mas Antar Munafa Vittik Sanchayapatra</t>
  </si>
  <si>
    <t>ii) 5-year  Bangladesh Sanchayapatra</t>
  </si>
  <si>
    <t>iii) 5-year  Pensioner Sanchaya Patra after 3-month interest</t>
  </si>
  <si>
    <t>iv) 5-year  Paribar Sanchayapatra after monthly interest</t>
  </si>
  <si>
    <t>iv) After completion of three years</t>
  </si>
  <si>
    <t>With effect from 24.10.01</t>
  </si>
  <si>
    <t>With effect from 30.10.01</t>
  </si>
  <si>
    <t xml:space="preserve">With effect from 17.07.04   </t>
  </si>
  <si>
    <t xml:space="preserve">With effect from 04.12.05   </t>
  </si>
  <si>
    <t xml:space="preserve">With effect from 13.06.07  </t>
  </si>
  <si>
    <t xml:space="preserve">With effect from 01.07.10  </t>
  </si>
  <si>
    <t xml:space="preserve">  With effect from 01.07.11  </t>
  </si>
  <si>
    <t>With effect from 01.03.12</t>
  </si>
  <si>
    <t>Interest Rates on Construction Loans Provided by House Building Finance Corporation</t>
  </si>
  <si>
    <t xml:space="preserve">INTEREST RATE STRUCTURE OF </t>
  </si>
  <si>
    <t>INTEREST RATE STRUCTURE OF</t>
  </si>
  <si>
    <t>GOVERNMENT SECURITIES/BONDS</t>
  </si>
  <si>
    <t>d)  Savings Bond (Islami Bond)</t>
  </si>
  <si>
    <t xml:space="preserve">      Total  Domestic         Credit </t>
  </si>
  <si>
    <t>Income / Primary Income</t>
  </si>
  <si>
    <t>Current Transfers (Net)/ Secondary Income (Net)</t>
  </si>
  <si>
    <t>19=(15+16+17+18)</t>
  </si>
  <si>
    <t xml:space="preserve"> Financial    Account  (Net)</t>
  </si>
  <si>
    <t>Capital Account (Net)</t>
  </si>
  <si>
    <t>Direct  Investment</t>
  </si>
  <si>
    <t>End            of        Period</t>
  </si>
  <si>
    <t>Total          (7+8)</t>
  </si>
  <si>
    <t xml:space="preserve"> Private       Sector</t>
  </si>
  <si>
    <t xml:space="preserve"> Net          Other   Assets</t>
  </si>
  <si>
    <t>Net          Domestic      Assets     (11+12)</t>
  </si>
  <si>
    <t>End                   of             Period</t>
  </si>
  <si>
    <t>End                     of             Period</t>
  </si>
  <si>
    <t>Total Domestic Credit</t>
  </si>
  <si>
    <t>Local               Authorities</t>
  </si>
  <si>
    <t>End               of          Period</t>
  </si>
  <si>
    <t>Net  Other Assets</t>
  </si>
  <si>
    <t>End              of        Period</t>
  </si>
  <si>
    <r>
      <t xml:space="preserve">Total         Domestic        Credit       </t>
    </r>
    <r>
      <rPr>
        <sz val="8"/>
        <color indexed="8"/>
        <rFont val="Times New Roman"/>
        <family val="1"/>
      </rPr>
      <t>(8+11+14)</t>
    </r>
  </si>
  <si>
    <t>Net            Other      Assets</t>
  </si>
  <si>
    <t>Net            Domestic         Assets      (15+16)</t>
  </si>
  <si>
    <t xml:space="preserve">Export        (f.o.b) </t>
  </si>
  <si>
    <t>Import        (f.o.b)</t>
  </si>
  <si>
    <t xml:space="preserve">Trade       Balance </t>
  </si>
  <si>
    <t xml:space="preserve">Current            Account        Balance         </t>
  </si>
  <si>
    <t>Crude Petroleum</t>
  </si>
  <si>
    <t xml:space="preserve">Total     Imports        </t>
  </si>
  <si>
    <t>Total   (15 through 35)</t>
  </si>
  <si>
    <t xml:space="preserve">Balance   of Trade         </t>
  </si>
  <si>
    <t xml:space="preserve"> '000'          Metres </t>
  </si>
  <si>
    <t xml:space="preserve"> '000'          Bales</t>
  </si>
  <si>
    <t xml:space="preserve"> Metric      Tons</t>
  </si>
  <si>
    <t xml:space="preserve">  Lac            Sticks</t>
  </si>
  <si>
    <t xml:space="preserve">  Metric   Tons</t>
  </si>
  <si>
    <t xml:space="preserve"> '000'        Gross Box</t>
  </si>
  <si>
    <t xml:space="preserve"> Metric        Tons</t>
  </si>
  <si>
    <t>End of    Period</t>
  </si>
  <si>
    <t>End of        Period</t>
  </si>
  <si>
    <t xml:space="preserve">  End of          Period</t>
  </si>
  <si>
    <t xml:space="preserve">  End of       Period</t>
  </si>
  <si>
    <t>Excise         Duty</t>
  </si>
  <si>
    <t>Land                 Revenue</t>
  </si>
  <si>
    <t>Other          Taxes</t>
  </si>
  <si>
    <t>Total              Tax</t>
  </si>
  <si>
    <t xml:space="preserve"> Forest       Revenue</t>
  </si>
  <si>
    <t xml:space="preserve"> Raw Jute</t>
  </si>
  <si>
    <t>Total (1+2)</t>
  </si>
  <si>
    <t>End                  of             Period</t>
  </si>
  <si>
    <t xml:space="preserve">  1) Post Office Savings Deposits</t>
  </si>
  <si>
    <t xml:space="preserve">  2) Interest Rates on National Savings Certificates</t>
  </si>
  <si>
    <t>18.04.12</t>
  </si>
  <si>
    <t>18.04.27</t>
  </si>
  <si>
    <t>23.05.12</t>
  </si>
  <si>
    <t>23.05.27</t>
  </si>
  <si>
    <t>20.06.12</t>
  </si>
  <si>
    <t>20.06.27</t>
  </si>
  <si>
    <t>18.07.12</t>
  </si>
  <si>
    <t>18.07.27</t>
  </si>
  <si>
    <t>19.09.12</t>
  </si>
  <si>
    <t>19.09.27</t>
  </si>
  <si>
    <t>21.11.12</t>
  </si>
  <si>
    <t>21.11.27</t>
  </si>
  <si>
    <t>19.12.12</t>
  </si>
  <si>
    <t>19.12.27</t>
  </si>
  <si>
    <t>23.11.11</t>
  </si>
  <si>
    <t>23.11.31</t>
  </si>
  <si>
    <t>End            of       Period</t>
  </si>
  <si>
    <t>Total   (8+9)</t>
  </si>
  <si>
    <t>Inter          Bank    Bills</t>
  </si>
  <si>
    <t xml:space="preserve"> Private    Bills</t>
  </si>
  <si>
    <t>Inter         Bank          Invest-   ment</t>
  </si>
  <si>
    <t>To       Public</t>
  </si>
  <si>
    <t>To         Private</t>
  </si>
  <si>
    <t>To             Private     (19+23+27)</t>
  </si>
  <si>
    <t>From      Govern-   ment</t>
  </si>
  <si>
    <t xml:space="preserve">  From        BB</t>
  </si>
  <si>
    <t xml:space="preserve">                           DMBs  Credit                            (Advances + Bills + Investment) </t>
  </si>
  <si>
    <t>10.11.21</t>
  </si>
  <si>
    <t>17.08.11</t>
  </si>
  <si>
    <t>17.08.26</t>
  </si>
  <si>
    <t>21.09.11</t>
  </si>
  <si>
    <t>21.09.26</t>
  </si>
  <si>
    <t>16.11.11</t>
  </si>
  <si>
    <t>16.11.26</t>
  </si>
  <si>
    <t>18.01.12</t>
  </si>
  <si>
    <t>18.01.27</t>
  </si>
  <si>
    <t>22.02.12</t>
  </si>
  <si>
    <t>22.02.27</t>
  </si>
  <si>
    <t>21.03.12</t>
  </si>
  <si>
    <t>21.03.27</t>
  </si>
  <si>
    <t xml:space="preserve">Note  : </t>
  </si>
  <si>
    <t>20.03.13</t>
  </si>
  <si>
    <t>20.03.28</t>
  </si>
  <si>
    <t>17.04.13</t>
  </si>
  <si>
    <t>17.04.28</t>
  </si>
  <si>
    <t>22.05.13</t>
  </si>
  <si>
    <t>22.05.28</t>
  </si>
  <si>
    <t>19.06.13</t>
  </si>
  <si>
    <t>19.06.28</t>
  </si>
  <si>
    <t>Ratio of Cash in hand and balances with the BB to Deposits (in percent)</t>
  </si>
  <si>
    <t>Note  :</t>
  </si>
  <si>
    <t>1. Weighted average rates of interest on scheduled banks deposits &amp; advances have been introduced monthly basis instead of  quarterly</t>
  </si>
  <si>
    <t>2013-14</t>
  </si>
  <si>
    <t xml:space="preserve">   Urea        (US $/ MT)</t>
  </si>
  <si>
    <t xml:space="preserve">    Sugar                                              (US cents/pound)</t>
  </si>
  <si>
    <t>Rice             (US $/MT)</t>
  </si>
  <si>
    <t xml:space="preserve">  Petroleum              (US$/ Barrel)</t>
  </si>
  <si>
    <t xml:space="preserve"> DSE Broad                   Index</t>
  </si>
  <si>
    <t xml:space="preserve"> Total                        (1+2)</t>
  </si>
  <si>
    <t xml:space="preserve"> Rice                 (US $/MT) </t>
  </si>
  <si>
    <t xml:space="preserve">  Super        phosphate       (US $/ MT)</t>
  </si>
  <si>
    <t>Period      Average</t>
  </si>
  <si>
    <t>End          Period</t>
  </si>
  <si>
    <t xml:space="preserve"> End                  Period</t>
  </si>
  <si>
    <t>End Period</t>
  </si>
  <si>
    <t>Period Average</t>
  </si>
  <si>
    <t xml:space="preserve">         SOME INDICATORS OF INCOME, EXPENDITURE &amp; </t>
  </si>
  <si>
    <t xml:space="preserve">   PROFITABILITY  OF THE BANKING SECTOR</t>
  </si>
  <si>
    <t>2012-13*</t>
  </si>
  <si>
    <t>26.12.13</t>
  </si>
  <si>
    <t>26.12.33</t>
  </si>
  <si>
    <t xml:space="preserve">Figures relating to Islamic Investment Bond is re-classified as claims on other public sector instead of other assets </t>
  </si>
  <si>
    <t>29.01.14</t>
  </si>
  <si>
    <t>29.01.34</t>
  </si>
  <si>
    <t>29.01.29</t>
  </si>
  <si>
    <t>26.02.14</t>
  </si>
  <si>
    <t>26.02.34</t>
  </si>
  <si>
    <t>26.02.29</t>
  </si>
  <si>
    <t>Short Term FC Deposit Liabilities</t>
  </si>
  <si>
    <t>27.03.14</t>
  </si>
  <si>
    <t>27.03.29</t>
  </si>
  <si>
    <t>23.04.14</t>
  </si>
  <si>
    <t>23.04.29</t>
  </si>
  <si>
    <t>27.03.34</t>
  </si>
  <si>
    <t>23.04.34</t>
  </si>
  <si>
    <t>28.05.14</t>
  </si>
  <si>
    <t>28.05.34</t>
  </si>
  <si>
    <t>25.06.34</t>
  </si>
  <si>
    <t>25.06.14</t>
  </si>
  <si>
    <t>28.05.29</t>
  </si>
  <si>
    <t>25.06.29</t>
  </si>
  <si>
    <t>2011-12*</t>
  </si>
  <si>
    <t>646342</t>
  </si>
  <si>
    <t>14.83</t>
  </si>
  <si>
    <t>6.46</t>
  </si>
  <si>
    <t>688493</t>
  </si>
  <si>
    <t>15.22</t>
  </si>
  <si>
    <t>6.52</t>
  </si>
  <si>
    <t>729897</t>
  </si>
  <si>
    <t>6.01</t>
  </si>
  <si>
    <t>13.62</t>
  </si>
  <si>
    <t>15.37</t>
  </si>
  <si>
    <t>15.58</t>
  </si>
  <si>
    <t>2014-15</t>
  </si>
  <si>
    <t>23.07.14</t>
  </si>
  <si>
    <t>23.07.29</t>
  </si>
  <si>
    <t>27.08.14</t>
  </si>
  <si>
    <t>27.08.29</t>
  </si>
  <si>
    <t>23.07.34</t>
  </si>
  <si>
    <t>27.08.34</t>
  </si>
  <si>
    <t>24.09.14</t>
  </si>
  <si>
    <t>24.09.29</t>
  </si>
  <si>
    <t>24.09.34</t>
  </si>
  <si>
    <t>788602</t>
  </si>
  <si>
    <t>746761</t>
  </si>
  <si>
    <t>697469</t>
  </si>
  <si>
    <t>51311</t>
  </si>
  <si>
    <t>49265</t>
  </si>
  <si>
    <t>46610</t>
  </si>
  <si>
    <t>2012**</t>
  </si>
  <si>
    <t>29.10.14</t>
  </si>
  <si>
    <t>29.10.29</t>
  </si>
  <si>
    <t>26.11.14</t>
  </si>
  <si>
    <t>26.11.29</t>
  </si>
  <si>
    <t>26.11.34</t>
  </si>
  <si>
    <t>29.10.34</t>
  </si>
  <si>
    <t>29.12.30</t>
  </si>
  <si>
    <t>Iron Ore (US $ /MT)</t>
  </si>
  <si>
    <t>China (CFR Tianjin Port)</t>
  </si>
  <si>
    <t>IIG</t>
  </si>
  <si>
    <t>E-Banking &amp; E-Commerce Statistics</t>
  </si>
  <si>
    <t>IXA</t>
  </si>
  <si>
    <t>IXB</t>
  </si>
  <si>
    <t>IXC</t>
  </si>
  <si>
    <t>XIIA</t>
  </si>
  <si>
    <t>XIIB</t>
  </si>
  <si>
    <t xml:space="preserve">TABLE- VII </t>
  </si>
  <si>
    <t>TABLE-IXA</t>
  </si>
  <si>
    <t>TABLE-IXB</t>
  </si>
  <si>
    <t>TABLE-XI</t>
  </si>
  <si>
    <t>TABLE-XIIA (Concld.)</t>
  </si>
  <si>
    <t>TABLE-XIII (Contd.)</t>
  </si>
  <si>
    <t>TABLE-XIII (Concld.)</t>
  </si>
  <si>
    <t>TABLE-XIV</t>
  </si>
  <si>
    <t xml:space="preserve">TABLE-XVII (Contd.) </t>
  </si>
  <si>
    <t xml:space="preserve">TABLE-XVII (Concld.) </t>
  </si>
  <si>
    <t>TABLE-XIX</t>
  </si>
  <si>
    <t>TABLE-XX (Contd.)</t>
  </si>
  <si>
    <t>TABLE-XX (Concld.)</t>
  </si>
  <si>
    <t>TABLE-XXI (Contd.)</t>
  </si>
  <si>
    <t>TABLE-XXI (Concld.)</t>
  </si>
  <si>
    <t>TABLE-XXII</t>
  </si>
  <si>
    <t>Cheque Clearing</t>
  </si>
  <si>
    <t>Agent Banking</t>
  </si>
  <si>
    <t>Credit Cards</t>
  </si>
  <si>
    <t>Debit Cards</t>
  </si>
  <si>
    <t>Prepaid Cards Transactions</t>
  </si>
  <si>
    <t xml:space="preserve">Internationally Issued Cards Transactions                   </t>
  </si>
  <si>
    <t>Non-MICR Clearing</t>
  </si>
  <si>
    <t>Usage at POS</t>
  </si>
  <si>
    <t>E-commerce</t>
  </si>
  <si>
    <t xml:space="preserve">    E-Commerce          </t>
  </si>
  <si>
    <t>Prepaid Cards</t>
  </si>
  <si>
    <t>No. of Internet Banking Customers (as on)</t>
  </si>
  <si>
    <t>No. of Agents (as on)</t>
  </si>
  <si>
    <t>Agent Banking Transactions</t>
  </si>
  <si>
    <t>No. of Agent Banking Subscribers (as on)</t>
  </si>
  <si>
    <t>Local Transactions (Issuing)</t>
  </si>
  <si>
    <t>Abroad Transactions (Issuing)</t>
  </si>
  <si>
    <t>POS Transactions (Acquiring)</t>
  </si>
  <si>
    <t>E-Commerce Transactions (Acquiring)</t>
  </si>
  <si>
    <t>No. of Transactions</t>
  </si>
  <si>
    <t>Number</t>
  </si>
  <si>
    <t>3=1+2</t>
  </si>
  <si>
    <t>11=5+6+7+8+9+10</t>
  </si>
  <si>
    <t>19=13+14+15+16+17+18</t>
  </si>
  <si>
    <t>25=22+23+24</t>
  </si>
  <si>
    <t>26=11+19+20+21+25</t>
  </si>
  <si>
    <t xml:space="preserve">Note: </t>
  </si>
  <si>
    <t>Internet   Banking</t>
  </si>
  <si>
    <t>Tk/US Dollar</t>
  </si>
  <si>
    <t xml:space="preserve">Million US $ </t>
  </si>
  <si>
    <t>UK Pound Sterling</t>
  </si>
  <si>
    <t xml:space="preserve">With effect from 01.07.12  </t>
  </si>
  <si>
    <t>774136</t>
  </si>
  <si>
    <t>12.07</t>
  </si>
  <si>
    <t>6.06</t>
  </si>
  <si>
    <t>15.79</t>
  </si>
  <si>
    <t>482337</t>
  </si>
  <si>
    <t>516383</t>
  </si>
  <si>
    <t>547437</t>
  </si>
  <si>
    <t>575056</t>
  </si>
  <si>
    <t>607097</t>
  </si>
  <si>
    <t>509545</t>
  </si>
  <si>
    <t>549505</t>
  </si>
  <si>
    <t>589547</t>
  </si>
  <si>
    <t>620614</t>
  </si>
  <si>
    <t>656241</t>
  </si>
  <si>
    <t>13.99</t>
  </si>
  <si>
    <t>14.35</t>
  </si>
  <si>
    <t>12.15</t>
  </si>
  <si>
    <t>13.11</t>
  </si>
  <si>
    <t>6.67</t>
  </si>
  <si>
    <t>7.06</t>
  </si>
  <si>
    <t>5.05</t>
  </si>
  <si>
    <t>5.57</t>
  </si>
  <si>
    <t>13.98</t>
  </si>
  <si>
    <t>14.18</t>
  </si>
  <si>
    <t>14.38</t>
  </si>
  <si>
    <t>14.58</t>
  </si>
  <si>
    <t>14.78</t>
  </si>
  <si>
    <t>36448</t>
  </si>
  <si>
    <t>34502</t>
  </si>
  <si>
    <t>36416</t>
  </si>
  <si>
    <t>41000</t>
  </si>
  <si>
    <t>42569</t>
  </si>
  <si>
    <t>44403</t>
  </si>
  <si>
    <t>38753</t>
  </si>
  <si>
    <t>38069</t>
  </si>
  <si>
    <t>39441</t>
  </si>
  <si>
    <t>41076</t>
  </si>
  <si>
    <t>30=27+28+29</t>
  </si>
  <si>
    <t xml:space="preserve">Number </t>
  </si>
  <si>
    <t>Number of Cards (net) (as on)</t>
  </si>
  <si>
    <t>2015-16</t>
  </si>
  <si>
    <t>29.07.15</t>
  </si>
  <si>
    <t>29.07.35</t>
  </si>
  <si>
    <t>23.09.15</t>
  </si>
  <si>
    <t>23.09.30</t>
  </si>
  <si>
    <t xml:space="preserve">... = Not Available </t>
  </si>
  <si>
    <r>
      <t>Total Expenditure</t>
    </r>
    <r>
      <rPr>
        <sz val="8"/>
        <color indexed="8"/>
        <rFont val="Times New Roman"/>
        <family val="1"/>
      </rPr>
      <t>***</t>
    </r>
  </si>
  <si>
    <t>25.11.15</t>
  </si>
  <si>
    <t>25.11.35</t>
  </si>
  <si>
    <t>Jan-Mar</t>
  </si>
  <si>
    <t>Apr-Jun</t>
  </si>
  <si>
    <t>Jul-Sep</t>
  </si>
  <si>
    <t>31.1034768 gms.</t>
  </si>
  <si>
    <t xml:space="preserve">… = Not available  </t>
  </si>
  <si>
    <t>Local        Authorities</t>
  </si>
  <si>
    <t>824862</t>
  </si>
  <si>
    <t>878410</t>
  </si>
  <si>
    <t>12.81</t>
  </si>
  <si>
    <t>6.55</t>
  </si>
  <si>
    <t>53013</t>
  </si>
  <si>
    <t>27.04.16</t>
  </si>
  <si>
    <t>27.04.36</t>
  </si>
  <si>
    <t>6.00-9.00</t>
  </si>
  <si>
    <t>25.05.31</t>
  </si>
  <si>
    <t>2016-17</t>
  </si>
  <si>
    <t>Note: From period 2015 BDBL &amp; BASIC banks are treated as State Owned Banks</t>
  </si>
  <si>
    <t>29.06.31</t>
  </si>
  <si>
    <t>27.07.31</t>
  </si>
  <si>
    <t>25.05.11</t>
  </si>
  <si>
    <t>29.06.11</t>
  </si>
  <si>
    <t>27.07.11</t>
  </si>
  <si>
    <t>24.08.31</t>
  </si>
  <si>
    <t>Rate of interest of NBFIs (Weighted Average)</t>
  </si>
  <si>
    <t xml:space="preserve">2016-17 </t>
  </si>
  <si>
    <t>COMPANY /SECTOR                                                                                                                                             GROUPS</t>
  </si>
  <si>
    <t xml:space="preserve">Figures relating to Islamic Investment Bond are re-classified as claims on other public sector instead of other assets  </t>
  </si>
  <si>
    <t xml:space="preserve"> By NBDCs       In Taka A/C</t>
  </si>
  <si>
    <t>28.09.31</t>
  </si>
  <si>
    <t>26.10.11</t>
  </si>
  <si>
    <t>28.09.11</t>
  </si>
  <si>
    <t>26.10.31</t>
  </si>
  <si>
    <t>28.12.11</t>
  </si>
  <si>
    <t>55631</t>
  </si>
  <si>
    <t>United States (Kansas City)</t>
  </si>
  <si>
    <t>Palm Oil                         (US $/MT)</t>
  </si>
  <si>
    <t>Wheat                                                   (US $/MT)</t>
  </si>
  <si>
    <t>28.12.31</t>
  </si>
  <si>
    <t>18.01.17</t>
  </si>
  <si>
    <t>25.01.32</t>
  </si>
  <si>
    <t>Government Notes &amp; Coins</t>
  </si>
  <si>
    <t>from October 2004 to December 2015 and again reclassified as claims on Govt. from January 2016 &amp; onwards</t>
  </si>
  <si>
    <t>Statistics Department,  Bangladesh Bank  </t>
  </si>
  <si>
    <t>Statistics Department , Bangladesh Bank  </t>
  </si>
  <si>
    <t>Statistics Department, Bangladesh Bank  </t>
  </si>
  <si>
    <t>Statistics Department, Bangladesh Bank</t>
  </si>
  <si>
    <r>
      <t xml:space="preserve">Source : </t>
    </r>
    <r>
      <rPr>
        <sz val="7"/>
        <rFont val="Times New Roman"/>
        <family val="1"/>
      </rPr>
      <t xml:space="preserve"> Statistics Department, Bangladesh Bank</t>
    </r>
  </si>
  <si>
    <t xml:space="preserve">Statistics Department,   Bangladesh Bank      </t>
  </si>
  <si>
    <r>
      <rPr>
        <b/>
        <sz val="8"/>
        <rFont val="Times New Roman"/>
        <family val="1"/>
      </rPr>
      <t>Source  :</t>
    </r>
    <r>
      <rPr>
        <sz val="8"/>
        <rFont val="Times New Roman"/>
        <family val="1"/>
      </rPr>
      <t xml:space="preserve">  Bangladesh Bureau of Statistics</t>
    </r>
  </si>
  <si>
    <r>
      <rPr>
        <b/>
        <sz val="8"/>
        <color indexed="8"/>
        <rFont val="Times New Roman"/>
        <family val="1"/>
      </rPr>
      <t xml:space="preserve">Source : </t>
    </r>
    <r>
      <rPr>
        <sz val="8"/>
        <color indexed="8"/>
        <rFont val="Times New Roman"/>
        <family val="1"/>
      </rPr>
      <t xml:space="preserve"> Bangladesh Bureau of Statistics</t>
    </r>
  </si>
  <si>
    <r>
      <t>Source</t>
    </r>
    <r>
      <rPr>
        <sz val="8"/>
        <rFont val="Times New Roman"/>
        <family val="1"/>
      </rPr>
      <t xml:space="preserve"> : Bangladesh Bureau of Statistics</t>
    </r>
  </si>
  <si>
    <r>
      <t>Source :</t>
    </r>
    <r>
      <rPr>
        <sz val="7"/>
        <color indexed="8"/>
        <rFont val="Times New Roman"/>
        <family val="1"/>
      </rPr>
      <t xml:space="preserve"> Statistics Department, Bangladesh Bank</t>
    </r>
  </si>
  <si>
    <t>Debt Management Department, Bangladesh Bank</t>
  </si>
  <si>
    <t>Source: Statistics Department, Bangladesh Bank</t>
  </si>
  <si>
    <t>Statistics Deparement, Bangladesh Bank</t>
  </si>
  <si>
    <t>International Financial Statistics</t>
  </si>
  <si>
    <t>NSD</t>
  </si>
  <si>
    <t>1. Bangladesh Jute Association</t>
  </si>
  <si>
    <t>27.08.28</t>
  </si>
  <si>
    <t>Pharmaceu-ticals &amp; Chemicals</t>
  </si>
  <si>
    <t>Fuel &amp; Power</t>
  </si>
  <si>
    <t>Food &amp; Allied Products</t>
  </si>
  <si>
    <t>Paper &amp; Printing</t>
  </si>
  <si>
    <t>Services &amp; Real Estate</t>
  </si>
  <si>
    <t>Import &amp; Inland Bills Purchased and Discounted</t>
  </si>
  <si>
    <t>Forex Reserves &amp; Exchange Rate)</t>
  </si>
  <si>
    <t xml:space="preserve">Selected Economic Indicators ( Inflation, Production Index, Foreign Trade, Forex Reserves &amp; Exchange Rate) </t>
  </si>
  <si>
    <t>Reserve Money &amp; its Components</t>
  </si>
  <si>
    <t>Reserve Money &amp; its Sources</t>
  </si>
  <si>
    <t>RESERVE MONEY &amp; ITS COMPONENTS</t>
  </si>
  <si>
    <t>RESERVE MONEY &amp; ITS SOURCES</t>
  </si>
  <si>
    <t xml:space="preserve">Net Errors &amp; Ommissions                                    </t>
  </si>
  <si>
    <t>FOREIGN DIRECT INVESTMENT (FDI) INFLOWS &amp; STOCKS BY COMPONENTS IN BANGLADESH</t>
  </si>
  <si>
    <t>Foreign Direct Investment (FDI) Inflows &amp; Stocks by Components in Bangladesh</t>
  </si>
  <si>
    <t>Naptha, Furnace oil &amp; Bitumen</t>
  </si>
  <si>
    <t>Textile &amp; articles thereof</t>
  </si>
  <si>
    <t xml:space="preserve">CONSUMER PRICE INDEX &amp; </t>
  </si>
  <si>
    <t>Medical care &amp; Health Expenses</t>
  </si>
  <si>
    <t>Hides &amp; Skins (wholesale)</t>
  </si>
  <si>
    <t>Mining &amp; Quarry-ing</t>
  </si>
  <si>
    <t>Whole-sale      &amp; Retail Trade</t>
  </si>
  <si>
    <t>Hotel &amp; Restau-rants</t>
  </si>
  <si>
    <t>Transport, Storage &amp; Commu-nication</t>
  </si>
  <si>
    <t>Real Estate, Renting &amp; Business Activities</t>
  </si>
  <si>
    <t>Public Adminis-tration     &amp; Defence</t>
  </si>
  <si>
    <t>Health &amp;      Social Works</t>
  </si>
  <si>
    <t>Commu-nity, Social &amp; Personal Services</t>
  </si>
  <si>
    <t>Agricul-ture &amp; Forestry</t>
  </si>
  <si>
    <t>Whole-sale     &amp; Retail Trade</t>
  </si>
  <si>
    <t>Index Number of  Ordinary Share Prices, Turn Over, Issued Capital &amp; Total Number of Companies Listed with the Dhaka Stock Exchange Ltd.</t>
  </si>
  <si>
    <t>Bank Rate &amp; Interest Rate Structure of Post Office Savings Bank, House Building Finance Corporation &amp; National Savings Certificates</t>
  </si>
  <si>
    <t>100.00 crore &amp; above</t>
  </si>
  <si>
    <t>1)   Bureau of Manpower, Employment &amp; Training</t>
  </si>
  <si>
    <t>From July'14 Myanmar Kyat has been changed due to floating exchange rate</t>
  </si>
  <si>
    <t>UK  Pound   Sterling</t>
  </si>
  <si>
    <t>UAE  Derham</t>
  </si>
  <si>
    <t>OF THE GOVERNMENT UNDER NBR &amp; OTHERS</t>
  </si>
  <si>
    <t>Selected Tax Revenue Receipts of the Government Under NBR &amp; Others</t>
  </si>
  <si>
    <t>Number of Persons Left for Abroad on Employment &amp; Total Workers’ Remittances</t>
  </si>
  <si>
    <t>NUMBER OF PERSONS LEFT FOR ABROAD ON EMPLOYMENT  &amp;  TOTAL WORKERS'  REMITTANCES</t>
  </si>
  <si>
    <t>Selected Economic Indicators (Money &amp; Banking)</t>
  </si>
  <si>
    <t xml:space="preserve">(Money &amp; </t>
  </si>
  <si>
    <t>(Money &amp;</t>
  </si>
  <si>
    <t xml:space="preserve">            (Money &amp;</t>
  </si>
  <si>
    <t>Appendix : Weights &amp; Measures</t>
  </si>
  <si>
    <t>Weights &amp; Measures</t>
  </si>
  <si>
    <t>Note : F &amp; C indicate Fahrenheit &amp; Celsius Scale Respectively</t>
  </si>
  <si>
    <t>1. Upto June'12 data was complied on the basis of IMFs' BPM5 &amp; From July'12, BPM6 has been implemented</t>
  </si>
  <si>
    <t>2)  Upto May, 2016 Foreign Exchange Policy Department &amp; From June, 2016 Statistics Department, Bangladesh Bank</t>
  </si>
  <si>
    <t>Suggestions/Comments for improvement in the contents of this booklet would  highly be appreciated. Users may kindly contact the following email addresses with their suggestions/comments and queries, if any:</t>
  </si>
  <si>
    <t xml:space="preserve">Head Office, Dhaka    </t>
  </si>
  <si>
    <t>Market price (f.o.b.) of Raw Jute of Narayangonj</t>
  </si>
  <si>
    <t>iii)  9 percent of savings deposits are included in Demand Deposits with effect from July 2007</t>
  </si>
  <si>
    <t>Oct-Dec</t>
  </si>
  <si>
    <t xml:space="preserve"> rates from July 2009 &amp; onwards</t>
  </si>
  <si>
    <t>2. 12- month average changes in CPI indicate the average change of the last  12- month over the corresponding previous 12- month</t>
  </si>
  <si>
    <t>1. Point- to- point changes in CPI indicate the changes over the corresponding month of the previous year</t>
  </si>
  <si>
    <t xml:space="preserve">      deposits held in the banking system (BB &amp; DMBs)</t>
  </si>
  <si>
    <t xml:space="preserve">NBDC  =  Non-Bank Depository Corporation </t>
  </si>
  <si>
    <t xml:space="preserve">NSD =  National Savings Directorate                                                                                                                                                                           </t>
  </si>
  <si>
    <r>
      <t>Note</t>
    </r>
    <r>
      <rPr>
        <sz val="8"/>
        <rFont val="Times New Roman"/>
        <family val="1"/>
      </rPr>
      <t xml:space="preserve">     : Figures within parentheses represent million US dollar</t>
    </r>
  </si>
  <si>
    <t>***Total expenditure includes foreign currency revaluation (loss)                        …= Not applicable/available</t>
  </si>
  <si>
    <t>Six decimal places is used for conversion of US$ to Tk</t>
  </si>
  <si>
    <t>Upto May, 2016 Foreign Exchange Policy Department &amp; From June, 2016 Statistics Department, Bangladesh Bank</t>
  </si>
  <si>
    <t>Oct- Dec</t>
  </si>
  <si>
    <t>Jan- Mar</t>
  </si>
  <si>
    <t>Apr- Jun</t>
  </si>
  <si>
    <t>Jul- Sep</t>
  </si>
  <si>
    <t xml:space="preserve">Al-Arafah  Islami Bank </t>
  </si>
  <si>
    <t>Bangladesh Bank (BB) Notes</t>
  </si>
  <si>
    <t xml:space="preserve">NBDC=Non-Bank Depository Corporation                             </t>
  </si>
  <si>
    <t>(+) indicates appreciation while (-) indicates depreciation</t>
  </si>
  <si>
    <t>Banks have been subdivided into banks and financial institutions &amp; Investment has been renamed as mutual fund from January'10</t>
  </si>
  <si>
    <t>P=Provisional</t>
  </si>
  <si>
    <t>19.07.17</t>
  </si>
  <si>
    <t>2017-18</t>
  </si>
  <si>
    <t>BKB</t>
  </si>
  <si>
    <t>8.00-9.00</t>
  </si>
  <si>
    <r>
      <t>Balances with BB</t>
    </r>
    <r>
      <rPr>
        <b/>
        <vertAlign val="superscript"/>
        <sz val="10"/>
        <rFont val="Times New Roman"/>
        <family val="1"/>
      </rPr>
      <t>1</t>
    </r>
  </si>
  <si>
    <t xml:space="preserve"> currency held in BB &amp; counter entry for government currency    3. Amount in Government over-draft A/C.  is included in loans &amp; advances by Bangladesh Bank </t>
  </si>
  <si>
    <t>1.  Balance with BB excludes FC clearing A/C</t>
  </si>
  <si>
    <r>
      <t>Total Credit to Govt.</t>
    </r>
    <r>
      <rPr>
        <vertAlign val="superscript"/>
        <sz val="9"/>
        <rFont val="Times New Roman"/>
        <family val="1"/>
      </rPr>
      <t>2</t>
    </r>
    <r>
      <rPr>
        <sz val="9"/>
        <rFont val="Times New Roman"/>
        <family val="1"/>
      </rPr>
      <t xml:space="preserve"> (45+46+ 47+48)</t>
    </r>
  </si>
  <si>
    <r>
      <t xml:space="preserve">Loans &amp; Advances </t>
    </r>
    <r>
      <rPr>
        <vertAlign val="superscript"/>
        <sz val="8"/>
        <rFont val="Times New Roman"/>
        <family val="1"/>
      </rPr>
      <t>3</t>
    </r>
  </si>
  <si>
    <r>
      <t>Excess Reserve</t>
    </r>
    <r>
      <rPr>
        <vertAlign val="superscript"/>
        <sz val="9"/>
        <rFont val="Times New Roman"/>
        <family val="1"/>
      </rPr>
      <t>4</t>
    </r>
    <r>
      <rPr>
        <sz val="9"/>
        <rFont val="Times New Roman"/>
        <family val="1"/>
      </rPr>
      <t xml:space="preserve">  (42-40)</t>
    </r>
  </si>
  <si>
    <r>
      <t>Total</t>
    </r>
    <r>
      <rPr>
        <vertAlign val="superscript"/>
        <sz val="9"/>
        <rFont val="Times New Roman"/>
        <family val="1"/>
      </rPr>
      <t>1</t>
    </r>
    <r>
      <rPr>
        <sz val="9"/>
        <rFont val="Times New Roman"/>
        <family val="1"/>
      </rPr>
      <t xml:space="preserve">       (4+5)</t>
    </r>
  </si>
  <si>
    <r>
      <t>Government (Net)</t>
    </r>
    <r>
      <rPr>
        <b/>
        <vertAlign val="superscript"/>
        <sz val="9"/>
        <color indexed="8"/>
        <rFont val="Times New Roman"/>
        <family val="1"/>
      </rPr>
      <t>1</t>
    </r>
  </si>
  <si>
    <r>
      <t>General Index/ DSE Broad Index</t>
    </r>
    <r>
      <rPr>
        <vertAlign val="superscript"/>
        <sz val="9"/>
        <rFont val="Times New Roman"/>
        <family val="1"/>
      </rPr>
      <t>1</t>
    </r>
  </si>
  <si>
    <t xml:space="preserve">    Total Issued          Capital  (Tk in crore)</t>
  </si>
  <si>
    <t xml:space="preserve">      Turn Over            (Tk in crore)                                        </t>
  </si>
  <si>
    <t>Total No. of Companies</t>
  </si>
  <si>
    <t xml:space="preserve"> Total No. of Companies</t>
  </si>
  <si>
    <t>LISTED WITH THE DHAKA STOCK EXCHANGE LTD</t>
  </si>
  <si>
    <t>UAE</t>
  </si>
  <si>
    <t>UK</t>
  </si>
  <si>
    <t>USA</t>
  </si>
  <si>
    <t>Total    Liqui-      dity     (M2) </t>
  </si>
  <si>
    <t>SURVEY ( M2)</t>
  </si>
  <si>
    <t xml:space="preserve"> Broad          Money        (M2)      (3+13)</t>
  </si>
  <si>
    <t>SURVEY ( M3)</t>
  </si>
  <si>
    <t>Broad         Money         (M3)     (4+17)</t>
  </si>
  <si>
    <r>
      <t>1. Claims on Govt.(net) reported by the banking sector in M2</t>
    </r>
    <r>
      <rPr>
        <vertAlign val="subscript"/>
        <sz val="7"/>
        <rFont val="Times New Roman"/>
        <family val="1"/>
      </rPr>
      <t xml:space="preserve"> </t>
    </r>
    <r>
      <rPr>
        <sz val="7"/>
        <rFont val="Times New Roman"/>
        <family val="1"/>
      </rPr>
      <t>differs with M3</t>
    </r>
    <r>
      <rPr>
        <vertAlign val="subscript"/>
        <sz val="7"/>
        <rFont val="Times New Roman"/>
        <family val="1"/>
      </rPr>
      <t xml:space="preserve"> </t>
    </r>
    <r>
      <rPr>
        <sz val="7"/>
        <rFont val="Times New Roman"/>
        <family val="1"/>
      </rPr>
      <t xml:space="preserve">due to exclusion of </t>
    </r>
  </si>
  <si>
    <t>TOTAL NUMBER OF COMPANIES LISTED WITH THE DHAKA STOCK EXCHANGE LTD</t>
  </si>
  <si>
    <t>EURO</t>
  </si>
  <si>
    <r>
      <t xml:space="preserve">  3) 5 years Wage Earners Development Bond</t>
    </r>
    <r>
      <rPr>
        <b/>
        <vertAlign val="superscript"/>
        <sz val="9"/>
        <color indexed="8"/>
        <rFont val="Times New Roman"/>
        <family val="1"/>
      </rPr>
      <t xml:space="preserve"> 1</t>
    </r>
  </si>
  <si>
    <r>
      <t xml:space="preserve">  4) 3 years USD Premium Bond</t>
    </r>
    <r>
      <rPr>
        <b/>
        <vertAlign val="superscript"/>
        <sz val="8"/>
        <color indexed="8"/>
        <rFont val="Arial Narrow"/>
        <family val="2"/>
      </rPr>
      <t xml:space="preserve"> </t>
    </r>
    <r>
      <rPr>
        <b/>
        <sz val="8"/>
        <color indexed="8"/>
        <rFont val="Arial Narrow"/>
        <family val="2"/>
      </rPr>
      <t xml:space="preserve">for non-resident Bangladeshi </t>
    </r>
    <r>
      <rPr>
        <b/>
        <vertAlign val="superscript"/>
        <sz val="8"/>
        <color indexed="8"/>
        <rFont val="Arial Narrow"/>
        <family val="2"/>
      </rPr>
      <t>2</t>
    </r>
  </si>
  <si>
    <r>
      <t xml:space="preserve">  5) 3 years USD Investment Bond for non-resident Bangladeshi </t>
    </r>
    <r>
      <rPr>
        <b/>
        <vertAlign val="superscript"/>
        <sz val="8.5"/>
        <color indexed="8"/>
        <rFont val="Arial Narrow"/>
        <family val="2"/>
      </rPr>
      <t>3</t>
    </r>
  </si>
  <si>
    <t>2. Interest is payable in BDT &amp; principal amount will be paid either in  USD or BDT as per option of the bond holder</t>
  </si>
  <si>
    <t>Habib Bank</t>
  </si>
  <si>
    <t>26.09.32</t>
  </si>
  <si>
    <t>Source   :</t>
  </si>
  <si>
    <t>Source     :</t>
  </si>
  <si>
    <t>Note         :</t>
  </si>
  <si>
    <t>End of      Period</t>
  </si>
  <si>
    <t xml:space="preserve">…= Not available   </t>
  </si>
  <si>
    <t>Source      :</t>
  </si>
  <si>
    <t xml:space="preserve">Note        :       </t>
  </si>
  <si>
    <t xml:space="preserve">ii) Claims on Resident Sector exclude BB &amp; ODCs    </t>
  </si>
  <si>
    <r>
      <t xml:space="preserve">Note           : </t>
    </r>
    <r>
      <rPr>
        <sz val="8"/>
        <rFont val="Times New Roman"/>
        <family val="1"/>
      </rPr>
      <t xml:space="preserve">     </t>
    </r>
  </si>
  <si>
    <t>1. *As per BPM6, Net Errors &amp; Ommissions= -(Current Account Balance+Capital Account (Net) - Financial Account (Net))</t>
  </si>
  <si>
    <t>2. As per BPM5, Net Errors &amp; Ommissions= -(Current Account Balance+Capital Account (Net) + Financial Account (Net))</t>
  </si>
  <si>
    <t xml:space="preserve">i) Oil Products = Soya bean + Vegetable Oil (Dalda) </t>
  </si>
  <si>
    <t xml:space="preserve">ii) Fertilizer = Urea + Ammonium Sulphate + TSP + SSP + DAP </t>
  </si>
  <si>
    <t>... = Not Available</t>
  </si>
  <si>
    <t xml:space="preserve">      Turn Over  (Tk in crore)                                        </t>
  </si>
  <si>
    <t xml:space="preserve">Islami Bank BD </t>
  </si>
  <si>
    <t>ICB Islamic Bank</t>
  </si>
  <si>
    <t>Shahjalal  Islami Bank</t>
  </si>
  <si>
    <t>Union Bank</t>
  </si>
  <si>
    <t>EXIM Bank</t>
  </si>
  <si>
    <t xml:space="preserve">First Security Islami Bank </t>
  </si>
  <si>
    <t>MONTHLY AVERAGE CALL MONEY MARKET RATES (Weighted Average)</t>
  </si>
  <si>
    <r>
      <rPr>
        <b/>
        <sz val="6.5"/>
        <rFont val="Times New Roman"/>
        <family val="1"/>
      </rPr>
      <t xml:space="preserve">Note: </t>
    </r>
    <r>
      <rPr>
        <sz val="6.5"/>
        <rFont val="Times New Roman"/>
        <family val="1"/>
      </rPr>
      <t>Data is discontinued from June'2017 due to dropping of IFS data</t>
    </r>
  </si>
  <si>
    <t>Total       Investments at Current Market Price</t>
  </si>
  <si>
    <t>Total Population (in Crore)</t>
  </si>
  <si>
    <t>18.10.17</t>
  </si>
  <si>
    <t>18.10.27</t>
  </si>
  <si>
    <t>iii) BSFIC: Sugar</t>
  </si>
  <si>
    <t>i) The resident sector has been classified according to the IMF's Monetary &amp; Financial Statistics Manual (MFSM)</t>
  </si>
  <si>
    <t>i) The resident sector has been classified according to the IMF's Monetary &amp; Financial Statistics Manual  (MFSM)</t>
  </si>
  <si>
    <t>savings certificates &amp; prize bonds for avoiding double counting</t>
  </si>
  <si>
    <t>Aman Rice               (Medium)                     (Tk per kg)</t>
  </si>
  <si>
    <t>Gold (Guinea)        (Tk per 10 gms.) </t>
  </si>
  <si>
    <t>Goat Skins                           (Tk per piece)</t>
  </si>
  <si>
    <t>1. Both interest &amp; principal amount are payable in BDT</t>
  </si>
  <si>
    <t>3. Both interest &amp; principal amount are payable in USD</t>
  </si>
  <si>
    <t xml:space="preserve">** From period 2012 the income, expenditure &amp; profitability of specialized banks (BDBL &amp; BASIC) are calculated on calendar year basis </t>
  </si>
  <si>
    <t>Claims on Other Sectors</t>
  </si>
  <si>
    <t>Loans</t>
  </si>
  <si>
    <t>Financial Derivatives</t>
  </si>
  <si>
    <t>Trade Credit &amp; advances</t>
  </si>
  <si>
    <t>Shares &amp; Other Equity</t>
  </si>
  <si>
    <t>Other items (net)</t>
  </si>
  <si>
    <t>Domestic Claims</t>
  </si>
  <si>
    <t>Net Claims on Central Govt.</t>
  </si>
  <si>
    <t>Claims on Other Sector</t>
  </si>
  <si>
    <t>Currency Outside Depository Corporations</t>
  </si>
  <si>
    <t>Other Deposits</t>
  </si>
  <si>
    <t>Other Items (net)</t>
  </si>
  <si>
    <t>Central Bank Survey</t>
  </si>
  <si>
    <t>Claims on Central Govt.(net)</t>
  </si>
  <si>
    <t>Monetary Base</t>
  </si>
  <si>
    <t>Total   (5+6+7+8)</t>
  </si>
  <si>
    <t>Total  (2+3)</t>
  </si>
  <si>
    <t>Total             (3-4)</t>
  </si>
  <si>
    <t>Total  (7+8+9+10)</t>
  </si>
  <si>
    <t>Liabilities to Central Govt.</t>
  </si>
  <si>
    <t>Claims on other Depository Corporations</t>
  </si>
  <si>
    <t>Claims on Central Govt.</t>
  </si>
  <si>
    <t>Trade Credit &amp; Advances</t>
  </si>
  <si>
    <t>27.12.17</t>
  </si>
  <si>
    <t>i)   5 tk is considered as Govt. Currency since June 2016 and  Demand &amp; Time Deposits under Columns 8 &amp; 9 exclude Restricted Deposits</t>
  </si>
  <si>
    <t>18.04.18</t>
  </si>
  <si>
    <t>25.04.18</t>
  </si>
  <si>
    <t>SURVEY</t>
  </si>
  <si>
    <t>Liabilities to other Depository Corporatio-ns</t>
  </si>
  <si>
    <t>20.06.18</t>
  </si>
  <si>
    <t>20.06.28</t>
  </si>
  <si>
    <t>Transfe-rable Deposits</t>
  </si>
  <si>
    <t>Securities Other than Shares, Included in Broad Money</t>
  </si>
  <si>
    <t>Deposits Excluded from Broad Money</t>
  </si>
  <si>
    <t>Securities Other than Shares, excluded from Broad Money</t>
  </si>
  <si>
    <t>Deposits included in Broad Money</t>
  </si>
  <si>
    <t>Deposits excluded from Broad Money</t>
  </si>
  <si>
    <t>Securities  Other than Shares, excluded from Broad Money</t>
  </si>
  <si>
    <t>2018-19</t>
  </si>
  <si>
    <t>25.07.18</t>
  </si>
  <si>
    <t>3.00-3.50</t>
  </si>
  <si>
    <t>Important Economic Indicators of Bangladesh with SAARC Countries</t>
  </si>
  <si>
    <t>Import**</t>
  </si>
  <si>
    <t>Afganistan</t>
  </si>
  <si>
    <t>Bhutan</t>
  </si>
  <si>
    <t>India</t>
  </si>
  <si>
    <t>Maldives</t>
  </si>
  <si>
    <t>Nepal</t>
  </si>
  <si>
    <t>Pakistan</t>
  </si>
  <si>
    <t>Sri Lanka</t>
  </si>
  <si>
    <t>April-June</t>
  </si>
  <si>
    <t>** Based on custom records calculated on c&amp;f basis</t>
  </si>
  <si>
    <t xml:space="preserve">Wage Earners Remittance
</t>
  </si>
  <si>
    <t>Portfolio investment inflows</t>
  </si>
  <si>
    <t>Export (f.o.b)</t>
  </si>
  <si>
    <t>Import (f.o.b)</t>
  </si>
  <si>
    <t>Bank credit to commercial sector</t>
  </si>
  <si>
    <t>Foreign Exchange Reserve</t>
  </si>
  <si>
    <t>Inflation</t>
  </si>
  <si>
    <t>Exchange Rate (CY/$)</t>
  </si>
  <si>
    <t xml:space="preserve">Afganistan </t>
  </si>
  <si>
    <t>Bangladesh</t>
  </si>
  <si>
    <t xml:space="preserve">Important Economic Indicators of SAARC Countries </t>
  </si>
  <si>
    <t>26.09.18</t>
  </si>
  <si>
    <t>26.09.33</t>
  </si>
  <si>
    <t>Sonali
Bank</t>
  </si>
  <si>
    <t>Agrani
Bank</t>
  </si>
  <si>
    <t>Janata
Bank</t>
  </si>
  <si>
    <t>Rupali
Bank</t>
  </si>
  <si>
    <t>BASIC
Bank</t>
  </si>
  <si>
    <t>The City
Bank</t>
  </si>
  <si>
    <t>AB
Bank</t>
  </si>
  <si>
    <t>IFIC
Bank</t>
  </si>
  <si>
    <t>National
Bank</t>
  </si>
  <si>
    <t>Uttara
Bank</t>
  </si>
  <si>
    <t>Pubali
Bank</t>
  </si>
  <si>
    <t>Eastern
Bank</t>
  </si>
  <si>
    <t>Dhaka
Bank</t>
  </si>
  <si>
    <t>Southeast
Bank</t>
  </si>
  <si>
    <t>Prime
Bank</t>
  </si>
  <si>
    <t>Dutch-Bangla
Bank</t>
  </si>
  <si>
    <t>Modhumoti
Bank</t>
  </si>
  <si>
    <t>SBAC
Bank</t>
  </si>
  <si>
    <t>Mercantile
Bank</t>
  </si>
  <si>
    <t>One
Bank</t>
  </si>
  <si>
    <t>Premier
Bank</t>
  </si>
  <si>
    <t>Trust
Bank</t>
  </si>
  <si>
    <t>BRAC
Bank</t>
  </si>
  <si>
    <t>Meghna
Bank</t>
  </si>
  <si>
    <t>Midland
Bank</t>
  </si>
  <si>
    <t>NRB
Bank</t>
  </si>
  <si>
    <t>NRB Comm.
Bank</t>
  </si>
  <si>
    <t>Mutual
Trust Bank</t>
  </si>
  <si>
    <t>Jamuna
Bank</t>
  </si>
  <si>
    <t>Shimanto
Bank</t>
  </si>
  <si>
    <t>Commercail Bank
of Ceylon</t>
  </si>
  <si>
    <t>Standard
Chartered Bank</t>
  </si>
  <si>
    <t>State Bank
of India</t>
  </si>
  <si>
    <t>National Bank
of Pakistan</t>
  </si>
  <si>
    <t>Citi Bank NA</t>
  </si>
  <si>
    <t xml:space="preserve">Joint Director            </t>
  </si>
  <si>
    <t xml:space="preserve">Head Office, Dhaka          </t>
  </si>
  <si>
    <t>22.11.18</t>
  </si>
  <si>
    <t>22.11.28</t>
  </si>
  <si>
    <t>28.11.18</t>
  </si>
  <si>
    <t>28.11.33</t>
  </si>
  <si>
    <t>28.11.38</t>
  </si>
  <si>
    <r>
      <t xml:space="preserve">Hong Kong:    </t>
    </r>
    <r>
      <rPr>
        <sz val="8"/>
        <rFont val="Times New Roman"/>
        <family val="1"/>
      </rPr>
      <t>SAR of China</t>
    </r>
  </si>
  <si>
    <t>20.03.19</t>
  </si>
  <si>
    <t>17.04.19</t>
  </si>
  <si>
    <t>17.04.29</t>
  </si>
  <si>
    <t>Padma
Bank</t>
  </si>
  <si>
    <t>29.05.19</t>
  </si>
  <si>
    <t>10.07.24</t>
  </si>
  <si>
    <t>19.06.19</t>
  </si>
  <si>
    <t>19.06.29</t>
  </si>
  <si>
    <t>26.06.19</t>
  </si>
  <si>
    <t>26.06.39</t>
  </si>
  <si>
    <t>2019-20</t>
  </si>
  <si>
    <t>FDI inflows(Net)</t>
  </si>
  <si>
    <t>17.07.19</t>
  </si>
  <si>
    <t>21.08.19</t>
  </si>
  <si>
    <t>21.08.29</t>
  </si>
  <si>
    <t>16.10.19</t>
  </si>
  <si>
    <t>20.11.19</t>
  </si>
  <si>
    <t>18.12.19</t>
  </si>
  <si>
    <t>18.12.29</t>
  </si>
  <si>
    <t>26.12.19</t>
  </si>
  <si>
    <r>
      <t>Export</t>
    </r>
    <r>
      <rPr>
        <vertAlign val="superscript"/>
        <sz val="8"/>
        <rFont val="Times New Roman"/>
        <family val="1"/>
      </rPr>
      <t>*</t>
    </r>
  </si>
  <si>
    <t>Usage at ATMs &amp; CRM</t>
  </si>
  <si>
    <t>ATM &amp; CRM Transactions (Acquiring)</t>
  </si>
  <si>
    <t>15.01.25</t>
  </si>
  <si>
    <t>2.  Total credit to government (gross) by the banking system equals to total claims on government (gross) excluding government</t>
  </si>
  <si>
    <t>22.01.20</t>
  </si>
  <si>
    <t>22.01.30</t>
  </si>
  <si>
    <t>29.01.20</t>
  </si>
  <si>
    <t>TABLE XXVII</t>
  </si>
  <si>
    <t xml:space="preserve">                    IMPORTANT ECONOMIC INDICATORS OF SAARC COUNTRIES                   </t>
  </si>
  <si>
    <t>IMPORTANT ECONOMIC INDICATORS OF BANGLADESH WITH SAARC COUNTRIES</t>
  </si>
  <si>
    <t>TABLE-XXVI</t>
  </si>
  <si>
    <t>Securities Other than Shares, included in Broad money</t>
  </si>
  <si>
    <t>TABLE-XXIV</t>
  </si>
  <si>
    <t>TABLE-XXIII</t>
  </si>
  <si>
    <t>Thai  Baht</t>
  </si>
  <si>
    <t>Thai Baht</t>
  </si>
  <si>
    <t xml:space="preserve">Taka in Crore </t>
  </si>
  <si>
    <t xml:space="preserve">(Taka in crore)         </t>
  </si>
  <si>
    <t xml:space="preserve">     Production   (in '000' Metric Tons)</t>
  </si>
  <si>
    <t xml:space="preserve">     Production   (in '000' Metric  Tons)</t>
  </si>
  <si>
    <t xml:space="preserve">       Area           (in '000' acres)</t>
  </si>
  <si>
    <t xml:space="preserve">     Area         (in '000' acres)</t>
  </si>
  <si>
    <t>TABLE IIG (Contd.)</t>
  </si>
  <si>
    <t xml:space="preserve">Amount </t>
  </si>
  <si>
    <t>Amount</t>
  </si>
  <si>
    <t xml:space="preserve">With effect from 23.05.15  </t>
  </si>
  <si>
    <t xml:space="preserve">With effect from 13.02.20  </t>
  </si>
  <si>
    <t xml:space="preserve">BUILDING FINANCE CORPORATION &amp; NATIONAL SAVINGS CERTIFICATES     </t>
  </si>
  <si>
    <t xml:space="preserve">          BANK RATE &amp; INTEREST RATE STRUCTURE OF POST OFFICE SAVINGS BANK, HOUSE  </t>
  </si>
  <si>
    <t xml:space="preserve">      (Taka in crore)</t>
  </si>
  <si>
    <t xml:space="preserve">                TABLE -XIIB</t>
  </si>
  <si>
    <t xml:space="preserve">                                  (In Million US$)</t>
  </si>
  <si>
    <t>Depository Corporations Survey</t>
  </si>
  <si>
    <t>17.06.20</t>
  </si>
  <si>
    <t>17.06.30</t>
  </si>
  <si>
    <t>24.06.20</t>
  </si>
  <si>
    <t>24.06.35</t>
  </si>
  <si>
    <t>24.06.40</t>
  </si>
  <si>
    <t>ii)Inflow figures are recorded as during the period but stock figures are recorded as end period</t>
  </si>
  <si>
    <t>…= Not Available</t>
  </si>
  <si>
    <t xml:space="preserve">Note:*From period 2011-12 the income,expenditure &amp; profitability of specialized banks(BKB &amp; RAKUB)are calculated on fiscal year basis </t>
  </si>
  <si>
    <t>2020-21</t>
  </si>
  <si>
    <t>With effect from 16.03.20 </t>
  </si>
  <si>
    <t>22.07.20</t>
  </si>
  <si>
    <t>4.Compilation procedure has been changed since Sep'17 &amp; CRR rate has changed from April'20</t>
  </si>
  <si>
    <t>p=provisional</t>
  </si>
  <si>
    <t xml:space="preserve">       Executive Director (Statistics)</t>
  </si>
  <si>
    <t xml:space="preserve">          (Taka in crore)</t>
  </si>
  <si>
    <t xml:space="preserve">                         TABLE-XIIA (Contd.)</t>
  </si>
  <si>
    <t>TABLE-XIIA(Contd.)</t>
  </si>
  <si>
    <t xml:space="preserve">       (Taka in crore)</t>
  </si>
  <si>
    <t>SL No.</t>
  </si>
  <si>
    <t>ISIN</t>
  </si>
  <si>
    <t>Tenor (year)</t>
  </si>
  <si>
    <t>Issue Date</t>
  </si>
  <si>
    <t xml:space="preserve"> Maturity Date</t>
  </si>
  <si>
    <t xml:space="preserve">Reissue Date </t>
  </si>
  <si>
    <t>Outstanding Balance</t>
  </si>
  <si>
    <t>Reissue Date</t>
  </si>
  <si>
    <t>a. BD(Govt) Treasury Bond</t>
  </si>
  <si>
    <t>BD0929221101</t>
  </si>
  <si>
    <t>18.03.20</t>
  </si>
  <si>
    <t>BD0929401158</t>
  </si>
  <si>
    <t>BD0929161208</t>
  </si>
  <si>
    <t>BD0933441208</t>
  </si>
  <si>
    <t>29.05.13</t>
  </si>
  <si>
    <t>29.05.33</t>
  </si>
  <si>
    <t>BD0930261104</t>
  </si>
  <si>
    <t>BD0929441154</t>
  </si>
  <si>
    <t>BD0929201202</t>
  </si>
  <si>
    <t>BD0933481204</t>
  </si>
  <si>
    <t>26.06.13</t>
  </si>
  <si>
    <t>26.06.33</t>
  </si>
  <si>
    <t>BD0930381100</t>
  </si>
  <si>
    <t>07.05.20</t>
  </si>
  <si>
    <t>07.05.30</t>
  </si>
  <si>
    <t>BD0929481150</t>
  </si>
  <si>
    <t>BD0930251204</t>
  </si>
  <si>
    <t>BD0933041206</t>
  </si>
  <si>
    <t>24.07.13</t>
  </si>
  <si>
    <t>24.07.33</t>
  </si>
  <si>
    <t>BD0930431103</t>
  </si>
  <si>
    <t>BD0929041152</t>
  </si>
  <si>
    <t>BD0930281201</t>
  </si>
  <si>
    <t>BD0933081202</t>
  </si>
  <si>
    <t>29.08.13</t>
  </si>
  <si>
    <t>29.08.33</t>
  </si>
  <si>
    <t>BD0930031101</t>
  </si>
  <si>
    <t>22.07.30</t>
  </si>
  <si>
    <t>BD0929081158</t>
  </si>
  <si>
    <t>BD0930321205</t>
  </si>
  <si>
    <t>27.04.10</t>
  </si>
  <si>
    <t>27.04.30</t>
  </si>
  <si>
    <t>BD0933121206</t>
  </si>
  <si>
    <t>25.09.13</t>
  </si>
  <si>
    <t>25.09.33</t>
  </si>
  <si>
    <t>BD0929121152</t>
  </si>
  <si>
    <t>BD0930361201</t>
  </si>
  <si>
    <t>BD0933161202</t>
  </si>
  <si>
    <t>23.10.13</t>
  </si>
  <si>
    <t>23.10.33</t>
  </si>
  <si>
    <t>BD0929161158</t>
  </si>
  <si>
    <t>BD0930401205</t>
  </si>
  <si>
    <t>24.06.10</t>
  </si>
  <si>
    <t>24.06.30</t>
  </si>
  <si>
    <t>BD0933201206</t>
  </si>
  <si>
    <t>27.11.13</t>
  </si>
  <si>
    <t>27.11.33</t>
  </si>
  <si>
    <t>BD0929201152</t>
  </si>
  <si>
    <t>25.02.15</t>
  </si>
  <si>
    <t>BD0930041209</t>
  </si>
  <si>
    <t>BD0933241202</t>
  </si>
  <si>
    <t>BD0930041159</t>
  </si>
  <si>
    <t>BD0930081205</t>
  </si>
  <si>
    <t>BD0934281207</t>
  </si>
  <si>
    <t>BD0930121159</t>
  </si>
  <si>
    <t>BD0930121209</t>
  </si>
  <si>
    <t>BD0934321201</t>
  </si>
  <si>
    <t>BD0926071152</t>
  </si>
  <si>
    <t>BD0931401154</t>
  </si>
  <si>
    <t>BD0930161205</t>
  </si>
  <si>
    <t>BD0934361207</t>
  </si>
  <si>
    <t>BD0926111156</t>
  </si>
  <si>
    <t>BD0933101158</t>
  </si>
  <si>
    <t>BD0930201209</t>
  </si>
  <si>
    <t>BD0934401201</t>
  </si>
  <si>
    <t>BD0926151152</t>
  </si>
  <si>
    <t>18.10.11</t>
  </si>
  <si>
    <t>18.10.26</t>
  </si>
  <si>
    <t>BD0933141154</t>
  </si>
  <si>
    <t>25.03.20</t>
  </si>
  <si>
    <t>BD0930241205</t>
  </si>
  <si>
    <t>BD0934441207</t>
  </si>
  <si>
    <t>BD0926191158</t>
  </si>
  <si>
    <t>BD0935391153</t>
  </si>
  <si>
    <t>13.05.20</t>
  </si>
  <si>
    <t>13.05.35</t>
  </si>
  <si>
    <t>BD0931281200</t>
  </si>
  <si>
    <t>BD0934481203</t>
  </si>
  <si>
    <t>BD0926231152</t>
  </si>
  <si>
    <t>20.12.11</t>
  </si>
  <si>
    <t>20.12.26</t>
  </si>
  <si>
    <t>BD0935441156</t>
  </si>
  <si>
    <t>BD0931321204</t>
  </si>
  <si>
    <t>BD0934041205</t>
  </si>
  <si>
    <t>BD0927271157</t>
  </si>
  <si>
    <t>BD0931361200</t>
  </si>
  <si>
    <t>BD0934081201</t>
  </si>
  <si>
    <t>BD0927311151</t>
  </si>
  <si>
    <t>BD0927081200</t>
  </si>
  <si>
    <t>29.08.07</t>
  </si>
  <si>
    <t>29.08.27</t>
  </si>
  <si>
    <t>BD0931401204</t>
  </si>
  <si>
    <t>BD0934121205</t>
  </si>
  <si>
    <t>BD0927351157</t>
  </si>
  <si>
    <t>BD0927121204</t>
  </si>
  <si>
    <t>BD0931441200</t>
  </si>
  <si>
    <t>BD0934161201</t>
  </si>
  <si>
    <t>BD0927391153</t>
  </si>
  <si>
    <t>BD0927161200</t>
  </si>
  <si>
    <t>BD0931471207</t>
  </si>
  <si>
    <t>BD0934201205</t>
  </si>
  <si>
    <t>BD0927431157</t>
  </si>
  <si>
    <t>BD0927201204</t>
  </si>
  <si>
    <t>BD0931041208</t>
  </si>
  <si>
    <t>BD0935041204</t>
  </si>
  <si>
    <t>BD0927471153</t>
  </si>
  <si>
    <t>BD0927241200</t>
  </si>
  <si>
    <t>BD0931081204</t>
  </si>
  <si>
    <t>BD0935201204</t>
  </si>
  <si>
    <t>BD0927031155</t>
  </si>
  <si>
    <t>BD0928281205</t>
  </si>
  <si>
    <t>BD0931121208</t>
  </si>
  <si>
    <t>BD0936401209</t>
  </si>
  <si>
    <t>BD0927111155</t>
  </si>
  <si>
    <t>BD0928321209</t>
  </si>
  <si>
    <t>BD0931161204</t>
  </si>
  <si>
    <t>BD0938141209</t>
  </si>
  <si>
    <t>BD0928361205</t>
  </si>
  <si>
    <t>BD0931201208</t>
  </si>
  <si>
    <t>BD0939391209</t>
  </si>
  <si>
    <t>BD0927191157</t>
  </si>
  <si>
    <t>BD0928401209</t>
  </si>
  <si>
    <t>BD0931241204</t>
  </si>
  <si>
    <t>BD0940401203</t>
  </si>
  <si>
    <t>20.05.20</t>
  </si>
  <si>
    <t>20.05.40</t>
  </si>
  <si>
    <t>BD0927231151</t>
  </si>
  <si>
    <t>BD0928441205</t>
  </si>
  <si>
    <t>BD0932281209</t>
  </si>
  <si>
    <t>25.01.12</t>
  </si>
  <si>
    <t>BD0940441209</t>
  </si>
  <si>
    <t>BD0928351156</t>
  </si>
  <si>
    <t>BD0928081209</t>
  </si>
  <si>
    <t>BD0932401203</t>
  </si>
  <si>
    <t>26.04.12</t>
  </si>
  <si>
    <t>26.04.32</t>
  </si>
  <si>
    <t>BD0928391152</t>
  </si>
  <si>
    <t>BD0928121203</t>
  </si>
  <si>
    <t>BD0932441209</t>
  </si>
  <si>
    <t>30.05.12</t>
  </si>
  <si>
    <t>30.05.32</t>
  </si>
  <si>
    <t>BD0928431156</t>
  </si>
  <si>
    <t>BD0928161209</t>
  </si>
  <si>
    <t>BD0932481205</t>
  </si>
  <si>
    <t>27.06.12</t>
  </si>
  <si>
    <t>27.06.32</t>
  </si>
  <si>
    <t>BD0928471152</t>
  </si>
  <si>
    <t>BD0928201203</t>
  </si>
  <si>
    <t>BD0932041207</t>
  </si>
  <si>
    <t>25.07.12</t>
  </si>
  <si>
    <t>25.07.32</t>
  </si>
  <si>
    <t>BD0928041153</t>
  </si>
  <si>
    <t>24.07.28</t>
  </si>
  <si>
    <t>BD0928241209</t>
  </si>
  <si>
    <t>BD0932081203</t>
  </si>
  <si>
    <t>29.08.12</t>
  </si>
  <si>
    <t>29.08.32</t>
  </si>
  <si>
    <t>BD0928081159</t>
  </si>
  <si>
    <t>29.08.28</t>
  </si>
  <si>
    <t>BD0929281204</t>
  </si>
  <si>
    <t>BD0932121207</t>
  </si>
  <si>
    <t>26.09.12</t>
  </si>
  <si>
    <t>BD0927251100</t>
  </si>
  <si>
    <t>BD0928121153</t>
  </si>
  <si>
    <t>25.09.28</t>
  </si>
  <si>
    <t>BD0929321208</t>
  </si>
  <si>
    <t>BD0932161203</t>
  </si>
  <si>
    <t>25.10.12</t>
  </si>
  <si>
    <t>25.10.32</t>
  </si>
  <si>
    <t>BD0927101107</t>
  </si>
  <si>
    <t>BD0928161159</t>
  </si>
  <si>
    <t>23.10.28</t>
  </si>
  <si>
    <t>BD0929361204</t>
  </si>
  <si>
    <t>BD0932201207</t>
  </si>
  <si>
    <t>28.11.12</t>
  </si>
  <si>
    <t>28.11.32</t>
  </si>
  <si>
    <t>BD0928331109</t>
  </si>
  <si>
    <t>BD0928201153</t>
  </si>
  <si>
    <t>BD0929401208</t>
  </si>
  <si>
    <t>BD0932241203</t>
  </si>
  <si>
    <t>26.12.12</t>
  </si>
  <si>
    <t>26.12.32</t>
  </si>
  <si>
    <t>BD0928131103</t>
  </si>
  <si>
    <t>BD0929441204</t>
  </si>
  <si>
    <t>BD0933281208</t>
  </si>
  <si>
    <t>23.01.13</t>
  </si>
  <si>
    <t>23.01.33</t>
  </si>
  <si>
    <t>BD0929311100</t>
  </si>
  <si>
    <t>BD0929281154</t>
  </si>
  <si>
    <t>BD0929481200</t>
  </si>
  <si>
    <t>BD0933321202</t>
  </si>
  <si>
    <t>27.02.13</t>
  </si>
  <si>
    <t>27.02.33</t>
  </si>
  <si>
    <t>BD0929381103</t>
  </si>
  <si>
    <t>BD0929321158</t>
  </si>
  <si>
    <t>BD0929041202</t>
  </si>
  <si>
    <t>BD0933361208</t>
  </si>
  <si>
    <t>27.03.13</t>
  </si>
  <si>
    <t>27.03.33</t>
  </si>
  <si>
    <t>BD0929061101</t>
  </si>
  <si>
    <t>BD0929361154</t>
  </si>
  <si>
    <t>BD0929081208</t>
  </si>
  <si>
    <t>BD0933401202</t>
  </si>
  <si>
    <t>24.04.13</t>
  </si>
  <si>
    <t>24.04.33</t>
  </si>
  <si>
    <t>Interest Payments on half yearly &amp; principal payment after maturituy.</t>
  </si>
  <si>
    <t>Cut off Yeild (%)</t>
  </si>
  <si>
    <t>BOND NAME</t>
  </si>
  <si>
    <t xml:space="preserve">Reserve Money   </t>
  </si>
  <si>
    <t>23.09.20</t>
  </si>
  <si>
    <t>BD0930141108</t>
  </si>
  <si>
    <t>21.10.20</t>
  </si>
  <si>
    <t>With  effect  from 08.11.03</t>
  </si>
  <si>
    <t xml:space="preserve">    With   effect from 01.11.02</t>
  </si>
  <si>
    <t xml:space="preserve">      Area       (in '000' acres)</t>
  </si>
  <si>
    <t xml:space="preserve">   </t>
  </si>
  <si>
    <t>PKB</t>
  </si>
  <si>
    <t>CBBL</t>
  </si>
  <si>
    <t>17.12.20</t>
  </si>
  <si>
    <t xml:space="preserve">    ... = Not Available</t>
  </si>
  <si>
    <t>i)  DMBs advances to public &amp; private include balances with OFIs, NBDCs and money at call &amp; short notice</t>
  </si>
  <si>
    <t>3.00-6.00</t>
  </si>
  <si>
    <t xml:space="preserve"> Statistics Department </t>
  </si>
  <si>
    <t>20.01.21</t>
  </si>
  <si>
    <t>21.10.30</t>
  </si>
  <si>
    <t>26.12.07</t>
  </si>
  <si>
    <t>26.12.27</t>
  </si>
  <si>
    <t xml:space="preserve">                                                              BANK WISE ANNOUNCED INTEREST RATE STRUCTURE </t>
  </si>
  <si>
    <t>BD0931301107</t>
  </si>
  <si>
    <t>17.02.21</t>
  </si>
  <si>
    <t>17.02.31</t>
  </si>
  <si>
    <t xml:space="preserve">     Production        (in '000' Metric Tons)</t>
  </si>
  <si>
    <t xml:space="preserve">     Production        (in '000'   Metric Tons)</t>
  </si>
  <si>
    <t>Coupon Rate (%)</t>
  </si>
  <si>
    <t>27.11.28</t>
  </si>
  <si>
    <r>
      <t>Source</t>
    </r>
    <r>
      <rPr>
        <sz val="8"/>
        <rFont val="Arial"/>
        <family val="1"/>
      </rPr>
      <t xml:space="preserve">: </t>
    </r>
  </si>
  <si>
    <t>28.04.21</t>
  </si>
  <si>
    <t xml:space="preserve">Maturity of Deposits  </t>
  </si>
  <si>
    <t>BD0931401105</t>
  </si>
  <si>
    <t>19.05.21</t>
  </si>
  <si>
    <t>19.05.31</t>
  </si>
  <si>
    <t>Interest Free</t>
  </si>
  <si>
    <t>30.09.19</t>
  </si>
  <si>
    <t>30.09.26</t>
  </si>
  <si>
    <t>Hanif Flyover SPTB</t>
  </si>
  <si>
    <t>Rate of interest of Scheduled Banks (Weighted Average)</t>
  </si>
  <si>
    <t>To               Public      (18+22+26) </t>
  </si>
  <si>
    <t>30.06.21</t>
  </si>
  <si>
    <t>BD0941451207</t>
  </si>
  <si>
    <t>30.06.41</t>
  </si>
  <si>
    <t>23.06.21</t>
  </si>
  <si>
    <t>2021-22</t>
  </si>
  <si>
    <t>Mudaraba Monthly Profit Deposit Scheme (10 yrs.)</t>
  </si>
  <si>
    <t>BD0936491150</t>
  </si>
  <si>
    <t>28.07.21</t>
  </si>
  <si>
    <t>28.07.36</t>
  </si>
  <si>
    <t xml:space="preserve">ii) Claims on resident sector exclude inter-bank claims                                                                                                           </t>
  </si>
  <si>
    <t>FDI (Net Inflow)</t>
  </si>
  <si>
    <r>
      <t>Source</t>
    </r>
    <r>
      <rPr>
        <sz val="8"/>
        <rFont val="Times New Roman"/>
        <family val="1"/>
      </rPr>
      <t xml:space="preserve">    </t>
    </r>
    <r>
      <rPr>
        <b/>
        <sz val="8"/>
        <rFont val="Times New Roman"/>
        <family val="1"/>
      </rPr>
      <t xml:space="preserve">: </t>
    </r>
    <r>
      <rPr>
        <sz val="8"/>
        <rFont val="Times New Roman"/>
        <family val="1"/>
      </rPr>
      <t xml:space="preserve">   Dhaka Stock Exchange Ltd (DSE)</t>
    </r>
  </si>
  <si>
    <t>Note:         1. DSE Broad Index has been introduced instead of General Index from August 2013</t>
  </si>
  <si>
    <t>Service inflows***</t>
  </si>
  <si>
    <t>Service outflows***</t>
  </si>
  <si>
    <t xml:space="preserve">*** i) Based on banking channel data excluding goods procured in ports by carriers and goods acquired under merchanting </t>
  </si>
  <si>
    <t>15.04.24</t>
  </si>
  <si>
    <t>BD0928271156</t>
  </si>
  <si>
    <t>16.01.13</t>
  </si>
  <si>
    <t>16.01.28</t>
  </si>
  <si>
    <t>BD0928311150</t>
  </si>
  <si>
    <t>20.02.13</t>
  </si>
  <si>
    <t>20.02.28</t>
  </si>
  <si>
    <t>BD0928481201</t>
  </si>
  <si>
    <t>25.06.08</t>
  </si>
  <si>
    <t>25.06.28</t>
  </si>
  <si>
    <t>BD0928041203</t>
  </si>
  <si>
    <t>23.07.08</t>
  </si>
  <si>
    <t>23.08.28</t>
  </si>
  <si>
    <t>BD0932321203</t>
  </si>
  <si>
    <t>29.02.12</t>
  </si>
  <si>
    <t>29.02.32</t>
  </si>
  <si>
    <t>BD0932361209</t>
  </si>
  <si>
    <t>28.03.12</t>
  </si>
  <si>
    <t>28.03.32</t>
  </si>
  <si>
    <t xml:space="preserve">             Table-XXV</t>
  </si>
  <si>
    <t xml:space="preserve"> CENTRAL BANK </t>
  </si>
  <si>
    <t>18.08.21</t>
  </si>
  <si>
    <t>BD0931481107</t>
  </si>
  <si>
    <t>25.07.21</t>
  </si>
  <si>
    <t>25.07.31</t>
  </si>
  <si>
    <t>i)Data have been valued using the concept of the "Own Funds at Book Value (OFBV)" ,which may differ from market value of stocks</t>
  </si>
  <si>
    <t>29.09.21</t>
  </si>
  <si>
    <t>BD0926541055</t>
  </si>
  <si>
    <t>15.09.21</t>
  </si>
  <si>
    <t>15.09.26</t>
  </si>
  <si>
    <t>4.00-6.00</t>
  </si>
  <si>
    <t xml:space="preserve">INVESTMENT UNDER </t>
  </si>
  <si>
    <t>NATIONAL SAVINGS SCHEMES</t>
  </si>
  <si>
    <t>Inv. on Post Office Savings Bank</t>
  </si>
  <si>
    <t>Investment on NRBs Bond</t>
  </si>
  <si>
    <t>Profit Payment</t>
  </si>
  <si>
    <t>5 years BD Sanchayapatra</t>
  </si>
  <si>
    <t>Paribar Sanchayapatra</t>
  </si>
  <si>
    <t>3 Month Profit bearing Sanchayapatra</t>
  </si>
  <si>
    <t>Total (1+2+3+4)</t>
  </si>
  <si>
    <t>General A/C</t>
  </si>
  <si>
    <t>Fixed A/C</t>
  </si>
  <si>
    <t>Total    (6+7)</t>
  </si>
  <si>
    <t>Wage Earner Development Bond</t>
  </si>
  <si>
    <t xml:space="preserve">US Dollar Investment Bond </t>
  </si>
  <si>
    <t>Note: *Other Investments includes postal life insurance, Bangladesh prizebond and bonus a/c.</t>
  </si>
  <si>
    <t>XXVIII</t>
  </si>
  <si>
    <t>Investment Under National Savings Schemes</t>
  </si>
  <si>
    <t>BD0931561106</t>
  </si>
  <si>
    <t>19.10.21</t>
  </si>
  <si>
    <t>19.10.31</t>
  </si>
  <si>
    <t>Scheduled Bank Branches</t>
  </si>
  <si>
    <t>Group Bank Branches</t>
  </si>
  <si>
    <t>State owned Banks</t>
  </si>
  <si>
    <t xml:space="preserve"> Spread   (67-66)</t>
  </si>
  <si>
    <t xml:space="preserve"> Spread   (70-69)</t>
  </si>
  <si>
    <t>b. Bangladesh Govt. Investment Sukuk</t>
  </si>
  <si>
    <t>BDS092501059</t>
  </si>
  <si>
    <t>Manufacturing</t>
  </si>
  <si>
    <t>Mining</t>
  </si>
  <si>
    <t>Electricity</t>
  </si>
  <si>
    <t xml:space="preserve">Investment on Sanchayapatra </t>
  </si>
  <si>
    <t>Pensioner Sanchayapatra</t>
  </si>
  <si>
    <t xml:space="preserve">US  Dollar Premium Bond </t>
  </si>
  <si>
    <t xml:space="preserve">Principal   Repayment </t>
  </si>
  <si>
    <t>Total Investment    (5+8+12+13)</t>
  </si>
  <si>
    <t>Outstanding Savings Position        (As on end period)</t>
  </si>
  <si>
    <t>Average Credit per Scheduled Bank  Branch    (in crore)</t>
  </si>
  <si>
    <t>Total Bank Branches       (56+57+58+59)</t>
  </si>
  <si>
    <t>Coupon Rate(%)</t>
  </si>
  <si>
    <t>Cut off Yeild(%)</t>
  </si>
  <si>
    <t>Coupon/   Renter Rate(%)</t>
  </si>
  <si>
    <t>Cut off Yeild/     Renter Rate (%)</t>
  </si>
  <si>
    <t>c. Other Treasury Bond</t>
  </si>
  <si>
    <t>29.12.20</t>
  </si>
  <si>
    <t>29.12.25</t>
  </si>
  <si>
    <t>Other Invest-ments*</t>
  </si>
  <si>
    <t xml:space="preserve">  Qatar     Riyal</t>
  </si>
  <si>
    <t xml:space="preserve"> Swiss    Franc</t>
  </si>
  <si>
    <t>BD0926601057</t>
  </si>
  <si>
    <t>10.11.26</t>
  </si>
  <si>
    <t xml:space="preserve">   Total             (9+10+11)</t>
  </si>
  <si>
    <r>
      <rPr>
        <b/>
        <sz val="7"/>
        <color theme="1"/>
        <rFont val="Times New Roman"/>
        <family val="1"/>
      </rPr>
      <t>Net Investment</t>
    </r>
    <r>
      <rPr>
        <b/>
        <sz val="9"/>
        <color theme="1"/>
        <rFont val="Times New Roman"/>
        <family val="1"/>
      </rPr>
      <t xml:space="preserve">              </t>
    </r>
    <r>
      <rPr>
        <b/>
        <sz val="7"/>
        <color theme="1"/>
        <rFont val="Times New Roman"/>
        <family val="1"/>
      </rPr>
      <t>(14-15)</t>
    </r>
  </si>
  <si>
    <t xml:space="preserve"> Department of National Savings </t>
  </si>
  <si>
    <t xml:space="preserve"> Debt Management Department, Bangladesh Bank</t>
  </si>
  <si>
    <t>15.12.21</t>
  </si>
  <si>
    <t>22.12.21</t>
  </si>
  <si>
    <t xml:space="preserve">     ... =Not applicable</t>
  </si>
  <si>
    <t>(Base:2005-06=100</t>
  </si>
  <si>
    <t xml:space="preserve"> &amp; new base 2015-16=100)</t>
  </si>
  <si>
    <t>(a) Base: 2005-06</t>
  </si>
  <si>
    <t>(b) Base: 2015-16</t>
  </si>
  <si>
    <t>2075821</t>
  </si>
  <si>
    <t>2173075</t>
  </si>
  <si>
    <t>15.99</t>
  </si>
  <si>
    <t>2212623</t>
  </si>
  <si>
    <t>2289017</t>
  </si>
  <si>
    <t>11.97</t>
  </si>
  <si>
    <t>6.59</t>
  </si>
  <si>
    <t>16.18</t>
  </si>
  <si>
    <t>2374574</t>
  </si>
  <si>
    <t>2469533</t>
  </si>
  <si>
    <t>13.55</t>
  </si>
  <si>
    <t>7.32</t>
  </si>
  <si>
    <t>16.37</t>
  </si>
  <si>
    <t>2561736</t>
  </si>
  <si>
    <t>2666668</t>
  </si>
  <si>
    <t>11.83</t>
  </si>
  <si>
    <t>7.88</t>
  </si>
  <si>
    <t>16.56</t>
  </si>
  <si>
    <t>CURRENT AND CONSTANT MARKET PRICE (Base:2015-16)</t>
  </si>
  <si>
    <t>Agricul-ture, Forestry &amp; Fishing</t>
  </si>
  <si>
    <t>Electri-city      Gas, Steam &amp; Air Con.</t>
  </si>
  <si>
    <t>Water Supply; Sewerage, Waste Management</t>
  </si>
  <si>
    <t xml:space="preserve">Transport &amp; Storage </t>
  </si>
  <si>
    <t>Accomodation &amp; Food Service</t>
  </si>
  <si>
    <t>Information &amp; Communication</t>
  </si>
  <si>
    <t>Finan-cial &amp; Insurance Activities</t>
  </si>
  <si>
    <t>Real Estate Activities</t>
  </si>
  <si>
    <t>Professional, Scientific &amp; Technical</t>
  </si>
  <si>
    <t>Administrative &amp; Support Service</t>
  </si>
  <si>
    <t>Human Health &amp;      Social Works</t>
  </si>
  <si>
    <t>Arts,entartainment &amp; Recreation</t>
  </si>
  <si>
    <t>Other Service activities</t>
  </si>
  <si>
    <t>Total GVA at Basic Price (1 to 19)</t>
  </si>
  <si>
    <t>Tax Less Subsidy</t>
  </si>
  <si>
    <t>GDP at  Market Price (20+21)</t>
  </si>
  <si>
    <t>Gross National Income (GNI) (22+23)</t>
  </si>
  <si>
    <t>(a) Current Market Price</t>
  </si>
  <si>
    <t>(b) Constant Market Price</t>
  </si>
  <si>
    <r>
      <t>Note :</t>
    </r>
    <r>
      <rPr>
        <sz val="8"/>
        <color indexed="8"/>
        <rFont val="Times New Roman"/>
        <family val="1"/>
      </rPr>
      <t xml:space="preserve"> </t>
    </r>
  </si>
  <si>
    <t>Figures within the parentheses indicate the percentage of total GDP.</t>
  </si>
  <si>
    <r>
      <rPr>
        <b/>
        <sz val="7.5"/>
        <rFont val="Times New Roman"/>
        <family val="1"/>
      </rPr>
      <t>Source:</t>
    </r>
    <r>
      <rPr>
        <sz val="7.5"/>
        <rFont val="Times New Roman"/>
        <family val="1"/>
      </rPr>
      <t xml:space="preserve"> Bangladesh Bureau of Statistics</t>
    </r>
  </si>
  <si>
    <t xml:space="preserve">                                   GROSS DOMESTIC PRODUCT OF BANGLADESH AT </t>
  </si>
  <si>
    <t>CURRENT AND CONSTANT MARKET PRICE (Base:2005-06)</t>
  </si>
  <si>
    <t>Mining &amp; Quarrying</t>
  </si>
  <si>
    <t>Electri-city   Gas &amp; Water Supply</t>
  </si>
  <si>
    <t>Education</t>
  </si>
  <si>
    <t>GDP at Producer Price  (1 to 15)</t>
  </si>
  <si>
    <t>GDP at  Market Price (16+17)</t>
  </si>
  <si>
    <r>
      <t>2020-21</t>
    </r>
    <r>
      <rPr>
        <vertAlign val="superscript"/>
        <sz val="7"/>
        <rFont val="Times New Roman"/>
        <family val="1"/>
      </rPr>
      <t>p</t>
    </r>
  </si>
  <si>
    <t>Figures within the parentheses indicate the percentage of  total GDP.</t>
  </si>
  <si>
    <r>
      <t>Source   :</t>
    </r>
    <r>
      <rPr>
        <sz val="7"/>
        <color indexed="8"/>
        <rFont val="Times New Roman"/>
        <family val="1"/>
      </rPr>
      <t xml:space="preserve"> Bangladesh Bureau of Statistics</t>
    </r>
  </si>
  <si>
    <t xml:space="preserve">                  TABLE IIG (Contd.)</t>
  </si>
  <si>
    <t xml:space="preserve">          TABLE IIG (Concld.)</t>
  </si>
  <si>
    <t xml:space="preserve">                          (Taka in crore)</t>
  </si>
  <si>
    <t xml:space="preserve">Period </t>
  </si>
  <si>
    <t>Cards</t>
  </si>
  <si>
    <t>Transactions</t>
  </si>
  <si>
    <t>Card Transactions</t>
  </si>
  <si>
    <t>No. of ATMs  (as on)</t>
  </si>
  <si>
    <t>No. of POS  (as on)</t>
  </si>
  <si>
    <t>Local Transactions  (Issuing)</t>
  </si>
  <si>
    <t xml:space="preserve">No. of Transactions </t>
  </si>
  <si>
    <t>Gross Domestic Product of Bangladesh at Current and Constant Market Price (Base:2015-16)</t>
  </si>
  <si>
    <t>Gross Domestic Product of Bangladesh at Current and Constant Market Price (Base:2005-06)</t>
  </si>
  <si>
    <t xml:space="preserve">  Specialised Banks</t>
  </si>
  <si>
    <t>Bank Alfalah</t>
  </si>
  <si>
    <t>BDS092601050</t>
  </si>
  <si>
    <t>30.12.21</t>
  </si>
  <si>
    <t>30.12.26</t>
  </si>
  <si>
    <t>26.01.22</t>
  </si>
  <si>
    <t>…=Not applicable</t>
  </si>
  <si>
    <t>BD0932691100</t>
  </si>
  <si>
    <t>19.01.22</t>
  </si>
  <si>
    <t>19.01.32</t>
  </si>
  <si>
    <t xml:space="preserve">       TABLE-XXVIII</t>
  </si>
  <si>
    <t xml:space="preserve">    Broad Money Liabilities</t>
  </si>
  <si>
    <t xml:space="preserve">CORPORATIONS SURVEY                        </t>
  </si>
  <si>
    <t xml:space="preserve">        DEPOSITORY</t>
  </si>
  <si>
    <t xml:space="preserve">             ... = Not available                                                    P = Provisional   </t>
  </si>
  <si>
    <r>
      <t>Source:</t>
    </r>
    <r>
      <rPr>
        <sz val="8"/>
        <color indexed="8"/>
        <rFont val="Times New Roman"/>
        <family val="1"/>
      </rPr>
      <t xml:space="preserve">  National Board of Revenue and Bangladesh Bureau of  Statistics</t>
    </r>
  </si>
  <si>
    <t xml:space="preserve">             </t>
  </si>
  <si>
    <t>09.02.22</t>
  </si>
  <si>
    <t>BD0927761058</t>
  </si>
  <si>
    <t>16.03.22</t>
  </si>
  <si>
    <t>16.03.27</t>
  </si>
  <si>
    <t>30.03.22</t>
  </si>
  <si>
    <t>BD0942781206</t>
  </si>
  <si>
    <t>30.03.42</t>
  </si>
  <si>
    <t>With effect from 29.07.20 </t>
  </si>
  <si>
    <r>
      <t>13.24</t>
    </r>
    <r>
      <rPr>
        <vertAlign val="superscript"/>
        <sz val="8"/>
        <color indexed="8"/>
        <rFont val="Times New Roman"/>
        <family val="1"/>
      </rPr>
      <t>A</t>
    </r>
  </si>
  <si>
    <r>
      <t>12.59</t>
    </r>
    <r>
      <rPr>
        <vertAlign val="superscript"/>
        <sz val="8"/>
        <rFont val="Times New Roman"/>
        <family val="1"/>
      </rPr>
      <t>B</t>
    </r>
  </si>
  <si>
    <r>
      <t>13.19</t>
    </r>
    <r>
      <rPr>
        <vertAlign val="superscript"/>
        <sz val="8"/>
        <rFont val="Times New Roman"/>
        <family val="1"/>
      </rPr>
      <t>C</t>
    </r>
  </si>
  <si>
    <r>
      <t>13.45</t>
    </r>
    <r>
      <rPr>
        <vertAlign val="superscript"/>
        <sz val="8"/>
        <rFont val="Times New Roman"/>
        <family val="1"/>
      </rPr>
      <t>D</t>
    </r>
  </si>
  <si>
    <r>
      <t>11.80</t>
    </r>
    <r>
      <rPr>
        <vertAlign val="superscript"/>
        <sz val="8"/>
        <rFont val="Times New Roman"/>
        <family val="1"/>
      </rPr>
      <t>E</t>
    </r>
  </si>
  <si>
    <t>A. including 0.84 %  social security premium (SSP) &amp; will be payable on completion of 3 years</t>
  </si>
  <si>
    <t>B. including 0.79 %  social security premium (SSP) &amp; will be payable on completion of 3 years</t>
  </si>
  <si>
    <t>C. including 0.99 %  social security premium (SSP) &amp; will be payable on completion of 5 years</t>
  </si>
  <si>
    <t>D. including 1.25 %  social security premium (SSP) &amp; will be payable on completion of 5 years</t>
  </si>
  <si>
    <t>E. including 0.80 %  social security premium (SSP) &amp; will be payable on completion of 5 years</t>
  </si>
  <si>
    <r>
      <t>11.28</t>
    </r>
    <r>
      <rPr>
        <vertAlign val="superscript"/>
        <sz val="8"/>
        <color indexed="8"/>
        <rFont val="Times New Roman"/>
        <family val="1"/>
      </rPr>
      <t>A</t>
    </r>
  </si>
  <si>
    <r>
      <t>6.00</t>
    </r>
    <r>
      <rPr>
        <vertAlign val="superscript"/>
        <sz val="8"/>
        <color indexed="8"/>
        <rFont val="Times New Roman"/>
        <family val="1"/>
      </rPr>
      <t>A</t>
    </r>
  </si>
  <si>
    <r>
      <t>11.04</t>
    </r>
    <r>
      <rPr>
        <vertAlign val="superscript"/>
        <sz val="8"/>
        <rFont val="Times New Roman"/>
        <family val="1"/>
      </rPr>
      <t>B</t>
    </r>
  </si>
  <si>
    <r>
      <t>11.28</t>
    </r>
    <r>
      <rPr>
        <vertAlign val="superscript"/>
        <sz val="8"/>
        <rFont val="Times New Roman"/>
        <family val="1"/>
      </rPr>
      <t>C</t>
    </r>
  </si>
  <si>
    <r>
      <t>11.76</t>
    </r>
    <r>
      <rPr>
        <vertAlign val="superscript"/>
        <sz val="8"/>
        <rFont val="Times New Roman"/>
        <family val="1"/>
      </rPr>
      <t>C</t>
    </r>
  </si>
  <si>
    <r>
      <t>11.52</t>
    </r>
    <r>
      <rPr>
        <vertAlign val="superscript"/>
        <sz val="8"/>
        <rFont val="Times New Roman"/>
        <family val="1"/>
      </rPr>
      <t>D</t>
    </r>
  </si>
  <si>
    <r>
      <t>12.00</t>
    </r>
    <r>
      <rPr>
        <vertAlign val="superscript"/>
        <sz val="8"/>
        <rFont val="Times New Roman"/>
        <family val="1"/>
      </rPr>
      <t>E</t>
    </r>
  </si>
  <si>
    <t>20.04.22</t>
  </si>
  <si>
    <t>BD0937821157</t>
  </si>
  <si>
    <t>27.04.22</t>
  </si>
  <si>
    <t>27.04.37</t>
  </si>
  <si>
    <t>20.04.27</t>
  </si>
  <si>
    <t xml:space="preserve">Additional Director  (Statistics)           </t>
  </si>
  <si>
    <t>BD0932851100</t>
  </si>
  <si>
    <t>25.05.22</t>
  </si>
  <si>
    <t>25.05.32</t>
  </si>
  <si>
    <t>BD0927841058</t>
  </si>
  <si>
    <t>18.05.22</t>
  </si>
  <si>
    <t>18.05.27</t>
  </si>
  <si>
    <t>Md. Nurul Islam                          Director (Statistics)</t>
  </si>
  <si>
    <t xml:space="preserve">Standard Bank </t>
  </si>
  <si>
    <t>Global Islami Bank</t>
  </si>
  <si>
    <t xml:space="preserve">v) </t>
  </si>
  <si>
    <t>w)</t>
  </si>
  <si>
    <t>Special Notice Deposit</t>
  </si>
  <si>
    <t>BDS092701051</t>
  </si>
  <si>
    <t xml:space="preserve">  &lt; 1.00 crore</t>
  </si>
  <si>
    <t xml:space="preserve"> 1.00 crore but  &lt; 25.00 crore</t>
  </si>
  <si>
    <t xml:space="preserve"> 25.00 crore but  &lt; 50.00 crore</t>
  </si>
  <si>
    <t>Advisor</t>
  </si>
  <si>
    <t xml:space="preserve">        Deputy Governor</t>
  </si>
  <si>
    <t>Bengal Comm. Bank</t>
  </si>
  <si>
    <t>White Middle               (Kutcha bales)            (Tk per 100 kg) </t>
  </si>
  <si>
    <t>Export of Tea                      (Average Quality)                      (Tk per kg)</t>
  </si>
  <si>
    <t>15.06.22</t>
  </si>
  <si>
    <t>BD0932891106</t>
  </si>
  <si>
    <t>22.06.22</t>
  </si>
  <si>
    <t>22.06.32</t>
  </si>
  <si>
    <t>BD0942901200</t>
  </si>
  <si>
    <t>29.06.22</t>
  </si>
  <si>
    <t>29.06.42</t>
  </si>
  <si>
    <t>BD0937901157</t>
  </si>
  <si>
    <t>29.06.37</t>
  </si>
  <si>
    <t>2022-23</t>
  </si>
  <si>
    <t>BD0927021057</t>
  </si>
  <si>
    <t>13.07.22</t>
  </si>
  <si>
    <t>13.07.27</t>
  </si>
  <si>
    <t>20.07.22</t>
  </si>
  <si>
    <t>1.25-1.75</t>
  </si>
  <si>
    <t>3.25-3.50</t>
  </si>
  <si>
    <t>0.50-3.25</t>
  </si>
  <si>
    <t>2.00-2.50</t>
  </si>
  <si>
    <t>0.50-2.00</t>
  </si>
  <si>
    <t>XXIX</t>
  </si>
  <si>
    <t>National Budget Statistics</t>
  </si>
  <si>
    <t xml:space="preserve">    NATIONAL</t>
  </si>
  <si>
    <t>TABLE-XXIX</t>
  </si>
  <si>
    <t>Revenue and Foreign Grants</t>
  </si>
  <si>
    <t>Expenditure                                    Expenditure</t>
  </si>
  <si>
    <t>Financing</t>
  </si>
  <si>
    <t>Tax Revenue</t>
  </si>
  <si>
    <t>Non-Tax Revenue</t>
  </si>
  <si>
    <t>Revenue (1+2)</t>
  </si>
  <si>
    <t>Foreign Grants</t>
  </si>
  <si>
    <t>Total Revenue and Foreign Grants (3+4)</t>
  </si>
  <si>
    <t>Recurrent Expenditure</t>
  </si>
  <si>
    <t>Capital Expenditure</t>
  </si>
  <si>
    <t>ADP</t>
  </si>
  <si>
    <t>Non-ADP Special Projects</t>
  </si>
  <si>
    <t>Scheme</t>
  </si>
  <si>
    <t>Non-ADP FFW and Transfer</t>
  </si>
  <si>
    <t>Development Expenditure (9+10+11+12)</t>
  </si>
  <si>
    <t>Net Outlay for Food A/C Operation</t>
  </si>
  <si>
    <t>Loans &amp; Advances (Net)</t>
  </si>
  <si>
    <t>Others Expenditure</t>
  </si>
  <si>
    <t>Total Expenditure (8+13+14+15+16)</t>
  </si>
  <si>
    <t>Foreign Borrowing (Net)</t>
  </si>
  <si>
    <t>Domestic Borrowing</t>
  </si>
  <si>
    <t>Total Financing (19+20)</t>
  </si>
  <si>
    <t>Finance Division, Ministry of Finance</t>
  </si>
  <si>
    <t>P: Proposed Budget</t>
  </si>
  <si>
    <t>10.08.22</t>
  </si>
  <si>
    <t>4.50-6.50</t>
  </si>
  <si>
    <t>BD0932111109</t>
  </si>
  <si>
    <t>21.09.22</t>
  </si>
  <si>
    <t>21.09.32</t>
  </si>
  <si>
    <t>28.09.22</t>
  </si>
  <si>
    <t>BD0927151151</t>
  </si>
  <si>
    <t>17.10.12</t>
  </si>
  <si>
    <t>17.10.27</t>
  </si>
  <si>
    <t xml:space="preserve">ii)  Deposit Money Banks (DMBs) comprise 61 Scheduled Banks &amp; BSBL </t>
  </si>
  <si>
    <t xml:space="preserve">    In Taka    A/C</t>
  </si>
  <si>
    <t>12.10.22</t>
  </si>
  <si>
    <t>26.10.22</t>
  </si>
  <si>
    <t>Rest of the indicators are applicable for all scheduled banks only.</t>
  </si>
  <si>
    <t>Electronic Fund Transfers (Outward)*</t>
  </si>
  <si>
    <t>MICR Clearing*</t>
  </si>
  <si>
    <t>Total*</t>
  </si>
  <si>
    <r>
      <t>Source:</t>
    </r>
    <r>
      <rPr>
        <sz val="8"/>
        <rFont val="Times New Roman"/>
        <family val="1"/>
      </rPr>
      <t xml:space="preserve"> </t>
    </r>
    <r>
      <rPr>
        <sz val="8"/>
        <color theme="1"/>
        <rFont val="Times New Roman"/>
        <family val="1"/>
      </rPr>
      <t>Statistics Department, Bangladesh Bank</t>
    </r>
  </si>
  <si>
    <t>November,2018 and also includes Bangladesh Samabaya Bank Ltd and Bangladesh Bank from December, 2018.</t>
  </si>
  <si>
    <t>BD0927181059</t>
  </si>
  <si>
    <t>16.11.22</t>
  </si>
  <si>
    <t>16.11.27</t>
  </si>
  <si>
    <t>Glass       Sheets</t>
  </si>
  <si>
    <t>BD0932231105</t>
  </si>
  <si>
    <t>21.12.22</t>
  </si>
  <si>
    <t>21.12.32</t>
  </si>
  <si>
    <t>28.12.22</t>
  </si>
  <si>
    <t>BD0942241201</t>
  </si>
  <si>
    <t>28.12.42</t>
  </si>
  <si>
    <t>BD0928261058</t>
  </si>
  <si>
    <t>11.01.23</t>
  </si>
  <si>
    <t>11.01.28</t>
  </si>
  <si>
    <t>25.01.23</t>
  </si>
  <si>
    <t>BD0943281206</t>
  </si>
  <si>
    <t>25.01.43</t>
  </si>
  <si>
    <t>Cash Reserve Require-ment</t>
  </si>
  <si>
    <t>08.02.23</t>
  </si>
  <si>
    <t>15.02.23</t>
  </si>
  <si>
    <t>Cow Hides Raw                             (Tk per piece)</t>
  </si>
  <si>
    <t>BD0933351100</t>
  </si>
  <si>
    <t>15.03.23</t>
  </si>
  <si>
    <t>15.03.33</t>
  </si>
  <si>
    <t>05.03.25</t>
  </si>
  <si>
    <t>BD0928381054</t>
  </si>
  <si>
    <t>12.04.23</t>
  </si>
  <si>
    <t>12.04.28</t>
  </si>
  <si>
    <t>24.04.23</t>
  </si>
  <si>
    <t>P: Provisional</t>
  </si>
  <si>
    <t>1.Total credit to government (net) by the banking system equals to total claims on government (gross) excluding government</t>
  </si>
  <si>
    <t>10.05.23</t>
  </si>
  <si>
    <t>Point- to- Point (Base: 2021-22=100)</t>
  </si>
  <si>
    <t>12- Month Average (Base: 2021-22=100)</t>
  </si>
  <si>
    <t>Total Industries</t>
  </si>
  <si>
    <t>3.Rate of inflation (Base: 2005-06) data discontinued from April 2023 due to dropping of BBS data</t>
  </si>
  <si>
    <t xml:space="preserve">  TABLE-VIA</t>
  </si>
  <si>
    <t xml:space="preserve">Food Products &amp; Matches        </t>
  </si>
  <si>
    <t>ii) BCIC: Paper,  Fertilizers &amp; Glass sheet</t>
  </si>
  <si>
    <t xml:space="preserve">AVERAGE PRICES OF SELECTED COMMODITIES                 </t>
  </si>
  <si>
    <t>Bangla white A  (Pucca  bales)  (Tk per 182.25 kg)</t>
  </si>
  <si>
    <t>3. Bangladesh Bureau of Statistics</t>
  </si>
  <si>
    <t>2. Department of Agricultural Marketing</t>
  </si>
  <si>
    <t>4. Bangladesh Tea Board</t>
  </si>
  <si>
    <t>(Other than jute goods)</t>
  </si>
  <si>
    <t xml:space="preserve">PRODUCTION OF MAJOR INDUSTRIAL COMMODITIES </t>
  </si>
  <si>
    <t xml:space="preserve">                                                                     CONSUMER PRICE INDEX &amp; </t>
  </si>
  <si>
    <t>Alcoholic, Beverage, Tobacco</t>
  </si>
  <si>
    <t>Housing, Water, Electricity, Gas</t>
  </si>
  <si>
    <t>Furnishings, Household Equipment</t>
  </si>
  <si>
    <t xml:space="preserve">Health </t>
  </si>
  <si>
    <t xml:space="preserve">Transportation </t>
  </si>
  <si>
    <t>Communication</t>
  </si>
  <si>
    <t>Recreation &amp; Cultural</t>
  </si>
  <si>
    <t>Restaurants and Hotels</t>
  </si>
  <si>
    <t>…=Not Available</t>
  </si>
  <si>
    <t>INFLATION RATE IN BANGLADESH (Base Index:2005-06=100)</t>
  </si>
  <si>
    <t>VIA</t>
  </si>
  <si>
    <t>VIB</t>
  </si>
  <si>
    <t>Consumer Price Index &amp; Inflation Rate in Bangladesh(Base Index: 2005-06=100)</t>
  </si>
  <si>
    <t xml:space="preserve">Consumer Price Index &amp; Inflation Rate in Bangladesh (Base Index 2021-22=100) </t>
  </si>
  <si>
    <t>iii) Food Products = Atta, Maida &amp; Suji</t>
  </si>
  <si>
    <t xml:space="preserve">i) BBS: Cotton Yarn, Cotton Cloth, Cigarettes, Oil Products,     </t>
  </si>
  <si>
    <t xml:space="preserve">             TABLE-VIB</t>
  </si>
  <si>
    <r>
      <t xml:space="preserve">Source : </t>
    </r>
    <r>
      <rPr>
        <sz val="7"/>
        <rFont val="Times New Roman"/>
        <family val="1"/>
      </rPr>
      <t>Dhaka Stock Exchange Ltd (DSE)</t>
    </r>
  </si>
  <si>
    <r>
      <t xml:space="preserve">Note    : </t>
    </r>
    <r>
      <rPr>
        <sz val="7"/>
        <rFont val="Times New Roman"/>
        <family val="1"/>
      </rPr>
      <t xml:space="preserve">Miscellaneous includes IT-Sector, Tannery, Ceramic, Travel &amp; Corporate bond </t>
    </r>
  </si>
  <si>
    <t>BD0928461054</t>
  </si>
  <si>
    <t>14.06.23</t>
  </si>
  <si>
    <t>14.06.28</t>
  </si>
  <si>
    <t>Foreign Trade   (Million US $)</t>
  </si>
  <si>
    <t xml:space="preserve"> Foreign Exchange  Reserves           </t>
  </si>
  <si>
    <t>(Million US $)</t>
  </si>
  <si>
    <t xml:space="preserve">Foreign Exchange Reserves (as per BPM6 ) </t>
  </si>
  <si>
    <t>Provisional Data</t>
  </si>
  <si>
    <t>12.07.23</t>
  </si>
  <si>
    <t>19.07.23</t>
  </si>
  <si>
    <t>2023-24</t>
  </si>
  <si>
    <t>BD0928061052</t>
  </si>
  <si>
    <t>09.08.23</t>
  </si>
  <si>
    <t>BD0933071104</t>
  </si>
  <si>
    <t>16.08.23</t>
  </si>
  <si>
    <t>16.08.33</t>
  </si>
  <si>
    <t>Electri-city,  Gas and Water Supply</t>
  </si>
  <si>
    <t>Industry</t>
  </si>
  <si>
    <t>Whole-sale     &amp; Retail Trade, Repair</t>
  </si>
  <si>
    <t xml:space="preserve">Real Estate,Professional &amp;  Administrative  </t>
  </si>
  <si>
    <t>Public Administration, Health &amp; Education</t>
  </si>
  <si>
    <t>Arts, Recreation &amp;Other Service activities</t>
  </si>
  <si>
    <t>GVA at Basic Price</t>
  </si>
  <si>
    <t>GDP at Current Price</t>
  </si>
  <si>
    <t>Growth Rate</t>
  </si>
  <si>
    <t>6=(2+..+5)</t>
  </si>
  <si>
    <t>Q1</t>
  </si>
  <si>
    <t>Q2</t>
  </si>
  <si>
    <t>Q3</t>
  </si>
  <si>
    <t>Q4</t>
  </si>
  <si>
    <t>IXD</t>
  </si>
  <si>
    <t xml:space="preserve">QUARTERLY GROSS DOMESTIC PRODUCT </t>
  </si>
  <si>
    <t xml:space="preserve">            (Taka in crore)</t>
  </si>
  <si>
    <t xml:space="preserve">Quarterly Gross Domestic Product Of Bangladesh  (Base:2015-16)   </t>
  </si>
  <si>
    <t>TABLE-IXD</t>
  </si>
  <si>
    <t>GDP at Constant Price</t>
  </si>
  <si>
    <t>BD0928101056</t>
  </si>
  <si>
    <t>13.09.23</t>
  </si>
  <si>
    <t>09.08.28</t>
  </si>
  <si>
    <t>13.09.28</t>
  </si>
  <si>
    <t>R=Revised</t>
  </si>
  <si>
    <t>Index of Industrial Production</t>
  </si>
  <si>
    <t>Index of  Manufacturing, Mining &amp;  Electricity</t>
  </si>
  <si>
    <t>25.10.23</t>
  </si>
  <si>
    <t>Mobile Financial Services (MFS)</t>
  </si>
  <si>
    <t>No. of MFS Agents (as on)</t>
  </si>
  <si>
    <t>MFS Transactions</t>
  </si>
  <si>
    <t>No. of MFS Subscribers (as on)</t>
  </si>
  <si>
    <t>BD0928181058</t>
  </si>
  <si>
    <t>15.11.23</t>
  </si>
  <si>
    <t>15.11.28</t>
  </si>
  <si>
    <t>29.11.23</t>
  </si>
  <si>
    <t>1.50-1.75</t>
  </si>
  <si>
    <t>1.50-2.00</t>
  </si>
  <si>
    <t>1.50-2.25</t>
  </si>
  <si>
    <t>1.50-2.50</t>
  </si>
  <si>
    <t>1.50-2.75</t>
  </si>
  <si>
    <t>2.50-5.50</t>
  </si>
  <si>
    <t>5.00-7.00</t>
  </si>
  <si>
    <t>3.00-7.00</t>
  </si>
  <si>
    <t>1.75-4.50</t>
  </si>
  <si>
    <t>3.00-5.00</t>
  </si>
  <si>
    <t>Note:  Rate of inflation (Base: 2005-06) data discontinued from April 2023 due to dropping of BBS data</t>
  </si>
  <si>
    <r>
      <t>Source</t>
    </r>
    <r>
      <rPr>
        <sz val="7"/>
        <color indexed="8"/>
        <rFont val="Times New Roman"/>
        <family val="1"/>
      </rPr>
      <t>: Bangladesh Bureau of Statistics (BBS)</t>
    </r>
  </si>
  <si>
    <t>20.12.23</t>
  </si>
  <si>
    <t>BD0928221052</t>
  </si>
  <si>
    <t>13.12.23</t>
  </si>
  <si>
    <t>13.12.28</t>
  </si>
  <si>
    <t xml:space="preserve">Source  :  Department of Off-site Supervision, Bangladesh Bank                                                                                                                                  </t>
  </si>
  <si>
    <t>With effect from 14.01.24 &amp; onwards</t>
  </si>
  <si>
    <t>8.50-9.00</t>
  </si>
  <si>
    <t xml:space="preserve">Director  (Statistics)           </t>
  </si>
  <si>
    <t>Email: nurul.islam130@bb.org.bd</t>
  </si>
  <si>
    <t>Lead Editor</t>
  </si>
  <si>
    <t>Editor</t>
  </si>
  <si>
    <t>Associate Editors</t>
  </si>
  <si>
    <t>17.01.24</t>
  </si>
  <si>
    <t>24.01.24</t>
  </si>
  <si>
    <t>Jute Manufactures</t>
  </si>
  <si>
    <t>Leather and Leather Manufactures</t>
  </si>
  <si>
    <t>Fish, Shrimp &amp; Prawns</t>
  </si>
  <si>
    <t xml:space="preserve">Ready made Garments    </t>
  </si>
  <si>
    <t xml:space="preserve">   Milk &amp;      Cream</t>
  </si>
  <si>
    <t>POL (Refined)</t>
  </si>
  <si>
    <t>Plastic &amp; Rubber articles</t>
  </si>
  <si>
    <t>Chemicals</t>
  </si>
  <si>
    <t>Dyeing,  Tanning etc</t>
  </si>
  <si>
    <t>Raw Cotton</t>
  </si>
  <si>
    <t>Iron,Steel and other base metals</t>
  </si>
  <si>
    <t>1. Import data are on C&amp;F/CIF basis upto June 2014 and FOB basis from July 2014 &amp; onwards</t>
  </si>
  <si>
    <t>2. EPZ import was included from BEPZA until 2020-21 and EPZ import payment was included by commodity wise from the Banking channel from 2021-22 &amp; onwards.</t>
  </si>
  <si>
    <t>1) Export of EPZ from 2020-21 to 2022-23 are included by commodity-wise.</t>
  </si>
  <si>
    <t>BD0934311103</t>
  </si>
  <si>
    <t>22.02.24</t>
  </si>
  <si>
    <t>22.02.34</t>
  </si>
  <si>
    <r>
      <t xml:space="preserve">       </t>
    </r>
    <r>
      <rPr>
        <b/>
        <sz val="5.5"/>
        <rFont val="Times New Roman"/>
        <family val="1"/>
      </rPr>
      <t>Note  :</t>
    </r>
    <r>
      <rPr>
        <sz val="5.5"/>
        <rFont val="Times New Roman"/>
        <family val="1"/>
      </rPr>
      <t xml:space="preserve">  </t>
    </r>
  </si>
  <si>
    <t>5.00-6.00</t>
  </si>
  <si>
    <t>Transportation, Accomodation and Food</t>
  </si>
  <si>
    <t>Agriculture, Forestry &amp; Fishing</t>
  </si>
  <si>
    <t>13=(7+..+12)</t>
  </si>
  <si>
    <t>14=(1+6+13)</t>
  </si>
  <si>
    <t>16=(14+15)</t>
  </si>
  <si>
    <t>23=(19+..+22)</t>
  </si>
  <si>
    <t>30=(24+..+29)</t>
  </si>
  <si>
    <t>31=(18+23+30)</t>
  </si>
  <si>
    <t>33=(31+32)</t>
  </si>
  <si>
    <t>OF BANGLADESH  (Base:2015-16)                              TABLE-IXC  (Contd.)</t>
  </si>
  <si>
    <t>OF BANGLADESH (Base:2015-16)                                    TABLE-IXC (Concld.)</t>
  </si>
  <si>
    <t>BGSPB-IFIC</t>
  </si>
  <si>
    <t>04.01.24</t>
  </si>
  <si>
    <t>04.01.32</t>
  </si>
  <si>
    <t>Policy rate</t>
  </si>
  <si>
    <t>BGSPB(Sonali)</t>
  </si>
  <si>
    <t>04.01.33</t>
  </si>
  <si>
    <t>BGSPB(Janata)</t>
  </si>
  <si>
    <t>15.01.24</t>
  </si>
  <si>
    <t>15.01.33</t>
  </si>
  <si>
    <t>BGSPB(Prime)</t>
  </si>
  <si>
    <t>08.02.24</t>
  </si>
  <si>
    <t>08.02.33</t>
  </si>
  <si>
    <t>BGSPB(Meghna)</t>
  </si>
  <si>
    <t>11.02.24</t>
  </si>
  <si>
    <t>11.02.33</t>
  </si>
  <si>
    <t>BGSPB(NCC)</t>
  </si>
  <si>
    <t>BGSPB(Trust)</t>
  </si>
  <si>
    <t>BGSPB(One)</t>
  </si>
  <si>
    <t>BGSPB(NRB)</t>
  </si>
  <si>
    <t>12.02.24</t>
  </si>
  <si>
    <t>12.02.33</t>
  </si>
  <si>
    <t>BGSPB(Madhumoti)</t>
  </si>
  <si>
    <t>BGSPB(Midland)</t>
  </si>
  <si>
    <t>BGSPB(City)</t>
  </si>
  <si>
    <t>24.01.34</t>
  </si>
  <si>
    <t>BGSPB(Pubali)</t>
  </si>
  <si>
    <t>BGSPB(Eastern)</t>
  </si>
  <si>
    <t>29.01.24</t>
  </si>
  <si>
    <t>08.02.34</t>
  </si>
  <si>
    <t>BGSPB(UCB)</t>
  </si>
  <si>
    <t>BGSPB(Rupali)</t>
  </si>
  <si>
    <t>12.02.34</t>
  </si>
  <si>
    <t>BGSPB(MTB)</t>
  </si>
  <si>
    <t>BGSPB(BDBL)</t>
  </si>
  <si>
    <t>BGSPB(Dhaka)</t>
  </si>
  <si>
    <t>08.02.32</t>
  </si>
  <si>
    <t>BGSPB(DBBL)</t>
  </si>
  <si>
    <t>11.02.32</t>
  </si>
  <si>
    <t>BGSPB(Brac)</t>
  </si>
  <si>
    <t>BGSPB(AB)</t>
  </si>
  <si>
    <t>BGSPB(BCB)</t>
  </si>
  <si>
    <t>BGSPB(Jamuna)</t>
  </si>
  <si>
    <t>12.02.32</t>
  </si>
  <si>
    <t>BGSPB(Community)</t>
  </si>
  <si>
    <t>Agrani</t>
  </si>
  <si>
    <t>18.02.24</t>
  </si>
  <si>
    <t>18.02.33</t>
  </si>
  <si>
    <t>UCB</t>
  </si>
  <si>
    <t>18.02.34</t>
  </si>
  <si>
    <t>NRBC</t>
  </si>
  <si>
    <t>Dhaka</t>
  </si>
  <si>
    <t>City</t>
  </si>
  <si>
    <t>IBBL</t>
  </si>
  <si>
    <t>17.01.34</t>
  </si>
  <si>
    <t>Al-Arafah</t>
  </si>
  <si>
    <t>Shahjalal Islami Bank</t>
  </si>
  <si>
    <t>Exim</t>
  </si>
  <si>
    <t>Social Islami Bank</t>
  </si>
  <si>
    <t>ISIN/BOND NAME</t>
  </si>
  <si>
    <t>BD0939371151</t>
  </si>
  <si>
    <t>27.03.24</t>
  </si>
  <si>
    <t>27.03.39</t>
  </si>
  <si>
    <t xml:space="preserve">Source  : </t>
  </si>
  <si>
    <t>2.00-5.00</t>
  </si>
  <si>
    <t>7.00-9.25</t>
  </si>
  <si>
    <t>5.50-9.50</t>
  </si>
  <si>
    <t>0.30-6.00</t>
  </si>
  <si>
    <t>BD0929401059</t>
  </si>
  <si>
    <t>15.04.29</t>
  </si>
  <si>
    <t>BD0934401102</t>
  </si>
  <si>
    <t>17.04.24</t>
  </si>
  <si>
    <t>17.04.34</t>
  </si>
  <si>
    <t>24.04.24</t>
  </si>
  <si>
    <t>GROSS DOMESTIC PRODUCT OF BANGLADESH AT</t>
  </si>
  <si>
    <t>23.05.24</t>
  </si>
  <si>
    <t>BD0929431056</t>
  </si>
  <si>
    <t>9.00-9.50</t>
  </si>
  <si>
    <t xml:space="preserve">             Cards      Transactions                                                                                                                                                             </t>
  </si>
  <si>
    <t xml:space="preserve"> Usage at  ATMs       &amp; CRM</t>
  </si>
  <si>
    <t>Internet  Banking Transactions</t>
  </si>
  <si>
    <t>15.04.32</t>
  </si>
  <si>
    <t>09.04.24</t>
  </si>
  <si>
    <t>23.04.24</t>
  </si>
  <si>
    <t>BGSPB-Sonali</t>
  </si>
  <si>
    <t>BGSPB-Janata</t>
  </si>
  <si>
    <t>BGSPB-Agrani</t>
  </si>
  <si>
    <t>BGSPB-City</t>
  </si>
  <si>
    <t>BGSPB-BIFFL</t>
  </si>
  <si>
    <t>BGSPB-Dhaka</t>
  </si>
  <si>
    <t>BGSPB-BRAC</t>
  </si>
  <si>
    <t>BGSPB-PRIME</t>
  </si>
  <si>
    <t>09.04.32</t>
  </si>
  <si>
    <t>15.04.33</t>
  </si>
  <si>
    <t>BGSPB-Trust</t>
  </si>
  <si>
    <t>BGSPB-UCBL</t>
  </si>
  <si>
    <t>BGSPB-BankAsia</t>
  </si>
  <si>
    <t>BGSPB-Pubali</t>
  </si>
  <si>
    <t>BGSPB-NCCBL</t>
  </si>
  <si>
    <t>BGSPB-ONEBank</t>
  </si>
  <si>
    <t>BGSPB-Modhumoti</t>
  </si>
  <si>
    <t>BGSPB-Rupali</t>
  </si>
  <si>
    <t>BGSPB-MBL</t>
  </si>
  <si>
    <t>25.04.24</t>
  </si>
  <si>
    <t>Sabinco</t>
  </si>
  <si>
    <t>24.04.34</t>
  </si>
  <si>
    <t>25.04.34</t>
  </si>
  <si>
    <t>Islami Bank</t>
  </si>
  <si>
    <t>23.05.34</t>
  </si>
  <si>
    <t>BGSPB-AB</t>
  </si>
  <si>
    <t>BGSPB-Eastern</t>
  </si>
  <si>
    <t>BGSPB-Meghna</t>
  </si>
  <si>
    <t>BGSPB-Midland</t>
  </si>
  <si>
    <t>BGSPB-IDCOL</t>
  </si>
  <si>
    <t xml:space="preserve">     INDEX NUMBER OF ORDINARY SHARE PRICES, TURN OVER, ISSUED CAPITAL &amp; </t>
  </si>
  <si>
    <t>Citizens Bank</t>
  </si>
  <si>
    <t>12.00-14.00</t>
  </si>
  <si>
    <t>13.00-15.00</t>
  </si>
  <si>
    <t>11.00-13.00</t>
  </si>
  <si>
    <t>11.50-13.50</t>
  </si>
  <si>
    <t>12.50-14.50</t>
  </si>
  <si>
    <t>12.75-14.75</t>
  </si>
  <si>
    <t>9.50-11.50</t>
  </si>
  <si>
    <t>13.50-14.50</t>
  </si>
  <si>
    <t>14.00-16.00</t>
  </si>
  <si>
    <t>11.55-13.55</t>
  </si>
  <si>
    <t>10.50-12.50</t>
  </si>
  <si>
    <t>2.00-3.90</t>
  </si>
  <si>
    <t>13.50-15.50</t>
  </si>
  <si>
    <t>3.00-4.00</t>
  </si>
  <si>
    <t>7.50-9.50</t>
  </si>
  <si>
    <t>5.00-14.50</t>
  </si>
  <si>
    <t>12.90-14.90</t>
  </si>
  <si>
    <t>10.00-12.00</t>
  </si>
  <si>
    <t>BD0934481104</t>
  </si>
  <si>
    <t>20.06.24</t>
  </si>
  <si>
    <t>20.06.34</t>
  </si>
  <si>
    <t>BD0928241159</t>
  </si>
  <si>
    <t>26.12.28</t>
  </si>
  <si>
    <t>27.06.24</t>
  </si>
  <si>
    <t>27.06.34</t>
  </si>
  <si>
    <t>27.06.33</t>
  </si>
  <si>
    <t>SPTB-BKB</t>
  </si>
  <si>
    <t>BGSPB-NRBC</t>
  </si>
  <si>
    <t>Al-Arafah Islami</t>
  </si>
  <si>
    <t>20.06.33</t>
  </si>
  <si>
    <t>SPTP BKB</t>
  </si>
  <si>
    <t>06.06.24</t>
  </si>
  <si>
    <t>06.06.34</t>
  </si>
  <si>
    <t>BDS092901051</t>
  </si>
  <si>
    <t>06.06.29</t>
  </si>
  <si>
    <t xml:space="preserve"> Statistics Department, Bangladesh Bank and EPB</t>
  </si>
  <si>
    <t>3) The Import(f.o.b) has been adjusted for freight, goods procured in ports etc.</t>
  </si>
  <si>
    <t>2) The Export (f.o.b) has been adjusted for EPZ to Bangladesh, CMT(cutting, making and trimming) exports etc.</t>
  </si>
  <si>
    <t>2024-25</t>
  </si>
  <si>
    <t>28.07.24</t>
  </si>
  <si>
    <t>BD0944051202</t>
  </si>
  <si>
    <t>28.07.44</t>
  </si>
  <si>
    <t>… = not available</t>
  </si>
  <si>
    <t>3.50-4.50</t>
  </si>
  <si>
    <t>4.00-5.00</t>
  </si>
  <si>
    <t>7.25-10.00</t>
  </si>
  <si>
    <t>7.50-9.75</t>
  </si>
  <si>
    <t>7.50-10.67</t>
  </si>
  <si>
    <t>8.50-10.50</t>
  </si>
  <si>
    <t>2.50-5.00</t>
  </si>
  <si>
    <t>9.00-11.00</t>
  </si>
  <si>
    <t>6.00-12.00</t>
  </si>
  <si>
    <t>5.50-10.00</t>
  </si>
  <si>
    <t>2.00-3.00</t>
  </si>
  <si>
    <t>5.75-8.00</t>
  </si>
  <si>
    <t>9.00-13.00</t>
  </si>
  <si>
    <t>12.00-13.00</t>
  </si>
  <si>
    <t>14.50-16.50</t>
  </si>
  <si>
    <t>13.00-16.00</t>
  </si>
  <si>
    <t>12.50-15.50</t>
  </si>
  <si>
    <t>9.00-13.50</t>
  </si>
  <si>
    <t>BD0926061021</t>
  </si>
  <si>
    <t>07.08.24</t>
  </si>
  <si>
    <t>07.08.26</t>
  </si>
  <si>
    <t>14.08.24</t>
  </si>
  <si>
    <t>29.08.24</t>
  </si>
  <si>
    <t>29.08.34</t>
  </si>
  <si>
    <t>STPB BKB</t>
  </si>
  <si>
    <t>3.75-10.75</t>
  </si>
  <si>
    <t>4.00-11.50</t>
  </si>
  <si>
    <t>2.00-7.50</t>
  </si>
  <si>
    <t>5.00-9.00</t>
  </si>
  <si>
    <t>11.55-12.50</t>
  </si>
  <si>
    <t>13.00-14.00</t>
  </si>
  <si>
    <t>8.00-13.50</t>
  </si>
  <si>
    <t>4.00-14.00</t>
  </si>
  <si>
    <t>5.00-15.00</t>
  </si>
  <si>
    <t>12.55-14.55</t>
  </si>
  <si>
    <t>04.09.24</t>
  </si>
  <si>
    <t>11.09.24</t>
  </si>
  <si>
    <t>3.75-11.00</t>
  </si>
  <si>
    <t>7.75-8.75</t>
  </si>
  <si>
    <t>8.00-8.50</t>
  </si>
  <si>
    <t>12.00-14.50</t>
  </si>
  <si>
    <t>5.00-16.50</t>
  </si>
  <si>
    <t>8.99-10.99</t>
  </si>
  <si>
    <t xml:space="preserve">1) NBR revises and provides the export shipment data to Bangladesh Bank and EPB by adjusting multiple entries for July, 2022 to March, 2024.  </t>
  </si>
  <si>
    <t>BD0926141021</t>
  </si>
  <si>
    <t>02.10.24</t>
  </si>
  <si>
    <t>02.10.26</t>
  </si>
  <si>
    <t>BD0927141038</t>
  </si>
  <si>
    <t>02.10.27</t>
  </si>
  <si>
    <t>BD0929151050</t>
  </si>
  <si>
    <t>09.10.24</t>
  </si>
  <si>
    <t>09.10.29</t>
  </si>
  <si>
    <t>16.10.24</t>
  </si>
  <si>
    <t>30.10.24</t>
  </si>
  <si>
    <t>11.12.24</t>
  </si>
  <si>
    <t>BGSPB-Bank Asia</t>
  </si>
  <si>
    <t>BGSPB-Brac</t>
  </si>
  <si>
    <t>29.10.24</t>
  </si>
  <si>
    <t>29.10.33</t>
  </si>
  <si>
    <t>Meghna Bank</t>
  </si>
  <si>
    <t>Jamuna Bank</t>
  </si>
  <si>
    <t>One Bank</t>
  </si>
  <si>
    <t>Dhaka Bank</t>
  </si>
  <si>
    <t>Prime Bank</t>
  </si>
  <si>
    <t>Janata Bank</t>
  </si>
  <si>
    <t>Trust Bank</t>
  </si>
  <si>
    <t>UCB Bank</t>
  </si>
  <si>
    <t>Mercantile Bank</t>
  </si>
  <si>
    <t>NCC Bank</t>
  </si>
  <si>
    <t>Community Bank</t>
  </si>
  <si>
    <t>30.10.33</t>
  </si>
  <si>
    <t>30.10.34</t>
  </si>
  <si>
    <t>1.75-2.00</t>
  </si>
  <si>
    <t>0.25-6.00</t>
  </si>
  <si>
    <t>13.25-15.25</t>
  </si>
  <si>
    <t>7.50-15.00</t>
  </si>
  <si>
    <t>iii) For Reinvested Earnings, outflows means Loss</t>
  </si>
  <si>
    <t>iv) Data has been revised as per BPM6 Guidelines from 2019 and onwards</t>
  </si>
  <si>
    <t xml:space="preserve">Export Data collected from EPB upto June, 2022.  </t>
  </si>
  <si>
    <t xml:space="preserve">1.Export: National Board of Revenue ,Compiled by Statistics Department ,Bangladesh Bank from July, 2022 and onwards. </t>
  </si>
  <si>
    <t>3. Accounts and Budgeting Department, Bangladesh Bank for foreign exchange reserves.</t>
  </si>
  <si>
    <t>2. Statistics Department, Bangladesh Bank for import data.</t>
  </si>
  <si>
    <t xml:space="preserve">4. Weighted average exchange rate represents the inter-bank exchange rate. </t>
  </si>
  <si>
    <t>5. IMF Reserve Position amount is included in Foreign Exchange Reserve from April ,2018 &amp; onward.</t>
  </si>
  <si>
    <t>6. Foreign Exchange Reserves represents Total International Reserves of the country.</t>
  </si>
  <si>
    <t>13.11.24</t>
  </si>
  <si>
    <t>BD0926191026</t>
  </si>
  <si>
    <t>06.11.24</t>
  </si>
  <si>
    <t>06.11.26</t>
  </si>
  <si>
    <t>20.11.24</t>
  </si>
  <si>
    <t>BGSPB-The City</t>
  </si>
  <si>
    <t>BGSPB-Dutch Bangla</t>
  </si>
  <si>
    <t>BGSPB-Argani</t>
  </si>
  <si>
    <t>BGSPB-Sabinco</t>
  </si>
  <si>
    <t>03.11.24</t>
  </si>
  <si>
    <t>03.11.33</t>
  </si>
  <si>
    <t>03.11.34</t>
  </si>
  <si>
    <t>7.25-10.25</t>
  </si>
  <si>
    <t>11.00-15.00</t>
  </si>
  <si>
    <t>12.50-16.50</t>
  </si>
  <si>
    <t>13.50-16.50</t>
  </si>
  <si>
    <t>13.00-15.50</t>
  </si>
  <si>
    <t>BD0927231037</t>
  </si>
  <si>
    <t>04.12.24</t>
  </si>
  <si>
    <t>04.12.27</t>
  </si>
  <si>
    <t>BD0929241059</t>
  </si>
  <si>
    <t>11.12.29</t>
  </si>
  <si>
    <t>18.12.24</t>
  </si>
  <si>
    <t>26.12.24</t>
  </si>
  <si>
    <t>1.00-7.50</t>
  </si>
  <si>
    <t>4.00-12.25</t>
  </si>
  <si>
    <t>Sharmin Nahar                            Additional Director (Statistics)</t>
  </si>
  <si>
    <t>Email: sharmin.nahar@bb.org.bd</t>
  </si>
  <si>
    <t>BD0927271025</t>
  </si>
  <si>
    <t>08.01.25</t>
  </si>
  <si>
    <t>08.01.27</t>
  </si>
  <si>
    <t>BD0928271032</t>
  </si>
  <si>
    <t>08.01.28</t>
  </si>
  <si>
    <t>BD0935291106</t>
  </si>
  <si>
    <t>22.01.25</t>
  </si>
  <si>
    <t>22.01.35</t>
  </si>
  <si>
    <t>29.01.25</t>
  </si>
  <si>
    <t>Financial &amp; Insurance Activities</t>
  </si>
  <si>
    <t xml:space="preserve">  Time     Deposits</t>
  </si>
  <si>
    <t xml:space="preserve">  Demand Deposits</t>
  </si>
  <si>
    <t>11.75-14.00</t>
  </si>
  <si>
    <t>11.00-13.25</t>
  </si>
  <si>
    <t>14.25-16.00</t>
  </si>
  <si>
    <t>13.75-16.00</t>
  </si>
  <si>
    <t>2.80-3.05</t>
  </si>
  <si>
    <t>4.55-4.80</t>
  </si>
  <si>
    <t>5.30-5.55</t>
  </si>
  <si>
    <t>5.55-5.80</t>
  </si>
  <si>
    <t xml:space="preserve">  Currency     Outside      Banks        (3-4)</t>
  </si>
  <si>
    <t xml:space="preserve">  From    Banks</t>
  </si>
  <si>
    <t xml:space="preserve">  From       Govern-  ment</t>
  </si>
  <si>
    <t>BD0927311029</t>
  </si>
  <si>
    <t>05.02.25</t>
  </si>
  <si>
    <t>05.02.27</t>
  </si>
  <si>
    <t>BD0930321056</t>
  </si>
  <si>
    <t>12.02.25</t>
  </si>
  <si>
    <t>12.02.30</t>
  </si>
  <si>
    <t>19.02.25</t>
  </si>
  <si>
    <t>26.02.25</t>
  </si>
  <si>
    <t xml:space="preserve">    Foreign         Exchange   Reserves  </t>
  </si>
  <si>
    <t>Outstanding Credit 
(as on)</t>
  </si>
  <si>
    <t>2.00-6.00</t>
  </si>
  <si>
    <t>3.00-8.00</t>
  </si>
  <si>
    <t>11.00-13.50</t>
  </si>
  <si>
    <t>BD0927351025</t>
  </si>
  <si>
    <t>05.03.27</t>
  </si>
  <si>
    <t>12.03.25</t>
  </si>
  <si>
    <t>BD0935371106</t>
  </si>
  <si>
    <t>19.03.35</t>
  </si>
  <si>
    <t>BD0940381157</t>
  </si>
  <si>
    <t>27.03.40</t>
  </si>
  <si>
    <t>BDS093201071</t>
  </si>
  <si>
    <t>13.03.25</t>
  </si>
  <si>
    <t>13.03.32</t>
  </si>
  <si>
    <t>2.00-4.00</t>
  </si>
  <si>
    <t>… = Not available</t>
  </si>
  <si>
    <t>Average Deposits  per Scheduled Bank  Branch (in crore) </t>
  </si>
  <si>
    <t>30.04.25</t>
  </si>
  <si>
    <t>BD0927391021</t>
  </si>
  <si>
    <t>09.04.25</t>
  </si>
  <si>
    <t>09.04.27</t>
  </si>
  <si>
    <t>16.04.25</t>
  </si>
  <si>
    <t>BD0930401056</t>
  </si>
  <si>
    <t>16.04.30</t>
  </si>
  <si>
    <t>2.50-3.25</t>
  </si>
  <si>
    <t>12.50-13.50</t>
  </si>
  <si>
    <t>8.50-12.50</t>
  </si>
  <si>
    <t>12.25-13.50</t>
  </si>
  <si>
    <t>End       of       Period</t>
  </si>
  <si>
    <t>Narrow         Money      (M1) (5+8+12)</t>
  </si>
  <si>
    <t>Broad            Money         (M2)       (9+14)</t>
  </si>
  <si>
    <t xml:space="preserve">Broad        Money     (M3)      </t>
  </si>
  <si>
    <t>BALANCE OF PAYMENTS</t>
  </si>
  <si>
    <t>28.05.25</t>
  </si>
  <si>
    <t>BD0945461202</t>
  </si>
  <si>
    <t>28.05.45</t>
  </si>
  <si>
    <t>BD0927431025</t>
  </si>
  <si>
    <t>07.05.25</t>
  </si>
  <si>
    <t>07.05.27</t>
  </si>
  <si>
    <t>BD0928431032</t>
  </si>
  <si>
    <t>07.05.28</t>
  </si>
  <si>
    <t>BD0935451106</t>
  </si>
  <si>
    <t>21.05.25</t>
  </si>
  <si>
    <t>21.05.35</t>
  </si>
  <si>
    <t>14.05.25</t>
  </si>
  <si>
    <t>4.00-13.75</t>
  </si>
  <si>
    <t>1) Export of EPZ from 2009-10 to 2019-20: Bangladesh Export Processing Zone Authority (BEPZA)</t>
  </si>
  <si>
    <t>Email:ataul.bhuiyan@bb.org.bd</t>
  </si>
  <si>
    <t>BD0930481058</t>
  </si>
  <si>
    <t>18.06.25</t>
  </si>
  <si>
    <t>18.06.30</t>
  </si>
  <si>
    <t>25.06.25</t>
  </si>
  <si>
    <t>BD0927471021</t>
  </si>
  <si>
    <t>04.06.25</t>
  </si>
  <si>
    <t>04.06.27</t>
  </si>
  <si>
    <t>04.06.28</t>
  </si>
  <si>
    <t>4.00-12.40</t>
  </si>
  <si>
    <t>BDS093202072</t>
  </si>
  <si>
    <t>20.05.25</t>
  </si>
  <si>
    <t>20.05.32</t>
  </si>
  <si>
    <t>Ataul Karim Bhuiyan                 Additional Director (Statistics)</t>
  </si>
  <si>
    <r>
      <t xml:space="preserve">Note </t>
    </r>
    <r>
      <rPr>
        <sz val="5.5"/>
        <rFont val="Times New Roman"/>
        <family val="1"/>
      </rPr>
      <t xml:space="preserve">: </t>
    </r>
  </si>
  <si>
    <t>From Other Financial Institutions</t>
  </si>
  <si>
    <t>From        Inter-    Banks</t>
  </si>
  <si>
    <t>BD0927011025</t>
  </si>
  <si>
    <t>09.07.25</t>
  </si>
  <si>
    <t>09.07.27</t>
  </si>
  <si>
    <t>BD0928011032</t>
  </si>
  <si>
    <t>09.07.28</t>
  </si>
  <si>
    <t>BD0935031106</t>
  </si>
  <si>
    <t>23.07.35</t>
  </si>
  <si>
    <t>BD0927041204</t>
  </si>
  <si>
    <t>25.07.07</t>
  </si>
  <si>
    <t>25.07.27</t>
  </si>
  <si>
    <r>
      <t>2025-26</t>
    </r>
    <r>
      <rPr>
        <b/>
        <vertAlign val="superscript"/>
        <sz val="8"/>
        <rFont val="Times New Roman"/>
        <family val="1"/>
      </rPr>
      <t>P</t>
    </r>
  </si>
  <si>
    <t>2025-26</t>
  </si>
  <si>
    <t>1.25-3.25</t>
  </si>
  <si>
    <t>9.50-10.00</t>
  </si>
  <si>
    <t>11.50-15.00</t>
  </si>
  <si>
    <t>Import (Shipment)</t>
  </si>
  <si>
    <r>
      <t>2025-26</t>
    </r>
    <r>
      <rPr>
        <b/>
        <vertAlign val="superscript"/>
        <sz val="9"/>
        <color theme="1"/>
        <rFont val="Times New Roman"/>
        <family val="1"/>
      </rPr>
      <t>P</t>
    </r>
  </si>
  <si>
    <t xml:space="preserve">With effect from 04.04.22 </t>
  </si>
  <si>
    <t>Overall Deficit     (5-17)</t>
  </si>
  <si>
    <t>Total Operating Expenditure  (6+7)</t>
  </si>
  <si>
    <t>1.Including export from EPZ to Bangladesh. 2. Export Data revised by NBR from July, 2022 to June 2024 &amp; Export data are shipment based.</t>
  </si>
  <si>
    <t>3.  The data series on Import Payments (which was on C&amp;F/CIF basis upto June 2014 and on FOB basis July 2014 onwards) has been replaced by shipment</t>
  </si>
  <si>
    <t xml:space="preserve"> based Import data series on Customs/Bill of Entry data (which is on Cost, Insurance and Freight (CIF) basis).</t>
  </si>
  <si>
    <r>
      <t>2025-26</t>
    </r>
    <r>
      <rPr>
        <b/>
        <vertAlign val="superscript"/>
        <sz val="7.5"/>
        <color theme="1"/>
        <rFont val="Times New Roman"/>
        <family val="1"/>
      </rPr>
      <t>P</t>
    </r>
  </si>
  <si>
    <t>13.08.25</t>
  </si>
  <si>
    <t>BD0940081153</t>
  </si>
  <si>
    <t>27.08.40</t>
  </si>
  <si>
    <t>BD0945081208</t>
  </si>
  <si>
    <t>27.08.45</t>
  </si>
  <si>
    <t>06.08.25</t>
  </si>
  <si>
    <t>7.50-8.25</t>
  </si>
  <si>
    <t>5.50-12.50</t>
  </si>
  <si>
    <t>6.00-10.50</t>
  </si>
  <si>
    <t>14.75-16.50</t>
  </si>
  <si>
    <t>14.50-15.50</t>
  </si>
  <si>
    <t>14.50-16.00</t>
  </si>
  <si>
    <r>
      <t>2025-26</t>
    </r>
    <r>
      <rPr>
        <b/>
        <vertAlign val="superscript"/>
        <sz val="8"/>
        <color theme="1"/>
        <rFont val="Times New Roman"/>
        <family val="1"/>
      </rPr>
      <t>P</t>
    </r>
  </si>
  <si>
    <t xml:space="preserve"> STATISTICAL TABLES</t>
  </si>
  <si>
    <r>
      <t xml:space="preserve">             Source :</t>
    </r>
    <r>
      <rPr>
        <sz val="6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</si>
  <si>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          Note :</t>
    </r>
    <r>
      <rPr>
        <sz val="6"/>
        <rFont val="Times New Roman"/>
        <family val="1"/>
      </rPr>
      <t xml:space="preserve">  </t>
    </r>
  </si>
  <si>
    <r>
      <t>Note :</t>
    </r>
    <r>
      <rPr>
        <sz val="6"/>
        <rFont val="Times New Roman"/>
        <family val="1"/>
      </rPr>
      <t xml:space="preserve">  </t>
    </r>
  </si>
  <si>
    <r>
      <t>Source :</t>
    </r>
    <r>
      <rPr>
        <sz val="6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</si>
  <si>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Note:*  MICR Cheque Clearing and Electronic Fund Transfers (outward) includes only all scheduled banks upto </t>
  </si>
  <si>
    <t>Note:  MICR= Magnetic Ink Character Recognition, ATM- Automated Teller Machine, POS- Point of Sale, CRM- Cash Recycling Machine</t>
  </si>
  <si>
    <t>Note: NAGAD has been included from September,2018 in MFS data</t>
  </si>
  <si>
    <t xml:space="preserve">                                                                                                                                                                                                                      </t>
  </si>
  <si>
    <t>BD0930101052</t>
  </si>
  <si>
    <t>10.09.25</t>
  </si>
  <si>
    <t>10.09.30</t>
  </si>
  <si>
    <t>BD0927091027</t>
  </si>
  <si>
    <t>03.09.25</t>
  </si>
  <si>
    <t>03.09.27</t>
  </si>
  <si>
    <t>1.50-7.00</t>
  </si>
  <si>
    <t>0.30-8.75</t>
  </si>
  <si>
    <t>14.20-16.20</t>
  </si>
  <si>
    <t>14.25-16.25</t>
  </si>
  <si>
    <t>7.00-14.20</t>
  </si>
  <si>
    <t>14.75-16.75</t>
  </si>
  <si>
    <t xml:space="preserve"> INFLATION RATE IN BANGLADESH (Base Index 2021-22=100)                       TABLE-VIII</t>
  </si>
  <si>
    <t>Ashish Kumar Roy</t>
  </si>
  <si>
    <t>BD0928131038</t>
  </si>
  <si>
    <t>08.10.25</t>
  </si>
  <si>
    <t>08.10.28</t>
  </si>
  <si>
    <t>3.00-8.50</t>
  </si>
  <si>
    <t>0.50-6.00</t>
  </si>
  <si>
    <t>2.00-10.50</t>
  </si>
  <si>
    <t>7.00-9.00</t>
  </si>
  <si>
    <t>12.50-15.00</t>
  </si>
  <si>
    <t>7.00-15.00</t>
  </si>
  <si>
    <t>12.00-15.00</t>
  </si>
  <si>
    <t>7.99-15.00</t>
  </si>
  <si>
    <t>11.00-15.50</t>
  </si>
  <si>
    <t>11.50-13.82</t>
  </si>
  <si>
    <t>Email: humayun.kabir93@bb.org.bd</t>
  </si>
  <si>
    <t xml:space="preserve">Md. Humayun Kabir         </t>
  </si>
  <si>
    <t xml:space="preserve">Deputy Director            </t>
  </si>
  <si>
    <r>
      <t>October</t>
    </r>
    <r>
      <rPr>
        <vertAlign val="superscript"/>
        <sz val="8"/>
        <rFont val="Times New Roman"/>
        <family val="1"/>
      </rPr>
      <t>R</t>
    </r>
  </si>
  <si>
    <t>12.11.25</t>
  </si>
  <si>
    <t>BD0930211059</t>
  </si>
  <si>
    <t>30.11.25</t>
  </si>
  <si>
    <t>BD0927171027</t>
  </si>
  <si>
    <t>05.11.25</t>
  </si>
  <si>
    <t>05.11.27</t>
  </si>
  <si>
    <t>BD0935191108</t>
  </si>
  <si>
    <t>19.11.25</t>
  </si>
  <si>
    <t>19.11.35</t>
  </si>
  <si>
    <t>2.38-3.75</t>
  </si>
  <si>
    <t>4.00-4.50</t>
  </si>
  <si>
    <t>4.50-4.75</t>
  </si>
  <si>
    <t>6.44-7.24</t>
  </si>
  <si>
    <t>9.25-10.00</t>
  </si>
  <si>
    <t>5.25-9.50</t>
  </si>
  <si>
    <t>2.75-8.50</t>
  </si>
  <si>
    <t>5.00-9.50</t>
  </si>
  <si>
    <t>5.25-9.75</t>
  </si>
  <si>
    <t>5.50-9.75</t>
  </si>
  <si>
    <t>5.12-8.50</t>
  </si>
  <si>
    <t>14.25-16.50</t>
  </si>
  <si>
    <t>12.99-16.50</t>
  </si>
  <si>
    <t>11.00-14.50</t>
  </si>
  <si>
    <t>10.00-14.00</t>
  </si>
  <si>
    <t>Budget only)</t>
  </si>
  <si>
    <t>( Revised</t>
  </si>
  <si>
    <t xml:space="preserve">E-COMMERCE STATISTICS  </t>
  </si>
  <si>
    <t>E-BANKING &amp;</t>
  </si>
  <si>
    <t xml:space="preserve">  (Taka in Million)</t>
  </si>
  <si>
    <t xml:space="preserve">BUDGET STATISTICS </t>
  </si>
  <si>
    <t>Deputy Director</t>
  </si>
  <si>
    <r>
      <t>2025-26</t>
    </r>
    <r>
      <rPr>
        <b/>
        <vertAlign val="superscript"/>
        <sz val="8"/>
        <rFont val="Times New Roman"/>
        <family val="1"/>
      </rPr>
      <t>p</t>
    </r>
  </si>
  <si>
    <t>30.11.30</t>
  </si>
  <si>
    <t>10.12.25</t>
  </si>
  <si>
    <t>03.12.25</t>
  </si>
  <si>
    <t>1.25-7.00</t>
  </si>
  <si>
    <t>9.50-9.75</t>
  </si>
  <si>
    <t>9.90-11.90</t>
  </si>
  <si>
    <t>8.00-10.00</t>
  </si>
  <si>
    <t>11.50-14.00</t>
  </si>
  <si>
    <t>10.90-12.90</t>
  </si>
  <si>
    <t>10.50-13.00</t>
  </si>
  <si>
    <t>13.00-14.75</t>
  </si>
  <si>
    <t>PROFIT RATE STRUCTURE OF THE ISLAMIC BANKS, 2024</t>
  </si>
  <si>
    <t>R= Revised</t>
  </si>
  <si>
    <t>BD0929261032</t>
  </si>
  <si>
    <t>07.01.26</t>
  </si>
  <si>
    <t>07.01.29</t>
  </si>
  <si>
    <t>2.79</t>
  </si>
  <si>
    <t>3.00</t>
  </si>
  <si>
    <t>2.75</t>
  </si>
  <si>
    <t>5.00</t>
  </si>
  <si>
    <t>4.50</t>
  </si>
  <si>
    <t>3.25</t>
  </si>
  <si>
    <t>2.00</t>
  </si>
  <si>
    <t>4.25</t>
  </si>
  <si>
    <t>2.50</t>
  </si>
  <si>
    <t>3.38</t>
  </si>
  <si>
    <t>4.00</t>
  </si>
  <si>
    <t>2.13</t>
  </si>
  <si>
    <t>2.25</t>
  </si>
  <si>
    <t>3.50</t>
  </si>
  <si>
    <t>6.00</t>
  </si>
  <si>
    <t>3.75</t>
  </si>
  <si>
    <t>8.00</t>
  </si>
  <si>
    <t>8.50</t>
  </si>
  <si>
    <t>4.38</t>
  </si>
  <si>
    <t>10.00</t>
  </si>
  <si>
    <t>7.00</t>
  </si>
  <si>
    <t>8.25</t>
  </si>
  <si>
    <t>8.50-9.25</t>
  </si>
  <si>
    <t>12.00</t>
  </si>
  <si>
    <t>9.25</t>
  </si>
  <si>
    <t>8.63</t>
  </si>
  <si>
    <t>8.75</t>
  </si>
  <si>
    <t>9.50</t>
  </si>
  <si>
    <t>9.00</t>
  </si>
  <si>
    <t>6.25</t>
  </si>
  <si>
    <t>1.50</t>
  </si>
  <si>
    <t>0.50</t>
  </si>
  <si>
    <t>1.00</t>
  </si>
  <si>
    <t>1.75</t>
  </si>
  <si>
    <t>7.00-8.00</t>
  </si>
  <si>
    <t>2.50-7.50</t>
  </si>
  <si>
    <t>7.10-8.10</t>
  </si>
  <si>
    <t>5.50-12.25</t>
  </si>
  <si>
    <t>11.50</t>
  </si>
  <si>
    <t>7.20-9.50</t>
  </si>
  <si>
    <t>0.75</t>
  </si>
  <si>
    <t>0.50-3.50</t>
  </si>
  <si>
    <t>0.05</t>
  </si>
  <si>
    <t>1.25</t>
  </si>
  <si>
    <t>0.20</t>
  </si>
  <si>
    <t>0.25</t>
  </si>
  <si>
    <t>5.50</t>
  </si>
  <si>
    <t>0.30</t>
  </si>
  <si>
    <t>0.40</t>
  </si>
  <si>
    <t>0.55</t>
  </si>
  <si>
    <t>0.80</t>
  </si>
  <si>
    <t>0.10</t>
  </si>
  <si>
    <t>6.34-9.16</t>
  </si>
  <si>
    <t>Assistant Director </t>
  </si>
  <si>
    <t xml:space="preserve">Assistant Director      </t>
  </si>
  <si>
    <t>05.02.26</t>
  </si>
  <si>
    <t>6.25-10.25</t>
  </si>
  <si>
    <t>7.75-8.50</t>
  </si>
  <si>
    <t>4.00-12.50</t>
  </si>
  <si>
    <t>9.50-13.00</t>
  </si>
  <si>
    <t>11.75-13.75</t>
  </si>
  <si>
    <t>13.50-15.00</t>
  </si>
  <si>
    <t>4.00-13.50</t>
  </si>
  <si>
    <t>12.25-14.25</t>
  </si>
  <si>
    <t>6.00-13.00</t>
  </si>
  <si>
    <t>15.25-16.50</t>
  </si>
  <si>
    <t>6.00-8.00</t>
  </si>
  <si>
    <t>Exports (Shipment)</t>
  </si>
  <si>
    <t xml:space="preserve">2) Statistics Department,   Bangladesh Bank     </t>
  </si>
  <si>
    <t>04.03.26</t>
  </si>
  <si>
    <t>24.03.26</t>
  </si>
  <si>
    <t>6.50</t>
  </si>
  <si>
    <t>1.13</t>
  </si>
  <si>
    <t>3.00-7.63</t>
  </si>
  <si>
    <t>8.25-10.00</t>
  </si>
  <si>
    <t>5.00-7.35</t>
  </si>
  <si>
    <t>7.38-9.25</t>
  </si>
  <si>
    <t>6.88-7.75</t>
  </si>
  <si>
    <t>4.50-10.00</t>
  </si>
  <si>
    <t>5.75-9.90</t>
  </si>
  <si>
    <t>1.75-10.50</t>
  </si>
  <si>
    <t>6.63-7.75</t>
  </si>
  <si>
    <t>11.00</t>
  </si>
  <si>
    <t>6.75-7.80</t>
  </si>
  <si>
    <t>10.00-14.75</t>
  </si>
  <si>
    <t>4.00-13.99</t>
  </si>
  <si>
    <t>10.75-12.88</t>
  </si>
  <si>
    <t>10.50-14.55</t>
  </si>
  <si>
    <t>9.90-13.50</t>
  </si>
  <si>
    <t>9.00-15.00</t>
  </si>
  <si>
    <t>5.00-13.50</t>
  </si>
  <si>
    <t>* Based on custom records  (usually on fob basis)</t>
  </si>
  <si>
    <t>1. Export and Import data from National Board of Revenue (NBR), compiled by Statistics Department of  Bangladesh Bank.</t>
  </si>
  <si>
    <t>2. Statistics Department of Bangladesh Bank for Service Inflows, Service Outflows , Wage Earners Remittance Data.</t>
  </si>
  <si>
    <t>ii) CMT values are not adjusted.</t>
  </si>
  <si>
    <t xml:space="preserve">N.B: Quarterly Exchange rate is used </t>
  </si>
  <si>
    <t>FDI inflows(Net) and Portfolio investment inflows, compiled by Statistics Department of  Bangladesh Bank.</t>
  </si>
  <si>
    <t>2.50-6.00</t>
  </si>
  <si>
    <t>3.00-4.50</t>
  </si>
  <si>
    <t>7.50-9.00</t>
  </si>
  <si>
    <t>5.00-7.25</t>
  </si>
  <si>
    <t>4.50-9.13</t>
  </si>
  <si>
    <t>8.25-9.00</t>
  </si>
  <si>
    <t>9.00-10.25</t>
  </si>
  <si>
    <t>4.00-9.50</t>
  </si>
  <si>
    <t>8.50-9.50</t>
  </si>
  <si>
    <t>8.50-10.60</t>
  </si>
  <si>
    <t>11.00-11.50</t>
  </si>
  <si>
    <t>12.00-13.50</t>
  </si>
  <si>
    <t>10.25-13.50</t>
  </si>
  <si>
    <t>10.50-14.00</t>
  </si>
  <si>
    <t>11.00-12.00</t>
  </si>
  <si>
    <t>11.50-13.00</t>
  </si>
  <si>
    <t>7.50-14.00</t>
  </si>
  <si>
    <t>--</t>
  </si>
  <si>
    <t>Profit Rate Structure of  the Islamic Banks, 2024</t>
  </si>
  <si>
    <t>08.04.26</t>
  </si>
  <si>
    <t>29.04.26</t>
  </si>
  <si>
    <t>15.04.26</t>
  </si>
  <si>
    <t xml:space="preserve">2.Weighted average rates of interest on deposits &amp; advances of 29 deposits taking Non Bank Financial Institutions (NBFIs)have been </t>
  </si>
  <si>
    <t>introduced from June 2013</t>
  </si>
  <si>
    <r>
      <t xml:space="preserve">Note: </t>
    </r>
    <r>
      <rPr>
        <sz val="7"/>
        <rFont val="Times New Roman"/>
        <family val="1"/>
      </rPr>
      <t>Rate of inflation (Base: 2021-22) has been revised due to revision of BBS data.</t>
    </r>
  </si>
  <si>
    <t>14.01.26</t>
  </si>
  <si>
    <t>14.01.36</t>
  </si>
  <si>
    <t>BDS093302072</t>
  </si>
  <si>
    <t>10.02.26</t>
  </si>
  <si>
    <t>10.02.33</t>
  </si>
  <si>
    <t>14.05.26</t>
  </si>
  <si>
    <t>14.05.33</t>
  </si>
  <si>
    <t>BDS093303072</t>
  </si>
  <si>
    <t>20.05.26</t>
  </si>
  <si>
    <t>03.06.26</t>
  </si>
  <si>
    <t>17.05.26</t>
  </si>
  <si>
    <t>10.06.26</t>
  </si>
  <si>
    <t>11.00-12.50</t>
  </si>
  <si>
    <t>9.50-9.99</t>
  </si>
  <si>
    <t xml:space="preserve">    (Taka in crore)</t>
  </si>
  <si>
    <t>24.06.26</t>
  </si>
  <si>
    <t>BDS093601105</t>
  </si>
  <si>
    <t>BDS093104058</t>
  </si>
  <si>
    <t>23.06.26</t>
  </si>
  <si>
    <t>23.06.31</t>
  </si>
  <si>
    <t>08.07.26</t>
  </si>
  <si>
    <t>12.50-14.75</t>
  </si>
  <si>
    <t>11.25-13.25</t>
  </si>
  <si>
    <t>12.25-12.75</t>
  </si>
  <si>
    <t>10.25-13.25</t>
  </si>
  <si>
    <t>10.50-13.50</t>
  </si>
  <si>
    <t>12.75-15.75</t>
  </si>
  <si>
    <r>
      <t>2025-26</t>
    </r>
    <r>
      <rPr>
        <vertAlign val="superscript"/>
        <sz val="8"/>
        <rFont val="Times New Roman"/>
        <family val="1"/>
      </rPr>
      <t>P</t>
    </r>
  </si>
  <si>
    <t>Md. Anis Ur Rahman</t>
  </si>
  <si>
    <r>
      <t>2026-27</t>
    </r>
    <r>
      <rPr>
        <b/>
        <vertAlign val="superscript"/>
        <sz val="8"/>
        <rFont val="Times New Roman"/>
        <family val="1"/>
      </rPr>
      <t>P</t>
    </r>
  </si>
  <si>
    <t>2026-27</t>
  </si>
  <si>
    <t>12.40</t>
  </si>
  <si>
    <t>12.50</t>
  </si>
  <si>
    <t>12.50-12.00</t>
  </si>
  <si>
    <t>14.50</t>
  </si>
  <si>
    <t>13.50</t>
  </si>
  <si>
    <t>13.00</t>
  </si>
  <si>
    <t>13.25</t>
  </si>
  <si>
    <t>13.40</t>
  </si>
  <si>
    <t>13.75</t>
  </si>
  <si>
    <t>13.75-13.00</t>
  </si>
  <si>
    <t>9.75-14.00</t>
  </si>
  <si>
    <t>12.75-18.00</t>
  </si>
  <si>
    <t>12.25</t>
  </si>
  <si>
    <t>15.00-16.00</t>
  </si>
  <si>
    <t>10.50-15.25</t>
  </si>
  <si>
    <t>10.00-14.50</t>
  </si>
  <si>
    <t>12.70</t>
  </si>
  <si>
    <t>15.00</t>
  </si>
  <si>
    <t>25.00</t>
  </si>
  <si>
    <t>6.75</t>
  </si>
  <si>
    <t>11.50-19.00</t>
  </si>
  <si>
    <t>4.00-9.00</t>
  </si>
  <si>
    <t>29.07.26</t>
  </si>
  <si>
    <t>15.07.26</t>
  </si>
  <si>
    <t>22.07.26</t>
  </si>
  <si>
    <t xml:space="preserve"> Data of Bangladesh Govt. Investment Sukuk and other Treasury bond updated  as on 30 June, 2026</t>
  </si>
  <si>
    <r>
      <rPr>
        <b/>
        <sz val="7"/>
        <color indexed="8"/>
        <rFont val="Times New Roman"/>
        <family val="1"/>
      </rPr>
      <t>Note:</t>
    </r>
    <r>
      <rPr>
        <sz val="7"/>
        <color indexed="8"/>
        <rFont val="Times New Roman"/>
        <family val="1"/>
      </rPr>
      <t xml:space="preserve"> 1. Exchange rates between Taka &amp; other foreign currencies (except USD) are based on their cross rates with US dollar</t>
    </r>
  </si>
  <si>
    <r>
      <t>2026-27</t>
    </r>
    <r>
      <rPr>
        <vertAlign val="superscript"/>
        <sz val="8"/>
        <color theme="1"/>
        <rFont val="Times New Roman"/>
        <family val="1"/>
      </rPr>
      <t>P</t>
    </r>
  </si>
  <si>
    <t>BD0929461038</t>
  </si>
  <si>
    <t>BD0928471038</t>
  </si>
  <si>
    <t xml:space="preserve">11.99 </t>
  </si>
  <si>
    <r>
      <t>2025-26</t>
    </r>
    <r>
      <rPr>
        <vertAlign val="superscript"/>
        <sz val="8"/>
        <color indexed="8"/>
        <rFont val="Times New Roman"/>
        <family val="1"/>
      </rPr>
      <t>P</t>
    </r>
  </si>
  <si>
    <t>Bank-wise Announced Interest Rate Structure in Bangladesh (Except Islamic Banks), August 2026</t>
  </si>
  <si>
    <t>September 2026</t>
  </si>
  <si>
    <t>0.00</t>
  </si>
  <si>
    <t>0.05-2.02</t>
  </si>
  <si>
    <t>0.00-2.75</t>
  </si>
  <si>
    <t>0.00-3.25</t>
  </si>
  <si>
    <t>0.00-5.75</t>
  </si>
  <si>
    <t>2.500.00</t>
  </si>
  <si>
    <t>1.50-9.40</t>
  </si>
  <si>
    <t>4.39-7.34</t>
  </si>
  <si>
    <t>0.00-2.50</t>
  </si>
  <si>
    <t>2.00-5.25</t>
  </si>
  <si>
    <t>0.00-6.00</t>
  </si>
  <si>
    <t>0.05-3.13</t>
  </si>
  <si>
    <t>0.00-8.50</t>
  </si>
  <si>
    <t>3.85</t>
  </si>
  <si>
    <t>6.000.00</t>
  </si>
  <si>
    <t>0.54-5.62</t>
  </si>
  <si>
    <t>5.000.00</t>
  </si>
  <si>
    <t>3.000.00</t>
  </si>
  <si>
    <t>4.290.00</t>
  </si>
  <si>
    <t>4.88-6.00</t>
  </si>
  <si>
    <t>2.60</t>
  </si>
  <si>
    <t>2.750.00</t>
  </si>
  <si>
    <t>3.61-4.27</t>
  </si>
  <si>
    <t>3.22</t>
  </si>
  <si>
    <t>7.000.00</t>
  </si>
  <si>
    <t>3.790.00</t>
  </si>
  <si>
    <t>4.88-5.00</t>
  </si>
  <si>
    <t>3.60</t>
  </si>
  <si>
    <t>4.000.00</t>
  </si>
  <si>
    <t>4.040.00</t>
  </si>
  <si>
    <t>2.97</t>
  </si>
  <si>
    <t>1.00-6.50</t>
  </si>
  <si>
    <t>3.540.00</t>
  </si>
  <si>
    <t>3.55-3.80</t>
  </si>
  <si>
    <t>2.000.00</t>
  </si>
  <si>
    <t>4.50-5.00</t>
  </si>
  <si>
    <t>7.45</t>
  </si>
  <si>
    <t>0.000.00</t>
  </si>
  <si>
    <t>9.06</t>
  </si>
  <si>
    <t>5.43-8.19</t>
  </si>
  <si>
    <t>9.75-10.30</t>
  </si>
  <si>
    <t>7.50</t>
  </si>
  <si>
    <t>4.50-7.50</t>
  </si>
  <si>
    <t>10.000.00</t>
  </si>
  <si>
    <t>3.50-12.00</t>
  </si>
  <si>
    <t>8.93-9.35</t>
  </si>
  <si>
    <t>9.750.00</t>
  </si>
  <si>
    <t>10.50-11.00</t>
  </si>
  <si>
    <t>2.030.00</t>
  </si>
  <si>
    <t>9.250.00</t>
  </si>
  <si>
    <t>5.66-8.42</t>
  </si>
  <si>
    <t>10.500.00</t>
  </si>
  <si>
    <t>3.00-12.00</t>
  </si>
  <si>
    <t>9.10-9.38</t>
  </si>
  <si>
    <t>1.03-2.00</t>
  </si>
  <si>
    <t>6.32</t>
  </si>
  <si>
    <t>2.63-9.06</t>
  </si>
  <si>
    <t>8.25-8.75</t>
  </si>
  <si>
    <t>2.63-8.25</t>
  </si>
  <si>
    <t>10.75-11.25</t>
  </si>
  <si>
    <t>10.30</t>
  </si>
  <si>
    <t>4.50-9.25</t>
  </si>
  <si>
    <t>0.05-5.00</t>
  </si>
  <si>
    <t>5.750.00</t>
  </si>
  <si>
    <t>8.80</t>
  </si>
  <si>
    <t>0.20-7.60</t>
  </si>
  <si>
    <t>6.88</t>
  </si>
  <si>
    <t>3.71-9.06</t>
  </si>
  <si>
    <t>5.25-8.50</t>
  </si>
  <si>
    <t>10.50</t>
  </si>
  <si>
    <t>4.50-9.63</t>
  </si>
  <si>
    <t>4.75</t>
  </si>
  <si>
    <t>10.75-11.00</t>
  </si>
  <si>
    <t>8.35</t>
  </si>
  <si>
    <t>10.61</t>
  </si>
  <si>
    <t>9.18-9.50</t>
  </si>
  <si>
    <t>5.25-10.00</t>
  </si>
  <si>
    <t>0.05-4.75</t>
  </si>
  <si>
    <t>7.23</t>
  </si>
  <si>
    <t>8.750.00</t>
  </si>
  <si>
    <t>3.62-9.06</t>
  </si>
  <si>
    <t>8.500.00</t>
  </si>
  <si>
    <t>5.38-8.63</t>
  </si>
  <si>
    <t>8.25-9.50</t>
  </si>
  <si>
    <t>7.75</t>
  </si>
  <si>
    <t>2.75-12.00</t>
  </si>
  <si>
    <t>10.68</t>
  </si>
  <si>
    <t>9.25-9.50</t>
  </si>
  <si>
    <t>1.03</t>
  </si>
  <si>
    <t>10.75-14.50</t>
  </si>
  <si>
    <t>10.25-12.25</t>
  </si>
  <si>
    <t>12.25-18.00</t>
  </si>
  <si>
    <t>10.40-12.40</t>
  </si>
  <si>
    <t>10.75-12.75</t>
  </si>
  <si>
    <t>9.25-15.00</t>
  </si>
  <si>
    <t>12.25-14.50</t>
  </si>
  <si>
    <t>03.06.29</t>
  </si>
  <si>
    <t>19.03.25</t>
  </si>
  <si>
    <t>23.07.25</t>
  </si>
  <si>
    <t>27.04.11</t>
  </si>
  <si>
    <t>27.03.25</t>
  </si>
  <si>
    <t>27.08.25</t>
  </si>
  <si>
    <t>15.05.24</t>
  </si>
  <si>
    <t>15.05.29</t>
  </si>
  <si>
    <t>24.08.11</t>
  </si>
  <si>
    <t>Data Of BD(Govt) Treasury Bond updated  as on 31 August, 2026</t>
  </si>
  <si>
    <r>
      <t>2026-27</t>
    </r>
    <r>
      <rPr>
        <b/>
        <vertAlign val="superscript"/>
        <sz val="8.5"/>
        <color theme="1"/>
        <rFont val="Times New Roman"/>
        <family val="1"/>
      </rPr>
      <t>P</t>
    </r>
  </si>
  <si>
    <t xml:space="preserve"> IN BANGLADESH (EXCEPT ISLAMIC BANKS), August 2026</t>
  </si>
  <si>
    <r>
      <t>2026-27</t>
    </r>
    <r>
      <rPr>
        <b/>
        <vertAlign val="superscript"/>
        <sz val="7.5"/>
        <color theme="1"/>
        <rFont val="Times New Roman"/>
        <family val="1"/>
      </rPr>
      <t>P</t>
    </r>
  </si>
  <si>
    <t>Akash Saha</t>
  </si>
  <si>
    <t xml:space="preserve">Amin Bin Hasib            Joint Director      </t>
  </si>
  <si>
    <t>Md. Mahbubur Rahman Prodhan                            Additional Director (Statistics)</t>
  </si>
  <si>
    <t>Email: akash.saha@bb.org.bd</t>
  </si>
  <si>
    <t>Email: aminbin.hasib@bb.org.bd</t>
  </si>
  <si>
    <t>Email: m.prodhan@bb.org.bd</t>
  </si>
</sst>
</file>

<file path=xl/styles.xml><?xml version="1.0" encoding="utf-8"?>
<styleSheet xmlns="http://schemas.openxmlformats.org/spreadsheetml/2006/main">
  <numFmts count="21">
    <numFmt numFmtId="43" formatCode="_(* #,##0.00_);_(* \(#,##0.00\);_(* &quot;-&quot;??_);_(@_)"/>
    <numFmt numFmtId="164" formatCode="0.0"/>
    <numFmt numFmtId="165" formatCode="0.000"/>
    <numFmt numFmtId="166" formatCode="0.0000"/>
    <numFmt numFmtId="167" formatCode="\(0.00\)"/>
    <numFmt numFmtId="168" formatCode="0.00;[Red]0.00"/>
    <numFmt numFmtId="169" formatCode="00000"/>
    <numFmt numFmtId="170" formatCode="\(0\)"/>
    <numFmt numFmtId="171" formatCode="dd/mm/yyyy;@"/>
    <numFmt numFmtId="172" formatCode="B1mmm/yy"/>
    <numFmt numFmtId="173" formatCode="0.0000000000000_);\(0.0000000000000\)"/>
    <numFmt numFmtId="174" formatCode="0.000000000000_);\(0.000000000000\)"/>
    <numFmt numFmtId="175" formatCode="0.00000"/>
    <numFmt numFmtId="176" formatCode="0.0000000000000"/>
    <numFmt numFmtId="177" formatCode="_(* #,##0.0000_);_(* \(#,##0.0000\);_(* &quot;-&quot;??_);_(@_)"/>
    <numFmt numFmtId="178" formatCode="_-* #,##0.00_-;\-* #,##0.00_-;_-* &quot;-&quot;??_-;_-@_-"/>
    <numFmt numFmtId="179" formatCode="#,##0.0000"/>
    <numFmt numFmtId="180" formatCode="d/mm/yyyy;@"/>
    <numFmt numFmtId="181" formatCode="0.0000000"/>
    <numFmt numFmtId="182" formatCode="_(* #,##0.0_);_(* \(#,##0.0\);_(* &quot;-&quot;??_);_(@_)"/>
    <numFmt numFmtId="183" formatCode="_(* #,##0.0_);_(* \(#,##0.0\);_(* &quot;-&quot;?_);_(@_)"/>
  </numFmts>
  <fonts count="19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color indexed="8"/>
      <name val="Arial"/>
      <family val="2"/>
    </font>
    <font>
      <sz val="9"/>
      <name val="Arial"/>
      <family val="2"/>
    </font>
    <font>
      <sz val="8"/>
      <color indexed="8"/>
      <name val="Times New Roman"/>
      <family val="1"/>
    </font>
    <font>
      <sz val="7"/>
      <name val="Times New Roman"/>
      <family val="1"/>
    </font>
    <font>
      <sz val="8"/>
      <name val="Times New Roman"/>
      <family val="1"/>
    </font>
    <font>
      <sz val="9"/>
      <color indexed="8"/>
      <name val="Times New Roman"/>
      <family val="1"/>
    </font>
    <font>
      <b/>
      <sz val="8"/>
      <color indexed="8"/>
      <name val="Times New Roman"/>
      <family val="1"/>
    </font>
    <font>
      <sz val="6"/>
      <color indexed="8"/>
      <name val="Times New Roman"/>
      <family val="1"/>
    </font>
    <font>
      <sz val="7"/>
      <color indexed="8"/>
      <name val="Times New Roman"/>
      <family val="1"/>
    </font>
    <font>
      <b/>
      <sz val="7"/>
      <color indexed="8"/>
      <name val="Times New Roman"/>
      <family val="1"/>
    </font>
    <font>
      <b/>
      <sz val="12"/>
      <name val="Times New Roman"/>
      <family val="1"/>
    </font>
    <font>
      <b/>
      <sz val="10"/>
      <color indexed="18"/>
      <name val="Times New Roman"/>
      <family val="1"/>
    </font>
    <font>
      <b/>
      <sz val="8"/>
      <name val="Times New Roman"/>
      <family val="1"/>
    </font>
    <font>
      <b/>
      <sz val="6.5"/>
      <name val="Times New Roman"/>
      <family val="1"/>
    </font>
    <font>
      <sz val="6.5"/>
      <name val="Times New Roman"/>
      <family val="1"/>
    </font>
    <font>
      <sz val="6.5"/>
      <color indexed="8"/>
      <name val="Times New Roman"/>
      <family val="1"/>
    </font>
    <font>
      <b/>
      <sz val="9"/>
      <name val="Times New Roman"/>
      <family val="1"/>
    </font>
    <font>
      <b/>
      <sz val="9"/>
      <color indexed="8"/>
      <name val="Times New Roman"/>
      <family val="1"/>
    </font>
    <font>
      <sz val="9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6"/>
      <name val="Times New Roman"/>
      <family val="1"/>
    </font>
    <font>
      <b/>
      <sz val="7"/>
      <name val="Times New Roman"/>
      <family val="1"/>
    </font>
    <font>
      <vertAlign val="subscript"/>
      <sz val="7"/>
      <name val="Times New Roman"/>
      <family val="1"/>
    </font>
    <font>
      <b/>
      <sz val="10.5"/>
      <color indexed="8"/>
      <name val="Times New Roman"/>
      <family val="1"/>
    </font>
    <font>
      <sz val="10.5"/>
      <color indexed="8"/>
      <name val="Times New Roman"/>
      <family val="1"/>
    </font>
    <font>
      <sz val="7.5"/>
      <name val="Times New Roman"/>
      <family val="1"/>
    </font>
    <font>
      <b/>
      <sz val="7.5"/>
      <name val="Times New Roman"/>
      <family val="1"/>
    </font>
    <font>
      <sz val="7.5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8"/>
      <name val="Arial"/>
      <family val="2"/>
    </font>
    <font>
      <b/>
      <sz val="8"/>
      <color indexed="18"/>
      <name val="Times New Roman"/>
      <family val="1"/>
    </font>
    <font>
      <sz val="8"/>
      <color indexed="18"/>
      <name val="Times New Roman"/>
      <family val="1"/>
    </font>
    <font>
      <b/>
      <sz val="11"/>
      <name val="Times New Roman"/>
      <family val="1"/>
    </font>
    <font>
      <sz val="8.5"/>
      <name val="Times New Roman"/>
      <family val="1"/>
    </font>
    <font>
      <b/>
      <sz val="6"/>
      <name val="Times New Roman"/>
      <family val="1"/>
    </font>
    <font>
      <vertAlign val="superscript"/>
      <sz val="6.5"/>
      <color indexed="8"/>
      <name val="Times New Roman"/>
      <family val="1"/>
    </font>
    <font>
      <b/>
      <sz val="7.5"/>
      <name val="Arial Narrow"/>
      <family val="2"/>
    </font>
    <font>
      <b/>
      <sz val="12"/>
      <color indexed="8"/>
      <name val="Calibri"/>
      <family val="2"/>
    </font>
    <font>
      <sz val="8.5"/>
      <color indexed="8"/>
      <name val="Times New Roman"/>
      <family val="1"/>
    </font>
    <font>
      <sz val="8"/>
      <name val="Arial"/>
      <family val="2"/>
    </font>
    <font>
      <sz val="9"/>
      <color indexed="8"/>
      <name val="Arial Narrow"/>
      <family val="2"/>
    </font>
    <font>
      <vertAlign val="superscript"/>
      <sz val="9"/>
      <color indexed="8"/>
      <name val="Times New Roman"/>
      <family val="1"/>
    </font>
    <font>
      <sz val="5"/>
      <color indexed="8"/>
      <name val="Times New Roman"/>
      <family val="1"/>
    </font>
    <font>
      <b/>
      <sz val="14"/>
      <name val="Times New Roman"/>
      <family val="1"/>
    </font>
    <font>
      <b/>
      <sz val="13"/>
      <name val="Times New Roman"/>
      <family val="1"/>
    </font>
    <font>
      <b/>
      <sz val="6"/>
      <color indexed="8"/>
      <name val="Times New Roman"/>
      <family val="1"/>
    </font>
    <font>
      <sz val="5"/>
      <name val="Times New Roman"/>
      <family val="1"/>
    </font>
    <font>
      <b/>
      <sz val="16"/>
      <name val="Arial"/>
      <family val="2"/>
    </font>
    <font>
      <sz val="11"/>
      <name val="Arial"/>
      <family val="2"/>
    </font>
    <font>
      <sz val="52"/>
      <name val="Arial"/>
      <family val="2"/>
    </font>
    <font>
      <sz val="7"/>
      <name val="Arial"/>
      <family val="2"/>
    </font>
    <font>
      <b/>
      <sz val="7.5"/>
      <color indexed="8"/>
      <name val="Times New Roman"/>
      <family val="1"/>
    </font>
    <font>
      <sz val="16"/>
      <name val="Arial"/>
      <family val="2"/>
    </font>
    <font>
      <sz val="22"/>
      <name val="Times New Roman"/>
      <family val="1"/>
    </font>
    <font>
      <b/>
      <sz val="10"/>
      <name val="Arial"/>
      <family val="2"/>
    </font>
    <font>
      <b/>
      <sz val="18"/>
      <name val="Times New Roman"/>
      <family val="1"/>
    </font>
    <font>
      <sz val="8"/>
      <color indexed="8"/>
      <name val="Arial Narrow"/>
      <family val="2"/>
    </font>
    <font>
      <sz val="7"/>
      <name val="Arial Narrow"/>
      <family val="2"/>
    </font>
    <font>
      <sz val="8"/>
      <name val="Arial Narrow"/>
      <family val="2"/>
    </font>
    <font>
      <b/>
      <sz val="9"/>
      <color indexed="8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7.5"/>
      <color indexed="8"/>
      <name val="Arial Narrow"/>
      <family val="2"/>
    </font>
    <font>
      <b/>
      <sz val="10.5"/>
      <color indexed="8"/>
      <name val="Arial Narrow"/>
      <family val="2"/>
    </font>
    <font>
      <b/>
      <sz val="6.5"/>
      <name val="Arial Narrow"/>
      <family val="2"/>
    </font>
    <font>
      <sz val="6.5"/>
      <name val="Arial Narrow"/>
      <family val="2"/>
    </font>
    <font>
      <b/>
      <sz val="8"/>
      <color indexed="8"/>
      <name val="Arial Narrow"/>
      <family val="2"/>
    </font>
    <font>
      <sz val="5.5"/>
      <name val="Times New Roman"/>
      <family val="1"/>
    </font>
    <font>
      <b/>
      <sz val="5.5"/>
      <name val="Times New Roman"/>
      <family val="1"/>
    </font>
    <font>
      <sz val="7"/>
      <color indexed="8"/>
      <name val="Arial Narrow"/>
      <family val="2"/>
    </font>
    <font>
      <b/>
      <vertAlign val="superscript"/>
      <sz val="9"/>
      <color indexed="8"/>
      <name val="Times New Roman"/>
      <family val="1"/>
    </font>
    <font>
      <b/>
      <sz val="8.5"/>
      <color indexed="8"/>
      <name val="Arial Narrow"/>
      <family val="2"/>
    </font>
    <font>
      <b/>
      <vertAlign val="superscript"/>
      <sz val="8.5"/>
      <color indexed="8"/>
      <name val="Arial Narrow"/>
      <family val="2"/>
    </font>
    <font>
      <b/>
      <sz val="8.25"/>
      <color indexed="8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u/>
      <sz val="8"/>
      <color rgb="FF800080"/>
      <name val="Calibri"/>
      <family val="2"/>
      <scheme val="minor"/>
    </font>
    <font>
      <sz val="11"/>
      <color rgb="FF006100"/>
      <name val="Calibri"/>
      <family val="2"/>
      <charset val="1"/>
      <scheme val="min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u/>
      <sz val="8"/>
      <color rgb="FF0000FF"/>
      <name val="Calibri"/>
      <family val="2"/>
      <scheme val="minor"/>
    </font>
    <font>
      <sz val="11"/>
      <color rgb="FF3F3F76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1"/>
      <color theme="1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sz val="8"/>
      <color theme="1"/>
      <name val="Times New Roman"/>
      <family val="1"/>
    </font>
    <font>
      <sz val="11"/>
      <name val="Calibri"/>
      <family val="2"/>
      <scheme val="minor"/>
    </font>
    <font>
      <b/>
      <sz val="16"/>
      <color theme="0"/>
      <name val="Arial"/>
      <family val="2"/>
    </font>
    <font>
      <sz val="8"/>
      <color rgb="FFFF0000"/>
      <name val="Times New Roman"/>
      <family val="1"/>
    </font>
    <font>
      <sz val="7"/>
      <color rgb="FFFF0000"/>
      <name val="Times New Roman"/>
      <family val="1"/>
    </font>
    <font>
      <sz val="7.5"/>
      <color rgb="FFFF0000"/>
      <name val="Times New Roman"/>
      <family val="1"/>
    </font>
    <font>
      <sz val="6.25"/>
      <color rgb="FFFF0000"/>
      <name val="Arial Narrow"/>
      <family val="2"/>
    </font>
    <font>
      <sz val="6"/>
      <color rgb="FFFF0000"/>
      <name val="Arial Narrow"/>
      <family val="2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8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6.5"/>
      <color theme="1"/>
      <name val="Times New Roman"/>
      <family val="1"/>
    </font>
    <font>
      <sz val="6"/>
      <color theme="1"/>
      <name val="Times New Roman"/>
      <family val="1"/>
    </font>
    <font>
      <sz val="7.5"/>
      <color theme="1"/>
      <name val="Times New Roman"/>
      <family val="1"/>
    </font>
    <font>
      <b/>
      <sz val="7"/>
      <color theme="1"/>
      <name val="Arial Narrow"/>
      <family val="2"/>
    </font>
    <font>
      <sz val="10"/>
      <color theme="1"/>
      <name val="Times New Roman"/>
      <family val="1"/>
    </font>
    <font>
      <sz val="7"/>
      <color theme="1"/>
      <name val="Times New Roman"/>
      <family val="1"/>
    </font>
    <font>
      <sz val="8"/>
      <color theme="1"/>
      <name val="Arial"/>
      <family val="2"/>
    </font>
    <font>
      <sz val="8"/>
      <color rgb="FF000066"/>
      <name val="Times New Roman"/>
      <family val="1"/>
    </font>
    <font>
      <b/>
      <sz val="7.5"/>
      <color theme="1"/>
      <name val="Times New Roman"/>
      <family val="1"/>
    </font>
    <font>
      <b/>
      <sz val="52"/>
      <color theme="0"/>
      <name val="Arial"/>
      <family val="2"/>
    </font>
    <font>
      <b/>
      <sz val="36"/>
      <color theme="0"/>
      <name val="Arial Narrow"/>
      <family val="2"/>
    </font>
    <font>
      <sz val="8.5"/>
      <color theme="1"/>
      <name val="Times New Roman"/>
      <family val="1"/>
    </font>
    <font>
      <b/>
      <sz val="12"/>
      <color indexed="18"/>
      <name val="Times New Roman"/>
      <family val="1"/>
    </font>
    <font>
      <sz val="12"/>
      <color indexed="18"/>
      <name val="Times New Roman"/>
      <family val="1"/>
    </font>
    <font>
      <b/>
      <vertAlign val="superscript"/>
      <sz val="10"/>
      <name val="Times New Roman"/>
      <family val="1"/>
    </font>
    <font>
      <vertAlign val="superscript"/>
      <sz val="9"/>
      <name val="Times New Roman"/>
      <family val="1"/>
    </font>
    <font>
      <vertAlign val="superscript"/>
      <sz val="8"/>
      <name val="Times New Roman"/>
      <family val="1"/>
    </font>
    <font>
      <b/>
      <vertAlign val="superscript"/>
      <sz val="8"/>
      <name val="Times New Roman"/>
      <family val="1"/>
    </font>
    <font>
      <b/>
      <vertAlign val="superscript"/>
      <sz val="8"/>
      <color indexed="8"/>
      <name val="Arial Narrow"/>
      <family val="2"/>
    </font>
    <font>
      <b/>
      <sz val="14"/>
      <name val="Sylfaen"/>
      <family val="1"/>
    </font>
    <font>
      <sz val="10"/>
      <name val="Sylfaen"/>
      <family val="1"/>
    </font>
    <font>
      <sz val="12"/>
      <name val="Sylfaen"/>
      <family val="1"/>
    </font>
    <font>
      <b/>
      <sz val="12"/>
      <name val="Sylfaen"/>
      <family val="1"/>
    </font>
    <font>
      <sz val="14"/>
      <name val="Sylfaen"/>
      <family val="1"/>
    </font>
    <font>
      <b/>
      <sz val="18"/>
      <name val="Arial"/>
      <family val="2"/>
    </font>
    <font>
      <sz val="16"/>
      <name val="Sylfaen"/>
      <family val="1"/>
    </font>
    <font>
      <b/>
      <sz val="16"/>
      <name val="Sylfaen"/>
      <family val="1"/>
    </font>
    <font>
      <sz val="13"/>
      <name val="Sylfaen"/>
      <family val="1"/>
    </font>
    <font>
      <sz val="18"/>
      <name val="Sylfaen"/>
      <family val="1"/>
    </font>
    <font>
      <b/>
      <sz val="18"/>
      <name val="Sylfaen"/>
      <family val="1"/>
    </font>
    <font>
      <b/>
      <sz val="14"/>
      <color indexed="8"/>
      <name val="Times New Roman"/>
      <family val="1"/>
    </font>
    <font>
      <sz val="11"/>
      <color theme="1"/>
      <name val="Times New Roman"/>
      <family val="1"/>
    </font>
    <font>
      <b/>
      <sz val="16"/>
      <color indexed="8"/>
      <name val="Calibri"/>
      <family val="2"/>
      <scheme val="minor"/>
    </font>
    <font>
      <b/>
      <sz val="8.5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vertAlign val="superscript"/>
      <sz val="9"/>
      <color theme="1"/>
      <name val="Times New Roman"/>
      <family val="1"/>
    </font>
    <font>
      <u/>
      <sz val="10"/>
      <color rgb="FF0000FF"/>
      <name val="Arial"/>
      <family val="2"/>
    </font>
    <font>
      <b/>
      <sz val="10"/>
      <color indexed="8"/>
      <name val="Arial Narrow"/>
      <family val="2"/>
    </font>
    <font>
      <sz val="12"/>
      <color theme="1"/>
      <name val="Times New Roman"/>
      <family val="1"/>
    </font>
    <font>
      <b/>
      <sz val="6.5"/>
      <color theme="1"/>
      <name val="Arial Narrow"/>
      <family val="2"/>
    </font>
    <font>
      <vertAlign val="superscript"/>
      <sz val="8"/>
      <color indexed="8"/>
      <name val="Times New Roman"/>
      <family val="1"/>
    </font>
    <font>
      <sz val="8"/>
      <name val="Arial"/>
      <family val="1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9"/>
      <color theme="1"/>
      <name val="Verdana"/>
      <family val="2"/>
    </font>
    <font>
      <sz val="10"/>
      <color theme="1"/>
      <name val="Calibri"/>
      <family val="2"/>
    </font>
    <font>
      <b/>
      <sz val="8.5"/>
      <color theme="1"/>
      <name val="Times New Roman"/>
      <family val="1"/>
    </font>
    <font>
      <b/>
      <vertAlign val="superscript"/>
      <sz val="8.5"/>
      <color theme="1"/>
      <name val="Times New Roman"/>
      <family val="1"/>
    </font>
    <font>
      <b/>
      <sz val="7"/>
      <color theme="1"/>
      <name val="Times New Roman"/>
      <family val="1"/>
    </font>
    <font>
      <b/>
      <sz val="6.5"/>
      <color theme="1"/>
      <name val="Times New Roman"/>
      <family val="1"/>
    </font>
    <font>
      <vertAlign val="superscript"/>
      <sz val="7"/>
      <name val="Times New Roman"/>
      <family val="1"/>
    </font>
    <font>
      <sz val="10"/>
      <color rgb="FFFF0000"/>
      <name val="Times New Roman"/>
      <family val="1"/>
    </font>
    <font>
      <b/>
      <sz val="5.5"/>
      <color theme="1"/>
      <name val="Arial Narrow"/>
      <family val="2"/>
    </font>
    <font>
      <sz val="5.5"/>
      <color theme="1"/>
      <name val="Times New Roman"/>
      <family val="1"/>
    </font>
    <font>
      <sz val="6"/>
      <name val="Arial"/>
      <family val="2"/>
    </font>
    <font>
      <b/>
      <i/>
      <sz val="16"/>
      <name val="Sylfaen"/>
      <family val="1"/>
    </font>
    <font>
      <b/>
      <sz val="14"/>
      <color rgb="FF000007"/>
      <name val="Sylfaen"/>
      <family val="1"/>
    </font>
    <font>
      <sz val="14"/>
      <name val="Arial"/>
      <family val="2"/>
    </font>
    <font>
      <b/>
      <sz val="13.5"/>
      <color theme="1"/>
      <name val="Times New Roman"/>
      <family val="1"/>
    </font>
    <font>
      <sz val="11"/>
      <color theme="1"/>
      <name val="Calibri"/>
      <family val="2"/>
    </font>
    <font>
      <b/>
      <sz val="11.5"/>
      <name val="Times New Roman"/>
      <family val="1"/>
    </font>
    <font>
      <sz val="9.5"/>
      <name val="Times New Roman"/>
      <family val="1"/>
    </font>
    <font>
      <sz val="9.5"/>
      <name val="Arial"/>
      <family val="2"/>
    </font>
    <font>
      <b/>
      <vertAlign val="superscript"/>
      <sz val="7.5"/>
      <color theme="1"/>
      <name val="Times New Roman"/>
      <family val="1"/>
    </font>
    <font>
      <sz val="7.25"/>
      <name val="Times New Roman"/>
      <family val="1"/>
    </font>
    <font>
      <sz val="10"/>
      <color indexed="8"/>
      <name val="Arial"/>
      <family val="2"/>
    </font>
    <font>
      <b/>
      <sz val="8"/>
      <name val="Arial"/>
      <family val="2"/>
    </font>
    <font>
      <sz val="5.5"/>
      <color rgb="FF000000"/>
      <name val="Times New Roman"/>
      <family val="1"/>
    </font>
    <font>
      <b/>
      <vertAlign val="superscript"/>
      <sz val="8"/>
      <color theme="1"/>
      <name val="Times New Roman"/>
      <family val="1"/>
    </font>
    <font>
      <b/>
      <sz val="20"/>
      <name val="Times New Roman"/>
      <family val="1"/>
    </font>
    <font>
      <b/>
      <sz val="12"/>
      <color rgb="FF000000"/>
      <name val="Times New Roman"/>
      <family val="1"/>
    </font>
    <font>
      <vertAlign val="superscript"/>
      <sz val="8"/>
      <color theme="1"/>
      <name val="Times New Roman"/>
      <family val="1"/>
    </font>
    <font>
      <b/>
      <sz val="6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7">
    <xf numFmtId="0" fontId="0" fillId="0" borderId="0"/>
    <xf numFmtId="0" fontId="90" fillId="3" borderId="0" applyNumberFormat="0" applyBorder="0" applyAlignment="0" applyProtection="0"/>
    <xf numFmtId="0" fontId="90" fillId="3" borderId="0" applyNumberFormat="0" applyBorder="0" applyAlignment="0" applyProtection="0"/>
    <xf numFmtId="0" fontId="90" fillId="3" borderId="0" applyNumberFormat="0" applyBorder="0" applyAlignment="0" applyProtection="0"/>
    <xf numFmtId="0" fontId="90" fillId="3" borderId="0" applyNumberFormat="0" applyBorder="0" applyAlignment="0" applyProtection="0"/>
    <xf numFmtId="0" fontId="90" fillId="3" borderId="0" applyNumberFormat="0" applyBorder="0" applyAlignment="0" applyProtection="0"/>
    <xf numFmtId="0" fontId="90" fillId="4" borderId="0" applyNumberFormat="0" applyBorder="0" applyAlignment="0" applyProtection="0"/>
    <xf numFmtId="0" fontId="90" fillId="4" borderId="0" applyNumberFormat="0" applyBorder="0" applyAlignment="0" applyProtection="0"/>
    <xf numFmtId="0" fontId="90" fillId="4" borderId="0" applyNumberFormat="0" applyBorder="0" applyAlignment="0" applyProtection="0"/>
    <xf numFmtId="0" fontId="90" fillId="4" borderId="0" applyNumberFormat="0" applyBorder="0" applyAlignment="0" applyProtection="0"/>
    <xf numFmtId="0" fontId="90" fillId="4" borderId="0" applyNumberFormat="0" applyBorder="0" applyAlignment="0" applyProtection="0"/>
    <xf numFmtId="0" fontId="90" fillId="5" borderId="0" applyNumberFormat="0" applyBorder="0" applyAlignment="0" applyProtection="0"/>
    <xf numFmtId="0" fontId="90" fillId="5" borderId="0" applyNumberFormat="0" applyBorder="0" applyAlignment="0" applyProtection="0"/>
    <xf numFmtId="0" fontId="90" fillId="5" borderId="0" applyNumberFormat="0" applyBorder="0" applyAlignment="0" applyProtection="0"/>
    <xf numFmtId="0" fontId="90" fillId="5" borderId="0" applyNumberFormat="0" applyBorder="0" applyAlignment="0" applyProtection="0"/>
    <xf numFmtId="0" fontId="90" fillId="5" borderId="0" applyNumberFormat="0" applyBorder="0" applyAlignment="0" applyProtection="0"/>
    <xf numFmtId="0" fontId="90" fillId="6" borderId="0" applyNumberFormat="0" applyBorder="0" applyAlignment="0" applyProtection="0"/>
    <xf numFmtId="0" fontId="90" fillId="6" borderId="0" applyNumberFormat="0" applyBorder="0" applyAlignment="0" applyProtection="0"/>
    <xf numFmtId="0" fontId="90" fillId="6" borderId="0" applyNumberFormat="0" applyBorder="0" applyAlignment="0" applyProtection="0"/>
    <xf numFmtId="0" fontId="90" fillId="6" borderId="0" applyNumberFormat="0" applyBorder="0" applyAlignment="0" applyProtection="0"/>
    <xf numFmtId="0" fontId="90" fillId="6" borderId="0" applyNumberFormat="0" applyBorder="0" applyAlignment="0" applyProtection="0"/>
    <xf numFmtId="0" fontId="90" fillId="7" borderId="0" applyNumberFormat="0" applyBorder="0" applyAlignment="0" applyProtection="0"/>
    <xf numFmtId="0" fontId="90" fillId="7" borderId="0" applyNumberFormat="0" applyBorder="0" applyAlignment="0" applyProtection="0"/>
    <xf numFmtId="0" fontId="90" fillId="7" borderId="0" applyNumberFormat="0" applyBorder="0" applyAlignment="0" applyProtection="0"/>
    <xf numFmtId="0" fontId="90" fillId="7" borderId="0" applyNumberFormat="0" applyBorder="0" applyAlignment="0" applyProtection="0"/>
    <xf numFmtId="0" fontId="90" fillId="7" borderId="0" applyNumberFormat="0" applyBorder="0" applyAlignment="0" applyProtection="0"/>
    <xf numFmtId="0" fontId="90" fillId="8" borderId="0" applyNumberFormat="0" applyBorder="0" applyAlignment="0" applyProtection="0"/>
    <xf numFmtId="0" fontId="90" fillId="8" borderId="0" applyNumberFormat="0" applyBorder="0" applyAlignment="0" applyProtection="0"/>
    <xf numFmtId="0" fontId="90" fillId="8" borderId="0" applyNumberFormat="0" applyBorder="0" applyAlignment="0" applyProtection="0"/>
    <xf numFmtId="0" fontId="90" fillId="8" borderId="0" applyNumberFormat="0" applyBorder="0" applyAlignment="0" applyProtection="0"/>
    <xf numFmtId="0" fontId="90" fillId="8" borderId="0" applyNumberFormat="0" applyBorder="0" applyAlignment="0" applyProtection="0"/>
    <xf numFmtId="0" fontId="90" fillId="9" borderId="0" applyNumberFormat="0" applyBorder="0" applyAlignment="0" applyProtection="0"/>
    <xf numFmtId="0" fontId="90" fillId="9" borderId="0" applyNumberFormat="0" applyBorder="0" applyAlignment="0" applyProtection="0"/>
    <xf numFmtId="0" fontId="90" fillId="9" borderId="0" applyNumberFormat="0" applyBorder="0" applyAlignment="0" applyProtection="0"/>
    <xf numFmtId="0" fontId="90" fillId="9" borderId="0" applyNumberFormat="0" applyBorder="0" applyAlignment="0" applyProtection="0"/>
    <xf numFmtId="0" fontId="90" fillId="9" borderId="0" applyNumberFormat="0" applyBorder="0" applyAlignment="0" applyProtection="0"/>
    <xf numFmtId="0" fontId="90" fillId="10" borderId="0" applyNumberFormat="0" applyBorder="0" applyAlignment="0" applyProtection="0"/>
    <xf numFmtId="0" fontId="90" fillId="10" borderId="0" applyNumberFormat="0" applyBorder="0" applyAlignment="0" applyProtection="0"/>
    <xf numFmtId="0" fontId="90" fillId="10" borderId="0" applyNumberFormat="0" applyBorder="0" applyAlignment="0" applyProtection="0"/>
    <xf numFmtId="0" fontId="90" fillId="10" borderId="0" applyNumberFormat="0" applyBorder="0" applyAlignment="0" applyProtection="0"/>
    <xf numFmtId="0" fontId="90" fillId="10" borderId="0" applyNumberFormat="0" applyBorder="0" applyAlignment="0" applyProtection="0"/>
    <xf numFmtId="0" fontId="90" fillId="11" borderId="0" applyNumberFormat="0" applyBorder="0" applyAlignment="0" applyProtection="0"/>
    <xf numFmtId="0" fontId="90" fillId="11" borderId="0" applyNumberFormat="0" applyBorder="0" applyAlignment="0" applyProtection="0"/>
    <xf numFmtId="0" fontId="90" fillId="11" borderId="0" applyNumberFormat="0" applyBorder="0" applyAlignment="0" applyProtection="0"/>
    <xf numFmtId="0" fontId="90" fillId="11" borderId="0" applyNumberFormat="0" applyBorder="0" applyAlignment="0" applyProtection="0"/>
    <xf numFmtId="0" fontId="90" fillId="11" borderId="0" applyNumberFormat="0" applyBorder="0" applyAlignment="0" applyProtection="0"/>
    <xf numFmtId="0" fontId="90" fillId="12" borderId="0" applyNumberFormat="0" applyBorder="0" applyAlignment="0" applyProtection="0"/>
    <xf numFmtId="0" fontId="90" fillId="12" borderId="0" applyNumberFormat="0" applyBorder="0" applyAlignment="0" applyProtection="0"/>
    <xf numFmtId="0" fontId="90" fillId="12" borderId="0" applyNumberFormat="0" applyBorder="0" applyAlignment="0" applyProtection="0"/>
    <xf numFmtId="0" fontId="90" fillId="12" borderId="0" applyNumberFormat="0" applyBorder="0" applyAlignment="0" applyProtection="0"/>
    <xf numFmtId="0" fontId="90" fillId="12" borderId="0" applyNumberFormat="0" applyBorder="0" applyAlignment="0" applyProtection="0"/>
    <xf numFmtId="0" fontId="90" fillId="13" borderId="0" applyNumberFormat="0" applyBorder="0" applyAlignment="0" applyProtection="0"/>
    <xf numFmtId="0" fontId="90" fillId="13" borderId="0" applyNumberFormat="0" applyBorder="0" applyAlignment="0" applyProtection="0"/>
    <xf numFmtId="0" fontId="90" fillId="13" borderId="0" applyNumberFormat="0" applyBorder="0" applyAlignment="0" applyProtection="0"/>
    <xf numFmtId="0" fontId="90" fillId="13" borderId="0" applyNumberFormat="0" applyBorder="0" applyAlignment="0" applyProtection="0"/>
    <xf numFmtId="0" fontId="90" fillId="13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4" borderId="0" applyNumberFormat="0" applyBorder="0" applyAlignment="0" applyProtection="0"/>
    <xf numFmtId="0" fontId="91" fillId="24" borderId="0" applyNumberFormat="0" applyBorder="0" applyAlignment="0" applyProtection="0"/>
    <xf numFmtId="0" fontId="91" fillId="24" borderId="0" applyNumberFormat="0" applyBorder="0" applyAlignment="0" applyProtection="0"/>
    <xf numFmtId="0" fontId="91" fillId="24" borderId="0" applyNumberFormat="0" applyBorder="0" applyAlignment="0" applyProtection="0"/>
    <xf numFmtId="0" fontId="91" fillId="24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3" fillId="28" borderId="22" applyNumberFormat="0" applyAlignment="0" applyProtection="0"/>
    <xf numFmtId="0" fontId="93" fillId="28" borderId="22" applyNumberFormat="0" applyAlignment="0" applyProtection="0"/>
    <xf numFmtId="0" fontId="93" fillId="28" borderId="22" applyNumberFormat="0" applyAlignment="0" applyProtection="0"/>
    <xf numFmtId="0" fontId="93" fillId="28" borderId="22" applyNumberFormat="0" applyAlignment="0" applyProtection="0"/>
    <xf numFmtId="0" fontId="93" fillId="28" borderId="22" applyNumberFormat="0" applyAlignment="0" applyProtection="0"/>
    <xf numFmtId="0" fontId="94" fillId="29" borderId="23" applyNumberFormat="0" applyAlignment="0" applyProtection="0"/>
    <xf numFmtId="0" fontId="94" fillId="29" borderId="23" applyNumberFormat="0" applyAlignment="0" applyProtection="0"/>
    <xf numFmtId="0" fontId="94" fillId="29" borderId="23" applyNumberFormat="0" applyAlignment="0" applyProtection="0"/>
    <xf numFmtId="0" fontId="94" fillId="29" borderId="23" applyNumberFormat="0" applyAlignment="0" applyProtection="0"/>
    <xf numFmtId="0" fontId="94" fillId="29" borderId="23" applyNumberFormat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100" fillId="0" borderId="26" applyNumberFormat="0" applyFill="0" applyAlignment="0" applyProtection="0"/>
    <xf numFmtId="0" fontId="100" fillId="0" borderId="26" applyNumberFormat="0" applyFill="0" applyAlignment="0" applyProtection="0"/>
    <xf numFmtId="0" fontId="100" fillId="0" borderId="26" applyNumberFormat="0" applyFill="0" applyAlignment="0" applyProtection="0"/>
    <xf numFmtId="0" fontId="100" fillId="0" borderId="26" applyNumberFormat="0" applyFill="0" applyAlignment="0" applyProtection="0"/>
    <xf numFmtId="0" fontId="100" fillId="0" borderId="26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31" borderId="22" applyNumberFormat="0" applyAlignment="0" applyProtection="0"/>
    <xf numFmtId="0" fontId="102" fillId="31" borderId="22" applyNumberFormat="0" applyAlignment="0" applyProtection="0"/>
    <xf numFmtId="0" fontId="102" fillId="31" borderId="22" applyNumberFormat="0" applyAlignment="0" applyProtection="0"/>
    <xf numFmtId="0" fontId="102" fillId="31" borderId="22" applyNumberFormat="0" applyAlignment="0" applyProtection="0"/>
    <xf numFmtId="0" fontId="102" fillId="31" borderId="22" applyNumberFormat="0" applyAlignment="0" applyProtection="0"/>
    <xf numFmtId="0" fontId="103" fillId="0" borderId="27" applyNumberFormat="0" applyFill="0" applyAlignment="0" applyProtection="0"/>
    <xf numFmtId="0" fontId="103" fillId="0" borderId="27" applyNumberFormat="0" applyFill="0" applyAlignment="0" applyProtection="0"/>
    <xf numFmtId="0" fontId="103" fillId="0" borderId="27" applyNumberFormat="0" applyFill="0" applyAlignment="0" applyProtection="0"/>
    <xf numFmtId="0" fontId="103" fillId="0" borderId="27" applyNumberFormat="0" applyFill="0" applyAlignment="0" applyProtection="0"/>
    <xf numFmtId="0" fontId="103" fillId="0" borderId="27" applyNumberFormat="0" applyFill="0" applyAlignment="0" applyProtection="0"/>
    <xf numFmtId="0" fontId="104" fillId="32" borderId="0" applyNumberFormat="0" applyBorder="0" applyAlignment="0" applyProtection="0"/>
    <xf numFmtId="0" fontId="104" fillId="32" borderId="0" applyNumberFormat="0" applyBorder="0" applyAlignment="0" applyProtection="0"/>
    <xf numFmtId="0" fontId="104" fillId="32" borderId="0" applyNumberFormat="0" applyBorder="0" applyAlignment="0" applyProtection="0"/>
    <xf numFmtId="0" fontId="104" fillId="32" borderId="0" applyNumberFormat="0" applyBorder="0" applyAlignment="0" applyProtection="0"/>
    <xf numFmtId="0" fontId="104" fillId="32" borderId="0" applyNumberFormat="0" applyBorder="0" applyAlignment="0" applyProtection="0"/>
    <xf numFmtId="0" fontId="89" fillId="0" borderId="0"/>
    <xf numFmtId="0" fontId="7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7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90" fillId="33" borderId="28" applyNumberFormat="0" applyFont="0" applyAlignment="0" applyProtection="0"/>
    <xf numFmtId="0" fontId="90" fillId="33" borderId="28" applyNumberFormat="0" applyFont="0" applyAlignment="0" applyProtection="0"/>
    <xf numFmtId="0" fontId="90" fillId="33" borderId="28" applyNumberFormat="0" applyFont="0" applyAlignment="0" applyProtection="0"/>
    <xf numFmtId="0" fontId="90" fillId="33" borderId="28" applyNumberFormat="0" applyFont="0" applyAlignment="0" applyProtection="0"/>
    <xf numFmtId="0" fontId="90" fillId="33" borderId="28" applyNumberFormat="0" applyFont="0" applyAlignment="0" applyProtection="0"/>
    <xf numFmtId="0" fontId="105" fillId="28" borderId="29" applyNumberFormat="0" applyAlignment="0" applyProtection="0"/>
    <xf numFmtId="0" fontId="105" fillId="28" borderId="29" applyNumberFormat="0" applyAlignment="0" applyProtection="0"/>
    <xf numFmtId="0" fontId="105" fillId="28" borderId="29" applyNumberFormat="0" applyAlignment="0" applyProtection="0"/>
    <xf numFmtId="0" fontId="105" fillId="28" borderId="29" applyNumberFormat="0" applyAlignment="0" applyProtection="0"/>
    <xf numFmtId="0" fontId="105" fillId="28" borderId="29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30" applyNumberFormat="0" applyFill="0" applyAlignment="0" applyProtection="0"/>
    <xf numFmtId="0" fontId="107" fillId="0" borderId="30" applyNumberFormat="0" applyFill="0" applyAlignment="0" applyProtection="0"/>
    <xf numFmtId="0" fontId="107" fillId="0" borderId="30" applyNumberFormat="0" applyFill="0" applyAlignment="0" applyProtection="0"/>
    <xf numFmtId="0" fontId="107" fillId="0" borderId="30" applyNumberFormat="0" applyFill="0" applyAlignment="0" applyProtection="0"/>
    <xf numFmtId="0" fontId="107" fillId="0" borderId="3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3" fillId="0" borderId="0"/>
    <xf numFmtId="0" fontId="167" fillId="0" borderId="0"/>
    <xf numFmtId="43" fontId="4" fillId="0" borderId="0" applyFont="0" applyFill="0" applyBorder="0" applyAlignment="0" applyProtection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2" fillId="0" borderId="0"/>
    <xf numFmtId="178" fontId="4" fillId="0" borderId="0" applyFont="0" applyFill="0" applyBorder="0" applyAlignment="0" applyProtection="0"/>
    <xf numFmtId="0" fontId="169" fillId="0" borderId="0"/>
    <xf numFmtId="0" fontId="2" fillId="0" borderId="0"/>
    <xf numFmtId="0" fontId="2" fillId="0" borderId="0"/>
    <xf numFmtId="0" fontId="8" fillId="0" borderId="0"/>
    <xf numFmtId="0" fontId="170" fillId="0" borderId="0"/>
    <xf numFmtId="0" fontId="168" fillId="0" borderId="0"/>
    <xf numFmtId="0" fontId="2" fillId="0" borderId="0"/>
    <xf numFmtId="0" fontId="170" fillId="0" borderId="0"/>
    <xf numFmtId="0" fontId="168" fillId="0" borderId="0"/>
    <xf numFmtId="0" fontId="2" fillId="0" borderId="0"/>
    <xf numFmtId="0" fontId="170" fillId="0" borderId="0"/>
    <xf numFmtId="0" fontId="4" fillId="0" borderId="0"/>
    <xf numFmtId="43" fontId="4" fillId="0" borderId="0" applyFont="0" applyFill="0" applyBorder="0" applyAlignment="0" applyProtection="0"/>
    <xf numFmtId="0" fontId="2" fillId="0" borderId="0"/>
    <xf numFmtId="0" fontId="184" fillId="0" borderId="0"/>
    <xf numFmtId="0" fontId="184" fillId="0" borderId="0"/>
    <xf numFmtId="0" fontId="184" fillId="0" borderId="0"/>
    <xf numFmtId="178" fontId="4" fillId="0" borderId="0" applyFill="0" applyBorder="0" applyAlignment="0" applyProtection="0"/>
    <xf numFmtId="0" fontId="190" fillId="0" borderId="0">
      <alignment vertical="top"/>
    </xf>
    <xf numFmtId="0" fontId="190" fillId="0" borderId="0">
      <alignment vertical="top"/>
    </xf>
    <xf numFmtId="0" fontId="190" fillId="0" borderId="0">
      <alignment vertical="top"/>
    </xf>
    <xf numFmtId="0" fontId="190" fillId="0" borderId="0">
      <alignment vertical="top"/>
    </xf>
    <xf numFmtId="0" fontId="90" fillId="0" borderId="0"/>
    <xf numFmtId="0" fontId="1" fillId="0" borderId="0"/>
    <xf numFmtId="0" fontId="1" fillId="0" borderId="0"/>
    <xf numFmtId="0" fontId="4" fillId="0" borderId="0"/>
    <xf numFmtId="0" fontId="1" fillId="0" borderId="0"/>
    <xf numFmtId="43" fontId="4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731">
    <xf numFmtId="0" fontId="0" fillId="0" borderId="0" xfId="0"/>
    <xf numFmtId="0" fontId="6" fillId="0" borderId="0" xfId="0" applyFont="1"/>
    <xf numFmtId="0" fontId="8" fillId="0" borderId="0" xfId="0" applyFont="1"/>
    <xf numFmtId="0" fontId="12" fillId="0" borderId="0" xfId="0" applyFont="1"/>
    <xf numFmtId="0" fontId="13" fillId="0" borderId="0" xfId="0" applyFont="1"/>
    <xf numFmtId="0" fontId="10" fillId="0" borderId="0" xfId="0" applyFont="1"/>
    <xf numFmtId="2" fontId="15" fillId="0" borderId="0" xfId="0" applyNumberFormat="1" applyFont="1" applyBorder="1"/>
    <xf numFmtId="0" fontId="16" fillId="0" borderId="0" xfId="0" applyFont="1" applyBorder="1" applyAlignment="1"/>
    <xf numFmtId="0" fontId="16" fillId="0" borderId="0" xfId="0" applyFont="1"/>
    <xf numFmtId="0" fontId="16" fillId="0" borderId="0" xfId="0" applyFont="1" applyBorder="1"/>
    <xf numFmtId="0" fontId="14" fillId="0" borderId="0" xfId="0" applyFont="1" applyAlignment="1">
      <alignment wrapText="1"/>
    </xf>
    <xf numFmtId="0" fontId="24" fillId="0" borderId="0" xfId="0" applyFont="1"/>
    <xf numFmtId="0" fontId="26" fillId="0" borderId="0" xfId="0" applyFont="1"/>
    <xf numFmtId="2" fontId="14" fillId="0" borderId="0" xfId="0" applyNumberFormat="1" applyFont="1" applyFill="1" applyBorder="1" applyAlignment="1">
      <alignment horizontal="center" wrapText="1"/>
    </xf>
    <xf numFmtId="2" fontId="16" fillId="0" borderId="0" xfId="0" applyNumberFormat="1" applyFont="1" applyBorder="1" applyAlignment="1">
      <alignment horizontal="center"/>
    </xf>
    <xf numFmtId="0" fontId="14" fillId="0" borderId="0" xfId="0" applyFont="1"/>
    <xf numFmtId="0" fontId="16" fillId="0" borderId="0" xfId="0" applyFont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7" fillId="0" borderId="0" xfId="0" applyFont="1"/>
    <xf numFmtId="0" fontId="31" fillId="0" borderId="0" xfId="0" applyFont="1"/>
    <xf numFmtId="0" fontId="32" fillId="0" borderId="0" xfId="0" applyFont="1"/>
    <xf numFmtId="0" fontId="31" fillId="0" borderId="0" xfId="0" applyFont="1" applyAlignment="1">
      <alignment wrapText="1"/>
    </xf>
    <xf numFmtId="2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Fill="1" applyBorder="1" applyAlignment="1">
      <alignment horizontal="center"/>
    </xf>
    <xf numFmtId="2" fontId="16" fillId="0" borderId="0" xfId="0" applyNumberFormat="1" applyFont="1" applyFill="1" applyBorder="1" applyAlignment="1">
      <alignment horizontal="center"/>
    </xf>
    <xf numFmtId="1" fontId="16" fillId="0" borderId="0" xfId="0" applyNumberFormat="1" applyFont="1" applyBorder="1" applyAlignment="1">
      <alignment horizontal="center"/>
    </xf>
    <xf numFmtId="0" fontId="27" fillId="0" borderId="0" xfId="0" applyFont="1"/>
    <xf numFmtId="0" fontId="15" fillId="0" borderId="0" xfId="0" applyFont="1"/>
    <xf numFmtId="0" fontId="20" fillId="0" borderId="0" xfId="0" applyFont="1" applyBorder="1" applyAlignment="1">
      <alignment wrapText="1"/>
    </xf>
    <xf numFmtId="0" fontId="33" fillId="0" borderId="0" xfId="0" applyFont="1"/>
    <xf numFmtId="0" fontId="33" fillId="0" borderId="0" xfId="0" applyFont="1" applyBorder="1"/>
    <xf numFmtId="0" fontId="16" fillId="0" borderId="0" xfId="0" applyFont="1" applyBorder="1" applyAlignment="1">
      <alignment horizontal="right"/>
    </xf>
    <xf numFmtId="0" fontId="34" fillId="0" borderId="0" xfId="0" applyFont="1" applyAlignment="1"/>
    <xf numFmtId="0" fontId="34" fillId="0" borderId="0" xfId="0" applyFont="1"/>
    <xf numFmtId="164" fontId="16" fillId="0" borderId="0" xfId="0" applyNumberFormat="1" applyFont="1"/>
    <xf numFmtId="0" fontId="30" fillId="0" borderId="0" xfId="0" applyFont="1"/>
    <xf numFmtId="0" fontId="30" fillId="0" borderId="0" xfId="0" applyFont="1" applyAlignment="1">
      <alignment horizontal="center" vertical="center"/>
    </xf>
    <xf numFmtId="0" fontId="34" fillId="0" borderId="0" xfId="0" applyFont="1" applyBorder="1"/>
    <xf numFmtId="0" fontId="14" fillId="0" borderId="0" xfId="0" applyFont="1" applyBorder="1"/>
    <xf numFmtId="0" fontId="16" fillId="0" borderId="0" xfId="0" applyFont="1" applyAlignment="1">
      <alignment horizontal="right" wrapText="1"/>
    </xf>
    <xf numFmtId="0" fontId="24" fillId="0" borderId="2" xfId="0" applyFont="1" applyBorder="1" applyAlignment="1">
      <alignment horizontal="center" wrapText="1"/>
    </xf>
    <xf numFmtId="0" fontId="35" fillId="0" borderId="0" xfId="0" applyFont="1" applyBorder="1" applyAlignment="1">
      <alignment wrapText="1"/>
    </xf>
    <xf numFmtId="0" fontId="34" fillId="0" borderId="0" xfId="0" applyFont="1" applyBorder="1" applyAlignment="1">
      <alignment wrapText="1"/>
    </xf>
    <xf numFmtId="0" fontId="24" fillId="0" borderId="0" xfId="0" applyFont="1" applyAlignment="1">
      <alignment horizontal="center"/>
    </xf>
    <xf numFmtId="49" fontId="16" fillId="0" borderId="0" xfId="0" applyNumberFormat="1" applyFont="1" applyBorder="1" applyAlignment="1">
      <alignment horizontal="center"/>
    </xf>
    <xf numFmtId="0" fontId="30" fillId="0" borderId="0" xfId="0" applyFont="1" applyAlignment="1">
      <alignment vertical="center"/>
    </xf>
    <xf numFmtId="49" fontId="16" fillId="0" borderId="0" xfId="0" applyNumberFormat="1" applyFont="1"/>
    <xf numFmtId="0" fontId="31" fillId="0" borderId="0" xfId="0" applyFont="1" applyBorder="1" applyAlignment="1">
      <alignment wrapText="1"/>
    </xf>
    <xf numFmtId="0" fontId="18" fillId="0" borderId="0" xfId="0" applyFont="1" applyBorder="1"/>
    <xf numFmtId="0" fontId="15" fillId="0" borderId="0" xfId="0" applyFont="1" applyBorder="1" applyAlignment="1"/>
    <xf numFmtId="164" fontId="16" fillId="0" borderId="0" xfId="0" applyNumberFormat="1" applyFont="1" applyFill="1" applyBorder="1" applyAlignment="1">
      <alignment horizontal="center"/>
    </xf>
    <xf numFmtId="0" fontId="16" fillId="0" borderId="0" xfId="0" applyFont="1" applyAlignment="1"/>
    <xf numFmtId="0" fontId="30" fillId="0" borderId="0" xfId="0" applyFont="1" applyBorder="1"/>
    <xf numFmtId="0" fontId="31" fillId="0" borderId="0" xfId="0" applyFont="1" applyBorder="1" applyAlignment="1"/>
    <xf numFmtId="0" fontId="29" fillId="0" borderId="0" xfId="0" applyFont="1" applyBorder="1" applyAlignment="1"/>
    <xf numFmtId="0" fontId="17" fillId="0" borderId="0" xfId="0" applyFont="1" applyBorder="1"/>
    <xf numFmtId="0" fontId="14" fillId="0" borderId="0" xfId="0" applyFont="1" applyBorder="1" applyAlignment="1">
      <alignment horizontal="left"/>
    </xf>
    <xf numFmtId="0" fontId="20" fillId="0" borderId="0" xfId="0" applyFont="1" applyAlignment="1">
      <alignment vertical="center"/>
    </xf>
    <xf numFmtId="0" fontId="21" fillId="0" borderId="4" xfId="0" applyFont="1" applyBorder="1" applyAlignment="1">
      <alignment horizontal="center" vertical="center" wrapText="1"/>
    </xf>
    <xf numFmtId="0" fontId="15" fillId="0" borderId="0" xfId="0" applyFont="1" applyBorder="1"/>
    <xf numFmtId="0" fontId="20" fillId="0" borderId="0" xfId="0" applyFont="1"/>
    <xf numFmtId="0" fontId="21" fillId="0" borderId="0" xfId="0" applyFont="1" applyAlignment="1">
      <alignment horizontal="center" vertical="center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right"/>
    </xf>
    <xf numFmtId="0" fontId="14" fillId="0" borderId="0" xfId="0" applyFont="1" applyBorder="1" applyAlignment="1">
      <alignment horizontal="right" wrapText="1"/>
    </xf>
    <xf numFmtId="0" fontId="8" fillId="0" borderId="0" xfId="0" applyFont="1" applyBorder="1"/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/>
    </xf>
    <xf numFmtId="0" fontId="29" fillId="0" borderId="0" xfId="0" applyFont="1" applyBorder="1" applyAlignment="1">
      <alignment wrapText="1"/>
    </xf>
    <xf numFmtId="0" fontId="29" fillId="0" borderId="0" xfId="0" applyFont="1" applyAlignment="1">
      <alignment wrapText="1"/>
    </xf>
    <xf numFmtId="0" fontId="11" fillId="0" borderId="0" xfId="0" applyFont="1" applyAlignment="1">
      <alignment horizontal="center" vertical="center"/>
    </xf>
    <xf numFmtId="0" fontId="38" fillId="0" borderId="0" xfId="0" applyFont="1"/>
    <xf numFmtId="0" fontId="18" fillId="0" borderId="0" xfId="0" applyFont="1" applyBorder="1" applyAlignment="1">
      <alignment wrapText="1"/>
    </xf>
    <xf numFmtId="0" fontId="14" fillId="0" borderId="0" xfId="0" applyFont="1" applyAlignment="1">
      <alignment vertical="center"/>
    </xf>
    <xf numFmtId="0" fontId="17" fillId="0" borderId="0" xfId="0" applyFont="1" applyBorder="1" applyAlignment="1">
      <alignment horizontal="left" wrapText="1"/>
    </xf>
    <xf numFmtId="0" fontId="17" fillId="0" borderId="0" xfId="0" applyFont="1" applyBorder="1" applyAlignment="1">
      <alignment vertical="center"/>
    </xf>
    <xf numFmtId="0" fontId="39" fillId="0" borderId="0" xfId="0" applyFont="1"/>
    <xf numFmtId="0" fontId="15" fillId="0" borderId="0" xfId="0" applyFont="1" applyAlignment="1">
      <alignment horizontal="center"/>
    </xf>
    <xf numFmtId="0" fontId="14" fillId="0" borderId="2" xfId="0" applyFont="1" applyBorder="1" applyAlignment="1">
      <alignment wrapText="1"/>
    </xf>
    <xf numFmtId="2" fontId="16" fillId="0" borderId="0" xfId="0" applyNumberFormat="1" applyFont="1"/>
    <xf numFmtId="0" fontId="17" fillId="0" borderId="0" xfId="0" applyFont="1" applyAlignment="1">
      <alignment horizontal="center" vertical="center"/>
    </xf>
    <xf numFmtId="0" fontId="14" fillId="0" borderId="0" xfId="0" applyFont="1" applyBorder="1" applyAlignment="1"/>
    <xf numFmtId="0" fontId="17" fillId="0" borderId="0" xfId="0" applyFont="1" applyBorder="1" applyAlignment="1">
      <alignment wrapText="1"/>
    </xf>
    <xf numFmtId="0" fontId="17" fillId="0" borderId="0" xfId="0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0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0" fontId="17" fillId="0" borderId="0" xfId="0" applyFont="1" applyBorder="1" applyAlignment="1">
      <alignment horizontal="right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vertical="center"/>
    </xf>
    <xf numFmtId="49" fontId="15" fillId="0" borderId="0" xfId="0" applyNumberFormat="1" applyFont="1" applyBorder="1" applyAlignment="1">
      <alignment horizontal="center"/>
    </xf>
    <xf numFmtId="2" fontId="15" fillId="0" borderId="0" xfId="0" applyNumberFormat="1" applyFont="1" applyBorder="1" applyAlignment="1">
      <alignment horizontal="center"/>
    </xf>
    <xf numFmtId="0" fontId="24" fillId="0" borderId="0" xfId="0" applyFont="1" applyAlignment="1">
      <alignment vertical="center"/>
    </xf>
    <xf numFmtId="49" fontId="15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2" fontId="15" fillId="0" borderId="0" xfId="0" applyNumberFormat="1" applyFont="1" applyFill="1" applyBorder="1" applyAlignment="1">
      <alignment horizontal="center"/>
    </xf>
    <xf numFmtId="0" fontId="24" fillId="0" borderId="0" xfId="0" applyFont="1" applyFill="1" applyBorder="1" applyAlignment="1">
      <alignment horizontal="left"/>
    </xf>
    <xf numFmtId="0" fontId="43" fillId="0" borderId="0" xfId="0" applyFont="1"/>
    <xf numFmtId="0" fontId="30" fillId="0" borderId="0" xfId="0" applyFont="1" applyAlignment="1">
      <alignment wrapText="1"/>
    </xf>
    <xf numFmtId="0" fontId="10" fillId="0" borderId="0" xfId="0" applyFont="1" applyAlignment="1">
      <alignment vertical="center"/>
    </xf>
    <xf numFmtId="2" fontId="20" fillId="0" borderId="0" xfId="0" applyNumberFormat="1" applyFont="1" applyBorder="1" applyAlignment="1">
      <alignment horizontal="center" wrapText="1"/>
    </xf>
    <xf numFmtId="0" fontId="19" fillId="0" borderId="0" xfId="0" applyFont="1" applyBorder="1" applyAlignment="1">
      <alignment horizontal="right" wrapText="1"/>
    </xf>
    <xf numFmtId="0" fontId="14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4" fillId="0" borderId="0" xfId="0" applyFont="1" applyBorder="1" applyAlignment="1">
      <alignment vertical="top" wrapText="1"/>
    </xf>
    <xf numFmtId="0" fontId="45" fillId="0" borderId="0" xfId="0" applyFont="1" applyBorder="1" applyAlignment="1">
      <alignment wrapText="1"/>
    </xf>
    <xf numFmtId="0" fontId="14" fillId="0" borderId="0" xfId="0" applyFont="1" applyBorder="1" applyAlignment="1">
      <alignment horizontal="center" vertical="top" wrapText="1"/>
    </xf>
    <xf numFmtId="0" fontId="18" fillId="0" borderId="0" xfId="0" applyFont="1" applyBorder="1" applyAlignment="1"/>
    <xf numFmtId="0" fontId="20" fillId="0" borderId="0" xfId="0" applyFont="1" applyBorder="1" applyAlignment="1">
      <alignment horizontal="center" vertical="top" wrapText="1"/>
    </xf>
    <xf numFmtId="0" fontId="14" fillId="0" borderId="0" xfId="0" applyFont="1" applyAlignment="1"/>
    <xf numFmtId="0" fontId="32" fillId="0" borderId="0" xfId="0" applyFont="1" applyBorder="1"/>
    <xf numFmtId="0" fontId="14" fillId="0" borderId="1" xfId="0" applyFont="1" applyBorder="1" applyAlignment="1">
      <alignment wrapText="1"/>
    </xf>
    <xf numFmtId="0" fontId="46" fillId="0" borderId="0" xfId="0" applyFont="1" applyBorder="1" applyAlignment="1">
      <alignment wrapText="1"/>
    </xf>
    <xf numFmtId="0" fontId="29" fillId="0" borderId="0" xfId="0" applyFont="1" applyBorder="1" applyAlignment="1">
      <alignment vertical="center"/>
    </xf>
    <xf numFmtId="0" fontId="33" fillId="0" borderId="0" xfId="0" applyFont="1" applyBorder="1" applyAlignment="1">
      <alignment horizontal="right"/>
    </xf>
    <xf numFmtId="0" fontId="22" fillId="0" borderId="0" xfId="0" applyFont="1" applyAlignment="1">
      <alignment horizontal="right" vertical="center" wrapText="1" indent="1"/>
    </xf>
    <xf numFmtId="0" fontId="30" fillId="0" borderId="0" xfId="0" applyFont="1" applyBorder="1" applyAlignment="1">
      <alignment horizontal="right" vertical="center"/>
    </xf>
    <xf numFmtId="0" fontId="20" fillId="0" borderId="0" xfId="0" applyFont="1" applyAlignment="1">
      <alignment horizontal="center"/>
    </xf>
    <xf numFmtId="0" fontId="20" fillId="0" borderId="2" xfId="0" applyFont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32" fillId="0" borderId="0" xfId="0" applyFont="1" applyAlignment="1">
      <alignment horizontal="center" vertical="center"/>
    </xf>
    <xf numFmtId="0" fontId="31" fillId="0" borderId="0" xfId="0" applyFont="1" applyBorder="1"/>
    <xf numFmtId="0" fontId="29" fillId="0" borderId="0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49" fontId="34" fillId="0" borderId="0" xfId="0" applyNumberFormat="1" applyFont="1" applyBorder="1" applyAlignment="1">
      <alignment wrapText="1"/>
    </xf>
    <xf numFmtId="0" fontId="27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vertical="center"/>
    </xf>
    <xf numFmtId="2" fontId="17" fillId="0" borderId="0" xfId="0" applyNumberFormat="1" applyFont="1" applyBorder="1" applyAlignment="1">
      <alignment horizontal="center" wrapText="1"/>
    </xf>
    <xf numFmtId="2" fontId="30" fillId="0" borderId="0" xfId="0" applyNumberFormat="1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1" fontId="16" fillId="0" borderId="0" xfId="0" applyNumberFormat="1" applyFont="1" applyFill="1" applyBorder="1" applyAlignment="1">
      <alignment horizontal="center"/>
    </xf>
    <xf numFmtId="0" fontId="16" fillId="0" borderId="0" xfId="0" applyFont="1" applyFill="1" applyBorder="1" applyAlignment="1">
      <alignment horizontal="left"/>
    </xf>
    <xf numFmtId="2" fontId="24" fillId="0" borderId="0" xfId="0" applyNumberFormat="1" applyFont="1" applyFill="1" applyBorder="1" applyAlignment="1">
      <alignment horizontal="center"/>
    </xf>
    <xf numFmtId="164" fontId="16" fillId="0" borderId="0" xfId="0" applyNumberFormat="1" applyFont="1" applyBorder="1"/>
    <xf numFmtId="1" fontId="17" fillId="0" borderId="0" xfId="0" applyNumberFormat="1" applyFont="1" applyBorder="1" applyAlignment="1">
      <alignment horizontal="center" wrapText="1"/>
    </xf>
    <xf numFmtId="2" fontId="16" fillId="0" borderId="0" xfId="0" applyNumberFormat="1" applyFont="1" applyBorder="1" applyAlignment="1">
      <alignment horizontal="left"/>
    </xf>
    <xf numFmtId="0" fontId="22" fillId="0" borderId="0" xfId="196" applyFont="1" applyAlignment="1">
      <alignment wrapText="1"/>
    </xf>
    <xf numFmtId="0" fontId="52" fillId="0" borderId="0" xfId="0" applyFont="1"/>
    <xf numFmtId="0" fontId="53" fillId="0" borderId="0" xfId="0" applyFont="1"/>
    <xf numFmtId="0" fontId="16" fillId="0" borderId="0" xfId="196" applyFont="1" applyBorder="1" applyAlignment="1">
      <alignment horizontal="left"/>
    </xf>
    <xf numFmtId="0" fontId="21" fillId="0" borderId="0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2" fontId="16" fillId="0" borderId="0" xfId="0" applyNumberFormat="1" applyFont="1" applyBorder="1"/>
    <xf numFmtId="0" fontId="27" fillId="0" borderId="0" xfId="0" applyFont="1" applyFill="1" applyBorder="1" applyAlignment="1">
      <alignment wrapText="1"/>
    </xf>
    <xf numFmtId="0" fontId="16" fillId="0" borderId="0" xfId="0" applyFont="1" applyFill="1" applyBorder="1"/>
    <xf numFmtId="0" fontId="16" fillId="0" borderId="0" xfId="0" applyFont="1" applyFill="1"/>
    <xf numFmtId="0" fontId="22" fillId="0" borderId="0" xfId="0" applyFont="1" applyFill="1" applyBorder="1" applyAlignment="1">
      <alignment wrapText="1"/>
    </xf>
    <xf numFmtId="0" fontId="33" fillId="0" borderId="0" xfId="0" applyFont="1" applyFill="1"/>
    <xf numFmtId="0" fontId="28" fillId="0" borderId="0" xfId="0" applyFont="1" applyFill="1" applyBorder="1" applyAlignment="1">
      <alignment horizontal="center" wrapText="1"/>
    </xf>
    <xf numFmtId="0" fontId="28" fillId="0" borderId="0" xfId="0" applyFont="1" applyFill="1" applyBorder="1" applyAlignment="1">
      <alignment wrapText="1"/>
    </xf>
    <xf numFmtId="0" fontId="30" fillId="0" borderId="0" xfId="0" applyFont="1" applyFill="1"/>
    <xf numFmtId="0" fontId="30" fillId="0" borderId="0" xfId="0" applyFont="1" applyFill="1" applyBorder="1"/>
    <xf numFmtId="0" fontId="30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/>
    </xf>
    <xf numFmtId="0" fontId="24" fillId="0" borderId="0" xfId="0" applyFont="1" applyFill="1" applyBorder="1" applyAlignment="1"/>
    <xf numFmtId="0" fontId="15" fillId="0" borderId="0" xfId="0" applyFont="1" applyFill="1" applyBorder="1"/>
    <xf numFmtId="164" fontId="16" fillId="0" borderId="0" xfId="0" applyNumberFormat="1" applyFont="1" applyFill="1"/>
    <xf numFmtId="2" fontId="16" fillId="0" borderId="0" xfId="0" applyNumberFormat="1" applyFont="1" applyBorder="1" applyAlignment="1"/>
    <xf numFmtId="0" fontId="30" fillId="0" borderId="0" xfId="0" applyFont="1" applyAlignment="1">
      <alignment vertical="center" wrapText="1"/>
    </xf>
    <xf numFmtId="0" fontId="23" fillId="0" borderId="0" xfId="0" applyFont="1" applyAlignment="1">
      <alignment wrapText="1"/>
    </xf>
    <xf numFmtId="0" fontId="17" fillId="0" borderId="0" xfId="0" applyFont="1" applyAlignment="1">
      <alignment horizontal="left" vertical="justify" wrapText="1"/>
    </xf>
    <xf numFmtId="0" fontId="17" fillId="0" borderId="0" xfId="0" applyFont="1" applyAlignment="1">
      <alignment vertical="justify" wrapText="1"/>
    </xf>
    <xf numFmtId="0" fontId="8" fillId="0" borderId="0" xfId="0" applyFont="1" applyAlignment="1">
      <alignment vertical="justify"/>
    </xf>
    <xf numFmtId="0" fontId="17" fillId="0" borderId="0" xfId="0" applyFont="1" applyFill="1" applyAlignment="1">
      <alignment vertical="justify" wrapText="1"/>
    </xf>
    <xf numFmtId="0" fontId="0" fillId="0" borderId="0" xfId="0" applyFill="1"/>
    <xf numFmtId="0" fontId="0" fillId="0" borderId="0" xfId="0" applyFill="1" applyBorder="1"/>
    <xf numFmtId="0" fontId="30" fillId="0" borderId="0" xfId="0" applyFont="1" applyAlignment="1"/>
    <xf numFmtId="0" fontId="8" fillId="0" borderId="0" xfId="0" applyFont="1" applyAlignment="1"/>
    <xf numFmtId="0" fontId="59" fillId="0" borderId="0" xfId="0" applyFont="1" applyAlignment="1"/>
    <xf numFmtId="0" fontId="24" fillId="0" borderId="0" xfId="0" applyFont="1" applyFill="1"/>
    <xf numFmtId="0" fontId="24" fillId="0" borderId="0" xfId="0" applyFont="1" applyFill="1" applyBorder="1"/>
    <xf numFmtId="0" fontId="58" fillId="0" borderId="0" xfId="0" applyFont="1" applyAlignment="1"/>
    <xf numFmtId="0" fontId="5" fillId="0" borderId="0" xfId="173" applyAlignment="1" applyProtection="1"/>
    <xf numFmtId="0" fontId="0" fillId="2" borderId="0" xfId="0" applyFill="1"/>
    <xf numFmtId="0" fontId="0" fillId="2" borderId="0" xfId="0" applyFill="1" applyBorder="1"/>
    <xf numFmtId="0" fontId="0" fillId="0" borderId="0" xfId="0" applyBorder="1"/>
    <xf numFmtId="0" fontId="20" fillId="0" borderId="2" xfId="0" applyFont="1" applyBorder="1" applyAlignment="1">
      <alignment vertical="center" wrapText="1"/>
    </xf>
    <xf numFmtId="0" fontId="60" fillId="0" borderId="0" xfId="0" applyFont="1" applyBorder="1" applyAlignment="1">
      <alignment horizontal="left" wrapText="1"/>
    </xf>
    <xf numFmtId="0" fontId="34" fillId="0" borderId="0" xfId="0" applyFont="1" applyBorder="1" applyAlignment="1">
      <alignment horizontal="center"/>
    </xf>
    <xf numFmtId="0" fontId="19" fillId="0" borderId="0" xfId="0" applyFont="1" applyBorder="1" applyAlignment="1">
      <alignment wrapText="1"/>
    </xf>
    <xf numFmtId="0" fontId="20" fillId="0" borderId="0" xfId="0" applyFont="1" applyAlignment="1"/>
    <xf numFmtId="0" fontId="19" fillId="0" borderId="0" xfId="0" applyFont="1" applyBorder="1"/>
    <xf numFmtId="0" fontId="27" fillId="0" borderId="0" xfId="0" applyFont="1" applyBorder="1" applyAlignment="1">
      <alignment horizontal="left"/>
    </xf>
    <xf numFmtId="0" fontId="16" fillId="0" borderId="0" xfId="0" applyFont="1" applyFill="1" applyBorder="1" applyAlignment="1">
      <alignment horizontal="right"/>
    </xf>
    <xf numFmtId="2" fontId="109" fillId="0" borderId="0" xfId="0" applyNumberFormat="1" applyFont="1" applyFill="1" applyBorder="1" applyAlignment="1">
      <alignment horizontal="center"/>
    </xf>
    <xf numFmtId="0" fontId="33" fillId="2" borderId="0" xfId="0" applyFont="1" applyFill="1" applyBorder="1" applyAlignment="1">
      <alignment horizontal="right"/>
    </xf>
    <xf numFmtId="0" fontId="22" fillId="0" borderId="0" xfId="0" applyFont="1"/>
    <xf numFmtId="0" fontId="22" fillId="0" borderId="0" xfId="0" applyFont="1" applyBorder="1" applyAlignment="1">
      <alignment horizontal="center" wrapText="1"/>
    </xf>
    <xf numFmtId="0" fontId="22" fillId="0" borderId="0" xfId="0" applyNumberFormat="1" applyFont="1" applyBorder="1" applyAlignment="1">
      <alignment horizontal="center" wrapText="1"/>
    </xf>
    <xf numFmtId="0" fontId="28" fillId="0" borderId="0" xfId="0" applyFont="1" applyBorder="1" applyAlignment="1">
      <alignment horizontal="right" wrapText="1"/>
    </xf>
    <xf numFmtId="0" fontId="28" fillId="0" borderId="0" xfId="0" applyFont="1" applyBorder="1" applyAlignment="1">
      <alignment horizontal="center" wrapText="1"/>
    </xf>
    <xf numFmtId="0" fontId="21" fillId="0" borderId="0" xfId="0" applyFont="1" applyAlignment="1">
      <alignment vertical="center"/>
    </xf>
    <xf numFmtId="0" fontId="14" fillId="0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2" fontId="16" fillId="0" borderId="0" xfId="0" applyNumberFormat="1" applyFont="1" applyAlignment="1">
      <alignment horizontal="center" vertical="center"/>
    </xf>
    <xf numFmtId="0" fontId="24" fillId="0" borderId="0" xfId="0" applyFont="1" applyFill="1" applyAlignment="1">
      <alignment horizontal="right" vertical="center"/>
    </xf>
    <xf numFmtId="0" fontId="15" fillId="0" borderId="0" xfId="0" applyFont="1" applyFill="1"/>
    <xf numFmtId="0" fontId="53" fillId="0" borderId="0" xfId="0" applyFont="1" applyBorder="1"/>
    <xf numFmtId="0" fontId="24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164" fontId="16" fillId="0" borderId="0" xfId="0" applyNumberFormat="1" applyFont="1" applyFill="1" applyBorder="1" applyAlignment="1">
      <alignment horizontal="left" vertical="center" wrapText="1"/>
    </xf>
    <xf numFmtId="164" fontId="16" fillId="0" borderId="0" xfId="0" applyNumberFormat="1" applyFont="1" applyFill="1" applyBorder="1" applyAlignment="1">
      <alignment horizontal="center" vertical="center" wrapText="1"/>
    </xf>
    <xf numFmtId="164" fontId="16" fillId="0" borderId="0" xfId="0" applyNumberFormat="1" applyFont="1" applyFill="1" applyBorder="1" applyAlignment="1">
      <alignment horizontal="center" vertical="center"/>
    </xf>
    <xf numFmtId="2" fontId="16" fillId="0" borderId="0" xfId="0" applyNumberFormat="1" applyFont="1" applyFill="1" applyBorder="1" applyAlignment="1">
      <alignment horizontal="center" vertical="center" wrapText="1"/>
    </xf>
    <xf numFmtId="1" fontId="16" fillId="0" borderId="0" xfId="0" applyNumberFormat="1" applyFont="1" applyFill="1" applyBorder="1" applyAlignment="1">
      <alignment horizontal="center" vertical="center" wrapText="1"/>
    </xf>
    <xf numFmtId="2" fontId="16" fillId="0" borderId="0" xfId="0" applyNumberFormat="1" applyFont="1" applyFill="1" applyAlignment="1">
      <alignment horizontal="center" vertical="center"/>
    </xf>
    <xf numFmtId="164" fontId="16" fillId="0" borderId="0" xfId="0" applyNumberFormat="1" applyFont="1" applyFill="1" applyBorder="1" applyAlignment="1">
      <alignment horizontal="center" wrapText="1"/>
    </xf>
    <xf numFmtId="0" fontId="65" fillId="0" borderId="0" xfId="0" applyFont="1"/>
    <xf numFmtId="0" fontId="24" fillId="0" borderId="0" xfId="196" applyFont="1" applyFill="1" applyBorder="1" applyAlignment="1">
      <alignment horizontal="left"/>
    </xf>
    <xf numFmtId="0" fontId="16" fillId="0" borderId="0" xfId="196" applyFont="1" applyFill="1" applyBorder="1" applyAlignment="1">
      <alignment horizontal="left" vertical="center"/>
    </xf>
    <xf numFmtId="0" fontId="16" fillId="0" borderId="0" xfId="0" applyFont="1" applyFill="1" applyBorder="1" applyAlignment="1"/>
    <xf numFmtId="0" fontId="14" fillId="0" borderId="0" xfId="0" applyFont="1" applyFill="1" applyBorder="1" applyAlignment="1">
      <alignment horizontal="right" wrapText="1"/>
    </xf>
    <xf numFmtId="0" fontId="16" fillId="0" borderId="0" xfId="0" applyFont="1" applyBorder="1" applyAlignment="1">
      <alignment vertical="top"/>
    </xf>
    <xf numFmtId="0" fontId="14" fillId="0" borderId="0" xfId="0" applyFont="1" applyBorder="1" applyAlignment="1">
      <alignment horizontal="left" vertical="center" wrapText="1"/>
    </xf>
    <xf numFmtId="2" fontId="14" fillId="0" borderId="0" xfId="0" applyNumberFormat="1" applyFont="1" applyBorder="1" applyAlignment="1">
      <alignment horizontal="left" wrapText="1"/>
    </xf>
    <xf numFmtId="2" fontId="16" fillId="0" borderId="0" xfId="0" applyNumberFormat="1" applyFont="1" applyFill="1" applyBorder="1"/>
    <xf numFmtId="0" fontId="19" fillId="0" borderId="0" xfId="0" applyFont="1" applyFill="1" applyBorder="1" applyAlignment="1">
      <alignment horizontal="center" wrapText="1"/>
    </xf>
    <xf numFmtId="0" fontId="21" fillId="0" borderId="2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vertical="center"/>
    </xf>
    <xf numFmtId="2" fontId="14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2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right" vertical="center" wrapText="1"/>
    </xf>
    <xf numFmtId="0" fontId="20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15" fillId="0" borderId="0" xfId="0" applyFont="1" applyFill="1" applyBorder="1" applyAlignment="1"/>
    <xf numFmtId="0" fontId="15" fillId="0" borderId="0" xfId="0" applyFont="1" applyFill="1" applyAlignment="1"/>
    <xf numFmtId="0" fontId="34" fillId="0" borderId="0" xfId="0" applyFont="1" applyFill="1"/>
    <xf numFmtId="0" fontId="16" fillId="0" borderId="0" xfId="0" applyFont="1" applyFill="1" applyAlignment="1"/>
    <xf numFmtId="0" fontId="34" fillId="0" borderId="0" xfId="0" applyFont="1" applyFill="1" applyAlignment="1"/>
    <xf numFmtId="0" fontId="34" fillId="0" borderId="0" xfId="0" applyFont="1" applyFill="1" applyBorder="1" applyAlignment="1"/>
    <xf numFmtId="0" fontId="39" fillId="0" borderId="0" xfId="0" applyFont="1" applyFill="1"/>
    <xf numFmtId="0" fontId="34" fillId="0" borderId="0" xfId="0" applyFont="1" applyFill="1" applyBorder="1"/>
    <xf numFmtId="0" fontId="15" fillId="0" borderId="0" xfId="0" applyFont="1" applyFill="1" applyBorder="1" applyAlignment="1">
      <alignment horizontal="right"/>
    </xf>
    <xf numFmtId="0" fontId="15" fillId="0" borderId="0" xfId="0" applyFont="1" applyFill="1" applyAlignment="1">
      <alignment horizontal="center"/>
    </xf>
    <xf numFmtId="0" fontId="26" fillId="0" borderId="0" xfId="0" applyFont="1" applyFill="1"/>
    <xf numFmtId="0" fontId="26" fillId="0" borderId="0" xfId="0" applyFont="1" applyFill="1" applyAlignment="1"/>
    <xf numFmtId="164" fontId="16" fillId="34" borderId="0" xfId="0" applyNumberFormat="1" applyFont="1" applyFill="1" applyBorder="1" applyAlignment="1">
      <alignment horizontal="left" vertical="center" wrapText="1"/>
    </xf>
    <xf numFmtId="164" fontId="16" fillId="34" borderId="0" xfId="0" applyNumberFormat="1" applyFont="1" applyFill="1" applyBorder="1" applyAlignment="1">
      <alignment horizontal="center" vertical="center" wrapText="1"/>
    </xf>
    <xf numFmtId="164" fontId="16" fillId="34" borderId="0" xfId="0" applyNumberFormat="1" applyFont="1" applyFill="1" applyBorder="1" applyAlignment="1">
      <alignment horizontal="center" vertical="center"/>
    </xf>
    <xf numFmtId="2" fontId="16" fillId="34" borderId="0" xfId="0" applyNumberFormat="1" applyFont="1" applyFill="1" applyBorder="1" applyAlignment="1">
      <alignment horizontal="center" vertical="center" wrapText="1"/>
    </xf>
    <xf numFmtId="1" fontId="16" fillId="34" borderId="0" xfId="0" applyNumberFormat="1" applyFont="1" applyFill="1" applyBorder="1" applyAlignment="1">
      <alignment horizontal="center" vertical="center" wrapText="1"/>
    </xf>
    <xf numFmtId="2" fontId="16" fillId="34" borderId="0" xfId="0" applyNumberFormat="1" applyFont="1" applyFill="1" applyAlignment="1">
      <alignment horizontal="center" vertical="center"/>
    </xf>
    <xf numFmtId="164" fontId="16" fillId="34" borderId="0" xfId="0" applyNumberFormat="1" applyFont="1" applyFill="1" applyBorder="1" applyAlignment="1">
      <alignment horizontal="center"/>
    </xf>
    <xf numFmtId="0" fontId="16" fillId="34" borderId="0" xfId="0" applyFont="1" applyFill="1" applyBorder="1" applyAlignment="1">
      <alignment horizontal="center" vertical="center"/>
    </xf>
    <xf numFmtId="2" fontId="16" fillId="34" borderId="0" xfId="0" applyNumberFormat="1" applyFont="1" applyFill="1" applyBorder="1" applyAlignment="1">
      <alignment horizontal="center" vertical="center"/>
    </xf>
    <xf numFmtId="1" fontId="16" fillId="34" borderId="0" xfId="0" applyNumberFormat="1" applyFont="1" applyFill="1" applyBorder="1" applyAlignment="1">
      <alignment horizontal="center" vertical="center"/>
    </xf>
    <xf numFmtId="164" fontId="16" fillId="34" borderId="0" xfId="0" applyNumberFormat="1" applyFont="1" applyFill="1" applyBorder="1" applyAlignment="1">
      <alignment horizontal="left" wrapText="1"/>
    </xf>
    <xf numFmtId="0" fontId="16" fillId="34" borderId="0" xfId="0" applyFont="1" applyFill="1" applyBorder="1" applyAlignment="1">
      <alignment horizontal="center"/>
    </xf>
    <xf numFmtId="164" fontId="16" fillId="34" borderId="0" xfId="0" applyNumberFormat="1" applyFont="1" applyFill="1" applyBorder="1" applyAlignment="1">
      <alignment horizontal="center" wrapText="1"/>
    </xf>
    <xf numFmtId="2" fontId="16" fillId="34" borderId="0" xfId="0" applyNumberFormat="1" applyFont="1" applyFill="1" applyBorder="1" applyAlignment="1">
      <alignment horizontal="center"/>
    </xf>
    <xf numFmtId="1" fontId="16" fillId="34" borderId="0" xfId="0" applyNumberFormat="1" applyFont="1" applyFill="1" applyBorder="1" applyAlignment="1">
      <alignment horizontal="center"/>
    </xf>
    <xf numFmtId="2" fontId="16" fillId="34" borderId="0" xfId="0" applyNumberFormat="1" applyFont="1" applyFill="1" applyAlignment="1">
      <alignment horizontal="center"/>
    </xf>
    <xf numFmtId="2" fontId="24" fillId="34" borderId="0" xfId="0" applyNumberFormat="1" applyFont="1" applyFill="1" applyBorder="1" applyAlignment="1">
      <alignment horizontal="center"/>
    </xf>
    <xf numFmtId="0" fontId="16" fillId="34" borderId="0" xfId="0" applyFont="1" applyFill="1" applyBorder="1"/>
    <xf numFmtId="0" fontId="16" fillId="34" borderId="0" xfId="0" applyFont="1" applyFill="1" applyBorder="1" applyAlignment="1">
      <alignment horizontal="right"/>
    </xf>
    <xf numFmtId="0" fontId="24" fillId="34" borderId="0" xfId="0" applyFont="1" applyFill="1" applyBorder="1"/>
    <xf numFmtId="0" fontId="24" fillId="34" borderId="0" xfId="0" applyFont="1" applyFill="1" applyBorder="1" applyAlignment="1">
      <alignment horizontal="right"/>
    </xf>
    <xf numFmtId="0" fontId="16" fillId="34" borderId="0" xfId="0" applyFont="1" applyFill="1" applyBorder="1" applyAlignment="1">
      <alignment horizontal="justify" wrapText="1"/>
    </xf>
    <xf numFmtId="0" fontId="16" fillId="34" borderId="0" xfId="0" applyFont="1" applyFill="1" applyBorder="1" applyAlignment="1">
      <alignment horizontal="right" wrapText="1"/>
    </xf>
    <xf numFmtId="0" fontId="14" fillId="34" borderId="0" xfId="0" applyFont="1" applyFill="1" applyBorder="1" applyAlignment="1">
      <alignment horizontal="left" wrapText="1"/>
    </xf>
    <xf numFmtId="0" fontId="14" fillId="34" borderId="0" xfId="0" applyFont="1" applyFill="1" applyBorder="1" applyAlignment="1">
      <alignment horizontal="right" wrapText="1"/>
    </xf>
    <xf numFmtId="0" fontId="16" fillId="34" borderId="0" xfId="0" applyFont="1" applyFill="1" applyBorder="1" applyAlignment="1">
      <alignment horizontal="left"/>
    </xf>
    <xf numFmtId="0" fontId="24" fillId="34" borderId="0" xfId="0" applyFont="1" applyFill="1" applyBorder="1" applyAlignment="1">
      <alignment horizontal="left" wrapText="1"/>
    </xf>
    <xf numFmtId="0" fontId="24" fillId="34" borderId="0" xfId="196" applyFont="1" applyFill="1" applyBorder="1" applyAlignment="1">
      <alignment horizontal="left"/>
    </xf>
    <xf numFmtId="0" fontId="16" fillId="34" borderId="0" xfId="196" applyFont="1" applyFill="1" applyBorder="1" applyAlignment="1">
      <alignment horizontal="left"/>
    </xf>
    <xf numFmtId="0" fontId="14" fillId="34" borderId="0" xfId="0" applyFont="1" applyFill="1" applyBorder="1" applyAlignment="1">
      <alignment horizontal="left"/>
    </xf>
    <xf numFmtId="2" fontId="14" fillId="34" borderId="0" xfId="0" applyNumberFormat="1" applyFont="1" applyFill="1" applyBorder="1" applyAlignment="1">
      <alignment horizontal="center" vertical="center" wrapText="1"/>
    </xf>
    <xf numFmtId="2" fontId="14" fillId="34" borderId="0" xfId="0" applyNumberFormat="1" applyFont="1" applyFill="1" applyBorder="1" applyAlignment="1">
      <alignment horizontal="center" wrapText="1"/>
    </xf>
    <xf numFmtId="0" fontId="16" fillId="34" borderId="0" xfId="0" applyFont="1" applyFill="1" applyBorder="1" applyAlignment="1">
      <alignment horizontal="left" vertical="center" wrapText="1"/>
    </xf>
    <xf numFmtId="0" fontId="16" fillId="34" borderId="0" xfId="0" applyNumberFormat="1" applyFont="1" applyFill="1" applyBorder="1" applyAlignment="1">
      <alignment horizontal="center"/>
    </xf>
    <xf numFmtId="0" fontId="14" fillId="34" borderId="0" xfId="0" applyFont="1" applyFill="1" applyBorder="1" applyAlignment="1">
      <alignment horizontal="right" vertical="center" wrapText="1"/>
    </xf>
    <xf numFmtId="0" fontId="16" fillId="34" borderId="0" xfId="0" applyFont="1" applyFill="1" applyBorder="1" applyAlignment="1">
      <alignment vertical="center"/>
    </xf>
    <xf numFmtId="0" fontId="17" fillId="34" borderId="0" xfId="0" applyFont="1" applyFill="1" applyBorder="1" applyAlignment="1">
      <alignment horizontal="center" wrapText="1"/>
    </xf>
    <xf numFmtId="2" fontId="17" fillId="34" borderId="0" xfId="0" applyNumberFormat="1" applyFont="1" applyFill="1" applyBorder="1" applyAlignment="1">
      <alignment horizontal="center" wrapText="1"/>
    </xf>
    <xf numFmtId="0" fontId="17" fillId="34" borderId="0" xfId="0" applyFont="1" applyFill="1" applyBorder="1" applyAlignment="1">
      <alignment horizontal="left" wrapText="1"/>
    </xf>
    <xf numFmtId="0" fontId="30" fillId="34" borderId="0" xfId="0" applyFont="1" applyFill="1" applyBorder="1"/>
    <xf numFmtId="0" fontId="30" fillId="34" borderId="0" xfId="0" applyFont="1" applyFill="1" applyBorder="1" applyAlignment="1">
      <alignment horizontal="center"/>
    </xf>
    <xf numFmtId="2" fontId="30" fillId="34" borderId="0" xfId="0" applyNumberFormat="1" applyFont="1" applyFill="1" applyBorder="1" applyAlignment="1">
      <alignment horizontal="center"/>
    </xf>
    <xf numFmtId="2" fontId="30" fillId="34" borderId="0" xfId="0" applyNumberFormat="1" applyFont="1" applyFill="1" applyBorder="1" applyAlignment="1">
      <alignment horizontal="center" wrapText="1"/>
    </xf>
    <xf numFmtId="1" fontId="17" fillId="34" borderId="0" xfId="0" applyNumberFormat="1" applyFont="1" applyFill="1" applyBorder="1" applyAlignment="1">
      <alignment horizontal="center" wrapText="1"/>
    </xf>
    <xf numFmtId="2" fontId="14" fillId="34" borderId="0" xfId="0" applyNumberFormat="1" applyFont="1" applyFill="1" applyBorder="1" applyAlignment="1">
      <alignment horizontal="left" wrapText="1"/>
    </xf>
    <xf numFmtId="2" fontId="109" fillId="0" borderId="0" xfId="0" applyNumberFormat="1" applyFont="1" applyFill="1" applyBorder="1" applyAlignment="1">
      <alignment horizontal="center" wrapText="1"/>
    </xf>
    <xf numFmtId="164" fontId="24" fillId="34" borderId="0" xfId="0" applyNumberFormat="1" applyFont="1" applyFill="1" applyBorder="1" applyAlignment="1">
      <alignment horizontal="center" vertical="center"/>
    </xf>
    <xf numFmtId="2" fontId="24" fillId="34" borderId="0" xfId="0" applyNumberFormat="1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 wrapText="1"/>
    </xf>
    <xf numFmtId="2" fontId="14" fillId="34" borderId="6" xfId="0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wrapText="1"/>
    </xf>
    <xf numFmtId="0" fontId="17" fillId="0" borderId="6" xfId="0" applyFont="1" applyBorder="1" applyAlignment="1">
      <alignment vertical="justify" wrapText="1"/>
    </xf>
    <xf numFmtId="0" fontId="14" fillId="0" borderId="0" xfId="0" applyFont="1" applyFill="1" applyBorder="1" applyAlignment="1">
      <alignment horizontal="left" vertical="top" wrapText="1"/>
    </xf>
    <xf numFmtId="164" fontId="24" fillId="0" borderId="0" xfId="0" applyNumberFormat="1" applyFont="1" applyFill="1" applyBorder="1" applyAlignment="1">
      <alignment horizontal="center" vertical="center"/>
    </xf>
    <xf numFmtId="2" fontId="24" fillId="0" borderId="0" xfId="0" applyNumberFormat="1" applyFont="1" applyFill="1" applyBorder="1" applyAlignment="1">
      <alignment horizontal="center" vertical="center"/>
    </xf>
    <xf numFmtId="1" fontId="24" fillId="0" borderId="0" xfId="0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14" fillId="0" borderId="0" xfId="0" applyFont="1" applyFill="1" applyBorder="1" applyAlignment="1">
      <alignment horizontal="left"/>
    </xf>
    <xf numFmtId="0" fontId="31" fillId="0" borderId="0" xfId="0" applyFont="1" applyAlignment="1">
      <alignment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41" fillId="0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16" fillId="34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0" fontId="110" fillId="0" borderId="0" xfId="0" applyFont="1" applyFill="1" applyBorder="1"/>
    <xf numFmtId="0" fontId="64" fillId="0" borderId="0" xfId="0" applyFont="1" applyFill="1" applyBorder="1"/>
    <xf numFmtId="0" fontId="111" fillId="0" borderId="0" xfId="0" applyFont="1" applyFill="1" applyBorder="1" applyAlignment="1">
      <alignment vertical="center" textRotation="180"/>
    </xf>
    <xf numFmtId="0" fontId="24" fillId="34" borderId="0" xfId="0" applyFont="1" applyFill="1" applyBorder="1" applyAlignment="1">
      <alignment vertical="center"/>
    </xf>
    <xf numFmtId="0" fontId="24" fillId="34" borderId="0" xfId="0" applyFont="1" applyFill="1" applyBorder="1" applyAlignment="1">
      <alignment horizontal="right" vertical="center"/>
    </xf>
    <xf numFmtId="0" fontId="24" fillId="0" borderId="0" xfId="0" applyFont="1" applyFill="1" applyBorder="1" applyAlignment="1">
      <alignment horizontal="right" vertical="center"/>
    </xf>
    <xf numFmtId="2" fontId="109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68" fillId="2" borderId="0" xfId="0" applyFont="1" applyFill="1" applyBorder="1"/>
    <xf numFmtId="0" fontId="68" fillId="0" borderId="0" xfId="0" applyFont="1" applyFill="1" applyBorder="1" applyAlignment="1"/>
    <xf numFmtId="172" fontId="68" fillId="0" borderId="0" xfId="0" applyNumberFormat="1" applyFont="1" applyFill="1" applyBorder="1" applyAlignment="1"/>
    <xf numFmtId="49" fontId="68" fillId="0" borderId="0" xfId="0" applyNumberFormat="1" applyFont="1" applyFill="1" applyBorder="1" applyAlignment="1"/>
    <xf numFmtId="0" fontId="68" fillId="2" borderId="0" xfId="0" applyFont="1" applyFill="1" applyBorder="1" applyAlignment="1"/>
    <xf numFmtId="2" fontId="109" fillId="34" borderId="0" xfId="0" applyNumberFormat="1" applyFont="1" applyFill="1" applyBorder="1" applyAlignment="1">
      <alignment horizontal="center" vertical="center" wrapText="1"/>
    </xf>
    <xf numFmtId="164" fontId="16" fillId="34" borderId="0" xfId="0" applyNumberFormat="1" applyFont="1" applyFill="1" applyBorder="1" applyAlignment="1">
      <alignment horizontal="right" vertical="center" wrapText="1"/>
    </xf>
    <xf numFmtId="0" fontId="16" fillId="0" borderId="0" xfId="0" applyFont="1" applyFill="1" applyBorder="1" applyAlignment="1">
      <alignment horizontal="right" vertical="center"/>
    </xf>
    <xf numFmtId="1" fontId="14" fillId="0" borderId="0" xfId="0" applyNumberFormat="1" applyFont="1" applyFill="1" applyBorder="1" applyAlignment="1">
      <alignment horizontal="center" vertical="center" wrapText="1"/>
    </xf>
    <xf numFmtId="1" fontId="16" fillId="0" borderId="0" xfId="0" applyNumberFormat="1" applyFont="1" applyFill="1" applyBorder="1" applyAlignment="1">
      <alignment horizontal="center" vertical="center"/>
    </xf>
    <xf numFmtId="2" fontId="30" fillId="0" borderId="0" xfId="0" applyNumberFormat="1" applyFont="1" applyFill="1" applyBorder="1" applyAlignment="1">
      <alignment horizontal="center"/>
    </xf>
    <xf numFmtId="0" fontId="16" fillId="0" borderId="0" xfId="0" applyFont="1" applyFill="1" applyBorder="1" applyAlignment="1">
      <alignment horizontal="left" vertical="center"/>
    </xf>
    <xf numFmtId="0" fontId="30" fillId="0" borderId="0" xfId="0" applyFont="1" applyFill="1" applyAlignment="1">
      <alignment vertical="center"/>
    </xf>
    <xf numFmtId="0" fontId="30" fillId="0" borderId="0" xfId="0" applyFont="1" applyFill="1" applyAlignment="1">
      <alignment vertical="justify"/>
    </xf>
    <xf numFmtId="2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right" vertical="center" wrapText="1"/>
    </xf>
    <xf numFmtId="2" fontId="30" fillId="0" borderId="0" xfId="0" applyNumberFormat="1" applyFont="1" applyFill="1" applyAlignment="1">
      <alignment horizontal="center" vertical="center"/>
    </xf>
    <xf numFmtId="2" fontId="30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vertical="center"/>
    </xf>
    <xf numFmtId="2" fontId="17" fillId="34" borderId="0" xfId="0" applyNumberFormat="1" applyFont="1" applyFill="1" applyBorder="1" applyAlignment="1">
      <alignment horizontal="center" vertical="center" wrapText="1"/>
    </xf>
    <xf numFmtId="0" fontId="17" fillId="34" borderId="0" xfId="0" applyFont="1" applyFill="1" applyBorder="1" applyAlignment="1">
      <alignment horizontal="right" vertical="center" wrapText="1"/>
    </xf>
    <xf numFmtId="2" fontId="30" fillId="34" borderId="0" xfId="0" applyNumberFormat="1" applyFont="1" applyFill="1" applyBorder="1" applyAlignment="1">
      <alignment horizontal="center" vertical="center"/>
    </xf>
    <xf numFmtId="0" fontId="30" fillId="34" borderId="0" xfId="0" applyFont="1" applyFill="1"/>
    <xf numFmtId="0" fontId="62" fillId="0" borderId="0" xfId="0" applyFont="1" applyFill="1" applyBorder="1" applyAlignment="1">
      <alignment vertical="center" textRotation="180"/>
    </xf>
    <xf numFmtId="0" fontId="67" fillId="0" borderId="0" xfId="0" applyFont="1" applyFill="1" applyBorder="1" applyAlignment="1">
      <alignment vertical="center" textRotation="180"/>
    </xf>
    <xf numFmtId="0" fontId="16" fillId="34" borderId="0" xfId="0" applyFont="1" applyFill="1" applyBorder="1" applyAlignment="1">
      <alignment horizontal="left" vertical="center"/>
    </xf>
    <xf numFmtId="0" fontId="14" fillId="0" borderId="0" xfId="0" applyFont="1" applyFill="1" applyBorder="1"/>
    <xf numFmtId="164" fontId="14" fillId="0" borderId="0" xfId="0" applyNumberFormat="1" applyFont="1" applyFill="1" applyBorder="1" applyAlignment="1">
      <alignment horizontal="center" wrapText="1"/>
    </xf>
    <xf numFmtId="164" fontId="16" fillId="0" borderId="0" xfId="0" applyNumberFormat="1" applyFont="1" applyFill="1" applyBorder="1" applyAlignment="1">
      <alignment horizontal="right" vertical="center" wrapText="1"/>
    </xf>
    <xf numFmtId="0" fontId="112" fillId="0" borderId="0" xfId="0" applyFont="1" applyFill="1" applyBorder="1" applyAlignment="1">
      <alignment horizontal="center" vertical="center" wrapText="1"/>
    </xf>
    <xf numFmtId="0" fontId="113" fillId="0" borderId="0" xfId="0" applyFont="1" applyFill="1" applyBorder="1" applyAlignment="1">
      <alignment horizontal="center" vertical="center" wrapText="1"/>
    </xf>
    <xf numFmtId="0" fontId="112" fillId="0" borderId="0" xfId="0" applyFont="1" applyFill="1" applyBorder="1" applyAlignment="1">
      <alignment vertical="center" wrapText="1"/>
    </xf>
    <xf numFmtId="0" fontId="112" fillId="0" borderId="0" xfId="0" applyFont="1" applyFill="1" applyBorder="1"/>
    <xf numFmtId="0" fontId="114" fillId="0" borderId="0" xfId="0" applyFont="1" applyFill="1" applyBorder="1" applyAlignment="1">
      <alignment horizontal="left" vertical="center" wrapText="1"/>
    </xf>
    <xf numFmtId="0" fontId="113" fillId="0" borderId="0" xfId="0" applyFont="1" applyFill="1" applyBorder="1" applyAlignment="1">
      <alignment horizontal="left"/>
    </xf>
    <xf numFmtId="0" fontId="115" fillId="0" borderId="0" xfId="0" applyFont="1" applyFill="1" applyBorder="1" applyAlignment="1">
      <alignment horizontal="left" vertical="center" wrapText="1"/>
    </xf>
    <xf numFmtId="0" fontId="112" fillId="0" borderId="0" xfId="0" applyFont="1" applyFill="1" applyBorder="1" applyAlignment="1">
      <alignment vertical="center"/>
    </xf>
    <xf numFmtId="0" fontId="116" fillId="0" borderId="0" xfId="0" applyFont="1" applyFill="1" applyBorder="1" applyAlignment="1">
      <alignment horizontal="left" vertical="center" wrapText="1"/>
    </xf>
    <xf numFmtId="0" fontId="112" fillId="0" borderId="0" xfId="0" applyFont="1" applyFill="1" applyBorder="1" applyAlignment="1">
      <alignment horizontal="center" vertical="center"/>
    </xf>
    <xf numFmtId="0" fontId="112" fillId="0" borderId="0" xfId="0" applyFont="1" applyBorder="1"/>
    <xf numFmtId="0" fontId="72" fillId="34" borderId="0" xfId="0" applyFont="1" applyFill="1" applyAlignment="1">
      <alignment horizontal="center" vertical="center"/>
    </xf>
    <xf numFmtId="0" fontId="72" fillId="34" borderId="0" xfId="0" applyFont="1" applyFill="1" applyBorder="1" applyAlignment="1">
      <alignment vertical="center"/>
    </xf>
    <xf numFmtId="0" fontId="74" fillId="34" borderId="0" xfId="0" applyFont="1" applyFill="1" applyBorder="1" applyAlignment="1">
      <alignment horizontal="left" vertical="center" wrapText="1"/>
    </xf>
    <xf numFmtId="0" fontId="74" fillId="0" borderId="0" xfId="0" applyFont="1" applyFill="1" applyBorder="1" applyAlignment="1">
      <alignment horizontal="left" vertical="top" wrapText="1"/>
    </xf>
    <xf numFmtId="0" fontId="55" fillId="34" borderId="0" xfId="0" applyFont="1" applyFill="1" applyBorder="1" applyAlignment="1">
      <alignment horizontal="left" vertical="center" wrapText="1"/>
    </xf>
    <xf numFmtId="0" fontId="55" fillId="0" borderId="0" xfId="0" applyFont="1" applyFill="1" applyBorder="1" applyAlignment="1">
      <alignment horizontal="left" vertical="center" wrapText="1"/>
    </xf>
    <xf numFmtId="0" fontId="75" fillId="34" borderId="0" xfId="0" applyFont="1" applyFill="1" applyBorder="1" applyAlignment="1">
      <alignment horizontal="left" vertical="top" wrapText="1"/>
    </xf>
    <xf numFmtId="0" fontId="75" fillId="0" borderId="0" xfId="0" applyFont="1" applyFill="1" applyBorder="1" applyAlignment="1">
      <alignment horizontal="left" vertical="top" wrapText="1"/>
    </xf>
    <xf numFmtId="0" fontId="76" fillId="34" borderId="0" xfId="0" applyFont="1" applyFill="1" applyAlignment="1">
      <alignment horizontal="left"/>
    </xf>
    <xf numFmtId="0" fontId="73" fillId="0" borderId="0" xfId="0" applyFont="1" applyAlignment="1">
      <alignment horizontal="left"/>
    </xf>
    <xf numFmtId="0" fontId="30" fillId="0" borderId="0" xfId="0" applyFont="1" applyFill="1" applyAlignment="1">
      <alignment horizontal="center"/>
    </xf>
    <xf numFmtId="0" fontId="72" fillId="0" borderId="0" xfId="0" applyFont="1" applyFill="1" applyAlignment="1">
      <alignment horizontal="center" vertical="center"/>
    </xf>
    <xf numFmtId="0" fontId="76" fillId="0" borderId="0" xfId="0" applyFont="1" applyFill="1" applyAlignment="1">
      <alignment horizontal="left"/>
    </xf>
    <xf numFmtId="0" fontId="55" fillId="34" borderId="0" xfId="0" applyFont="1" applyFill="1" applyBorder="1" applyAlignment="1">
      <alignment horizontal="left" vertical="justify" wrapText="1"/>
    </xf>
    <xf numFmtId="2" fontId="17" fillId="34" borderId="0" xfId="0" applyNumberFormat="1" applyFont="1" applyFill="1" applyBorder="1" applyAlignment="1">
      <alignment horizontal="center" vertical="justify" wrapText="1"/>
    </xf>
    <xf numFmtId="0" fontId="74" fillId="34" borderId="0" xfId="0" applyFont="1" applyFill="1" applyBorder="1" applyAlignment="1">
      <alignment horizontal="left" vertical="justify" wrapText="1"/>
    </xf>
    <xf numFmtId="2" fontId="30" fillId="34" borderId="0" xfId="0" applyNumberFormat="1" applyFont="1" applyFill="1" applyAlignment="1">
      <alignment horizontal="center" vertical="justify"/>
    </xf>
    <xf numFmtId="0" fontId="55" fillId="34" borderId="6" xfId="0" applyFont="1" applyFill="1" applyBorder="1" applyAlignment="1">
      <alignment horizontal="left" vertical="center" wrapText="1"/>
    </xf>
    <xf numFmtId="0" fontId="79" fillId="0" borderId="0" xfId="0" applyFont="1" applyAlignment="1">
      <alignment vertical="center"/>
    </xf>
    <xf numFmtId="0" fontId="79" fillId="0" borderId="0" xfId="0" applyFont="1" applyFill="1"/>
    <xf numFmtId="49" fontId="27" fillId="0" borderId="0" xfId="0" applyNumberFormat="1" applyFont="1" applyFill="1" applyBorder="1" applyAlignment="1">
      <alignment vertical="center" wrapText="1"/>
    </xf>
    <xf numFmtId="0" fontId="80" fillId="0" borderId="0" xfId="0" applyFont="1" applyAlignment="1">
      <alignment horizontal="left"/>
    </xf>
    <xf numFmtId="0" fontId="26" fillId="0" borderId="0" xfId="0" applyFont="1" applyAlignment="1">
      <alignment horizontal="left" vertical="center"/>
    </xf>
    <xf numFmtId="2" fontId="16" fillId="0" borderId="0" xfId="0" applyNumberFormat="1" applyFont="1" applyFill="1" applyAlignment="1">
      <alignment horizontal="center"/>
    </xf>
    <xf numFmtId="0" fontId="8" fillId="0" borderId="0" xfId="0" applyFont="1" applyFill="1"/>
    <xf numFmtId="0" fontId="40" fillId="0" borderId="0" xfId="0" applyFont="1" applyBorder="1" applyAlignment="1">
      <alignment wrapText="1"/>
    </xf>
    <xf numFmtId="0" fontId="14" fillId="34" borderId="0" xfId="0" applyFont="1" applyFill="1" applyAlignment="1">
      <alignment vertical="center"/>
    </xf>
    <xf numFmtId="168" fontId="14" fillId="34" borderId="0" xfId="0" applyNumberFormat="1" applyFont="1" applyFill="1" applyBorder="1" applyAlignment="1">
      <alignment horizontal="center" vertical="center" wrapText="1"/>
    </xf>
    <xf numFmtId="0" fontId="14" fillId="34" borderId="0" xfId="0" applyFont="1" applyFill="1" applyAlignment="1">
      <alignment horizontal="right" vertical="center"/>
    </xf>
    <xf numFmtId="0" fontId="18" fillId="0" borderId="0" xfId="0" applyFont="1" applyFill="1" applyBorder="1" applyAlignment="1">
      <alignment horizontal="left" vertical="center" wrapText="1"/>
    </xf>
    <xf numFmtId="0" fontId="35" fillId="0" borderId="0" xfId="0" applyFont="1" applyFill="1" applyAlignment="1"/>
    <xf numFmtId="0" fontId="35" fillId="0" borderId="0" xfId="0" applyFont="1" applyFill="1" applyBorder="1" applyAlignment="1">
      <alignment horizontal="right" wrapText="1"/>
    </xf>
    <xf numFmtId="2" fontId="117" fillId="34" borderId="0" xfId="0" applyNumberFormat="1" applyFont="1" applyFill="1" applyBorder="1" applyAlignment="1">
      <alignment horizontal="center" vertical="center" wrapText="1"/>
    </xf>
    <xf numFmtId="164" fontId="109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0" fontId="82" fillId="0" borderId="0" xfId="0" applyFont="1" applyBorder="1"/>
    <xf numFmtId="0" fontId="82" fillId="0" borderId="0" xfId="0" applyFont="1" applyBorder="1" applyAlignment="1"/>
    <xf numFmtId="0" fontId="82" fillId="0" borderId="0" xfId="0" applyFont="1" applyBorder="1" applyAlignment="1">
      <alignment horizontal="center"/>
    </xf>
    <xf numFmtId="0" fontId="82" fillId="0" borderId="0" xfId="0" applyFont="1"/>
    <xf numFmtId="164" fontId="82" fillId="0" borderId="0" xfId="0" applyNumberFormat="1" applyFont="1" applyBorder="1" applyAlignment="1">
      <alignment horizontal="center"/>
    </xf>
    <xf numFmtId="0" fontId="82" fillId="0" borderId="0" xfId="0" applyFont="1" applyAlignment="1"/>
    <xf numFmtId="0" fontId="16" fillId="35" borderId="0" xfId="0" applyFont="1" applyFill="1" applyBorder="1"/>
    <xf numFmtId="164" fontId="117" fillId="34" borderId="0" xfId="0" applyNumberFormat="1" applyFont="1" applyFill="1" applyBorder="1" applyAlignment="1">
      <alignment horizontal="center" vertical="center" wrapText="1"/>
    </xf>
    <xf numFmtId="164" fontId="117" fillId="0" borderId="0" xfId="0" applyNumberFormat="1" applyFont="1" applyFill="1" applyBorder="1" applyAlignment="1">
      <alignment horizontal="center" wrapText="1"/>
    </xf>
    <xf numFmtId="164" fontId="117" fillId="34" borderId="0" xfId="0" applyNumberFormat="1" applyFont="1" applyFill="1" applyBorder="1" applyAlignment="1">
      <alignment horizontal="center" wrapText="1"/>
    </xf>
    <xf numFmtId="164" fontId="109" fillId="34" borderId="0" xfId="0" applyNumberFormat="1" applyFont="1" applyFill="1" applyBorder="1" applyAlignment="1">
      <alignment horizontal="center" vertical="center" wrapText="1"/>
    </xf>
    <xf numFmtId="164" fontId="109" fillId="34" borderId="0" xfId="0" applyNumberFormat="1" applyFont="1" applyFill="1" applyBorder="1" applyAlignment="1">
      <alignment horizontal="center" vertical="center"/>
    </xf>
    <xf numFmtId="164" fontId="117" fillId="0" borderId="0" xfId="0" applyNumberFormat="1" applyFont="1" applyFill="1" applyBorder="1" applyAlignment="1">
      <alignment horizontal="center" vertical="center" wrapText="1"/>
    </xf>
    <xf numFmtId="0" fontId="117" fillId="0" borderId="0" xfId="0" applyFont="1" applyFill="1" applyBorder="1" applyAlignment="1">
      <alignment horizontal="center" wrapText="1"/>
    </xf>
    <xf numFmtId="0" fontId="14" fillId="0" borderId="6" xfId="0" applyFont="1" applyFill="1" applyBorder="1" applyAlignment="1">
      <alignment horizontal="left" vertical="center" wrapText="1"/>
    </xf>
    <xf numFmtId="49" fontId="16" fillId="0" borderId="0" xfId="0" applyNumberFormat="1" applyFont="1" applyFill="1"/>
    <xf numFmtId="0" fontId="30" fillId="0" borderId="2" xfId="0" quotePrefix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right"/>
    </xf>
    <xf numFmtId="0" fontId="25" fillId="0" borderId="0" xfId="0" applyFont="1" applyFill="1"/>
    <xf numFmtId="0" fontId="25" fillId="0" borderId="0" xfId="0" applyFont="1" applyFill="1" applyBorder="1"/>
    <xf numFmtId="0" fontId="27" fillId="0" borderId="0" xfId="0" applyFont="1" applyFill="1" applyAlignment="1">
      <alignment wrapText="1"/>
    </xf>
    <xf numFmtId="0" fontId="15" fillId="0" borderId="0" xfId="0" applyFont="1" applyFill="1" applyAlignment="1">
      <alignment vertical="center"/>
    </xf>
    <xf numFmtId="164" fontId="109" fillId="0" borderId="0" xfId="0" applyNumberFormat="1" applyFont="1" applyFill="1" applyBorder="1" applyAlignment="1">
      <alignment horizontal="center" vertical="center" wrapText="1"/>
    </xf>
    <xf numFmtId="164" fontId="109" fillId="0" borderId="0" xfId="0" applyNumberFormat="1" applyFont="1" applyFill="1" applyBorder="1" applyAlignment="1">
      <alignment horizontal="center"/>
    </xf>
    <xf numFmtId="2" fontId="6" fillId="0" borderId="0" xfId="0" applyNumberFormat="1" applyFont="1"/>
    <xf numFmtId="2" fontId="16" fillId="34" borderId="6" xfId="0" applyNumberFormat="1" applyFont="1" applyFill="1" applyBorder="1" applyAlignment="1">
      <alignment horizontal="center" vertical="center"/>
    </xf>
    <xf numFmtId="0" fontId="8" fillId="0" borderId="0" xfId="0" applyFont="1" applyFill="1" applyBorder="1"/>
    <xf numFmtId="2" fontId="18" fillId="34" borderId="0" xfId="0" applyNumberFormat="1" applyFont="1" applyFill="1" applyBorder="1" applyAlignment="1">
      <alignment horizontal="center" vertical="center" wrapText="1"/>
    </xf>
    <xf numFmtId="2" fontId="18" fillId="0" borderId="0" xfId="0" applyNumberFormat="1" applyFont="1" applyFill="1" applyBorder="1" applyAlignment="1">
      <alignment horizontal="center" vertical="center" wrapText="1"/>
    </xf>
    <xf numFmtId="2" fontId="14" fillId="34" borderId="0" xfId="0" applyNumberFormat="1" applyFont="1" applyFill="1" applyBorder="1" applyAlignment="1">
      <alignment horizontal="center" vertical="justify" wrapText="1"/>
    </xf>
    <xf numFmtId="2" fontId="16" fillId="0" borderId="0" xfId="0" quotePrefix="1" applyNumberFormat="1" applyFont="1" applyFill="1" applyBorder="1" applyAlignment="1">
      <alignment horizontal="center" vertical="center" wrapText="1"/>
    </xf>
    <xf numFmtId="2" fontId="16" fillId="34" borderId="0" xfId="0" quotePrefix="1" applyNumberFormat="1" applyFont="1" applyFill="1" applyBorder="1" applyAlignment="1">
      <alignment horizontal="center" vertical="center" wrapText="1"/>
    </xf>
    <xf numFmtId="2" fontId="16" fillId="0" borderId="0" xfId="0" applyNumberFormat="1" applyFont="1" applyFill="1"/>
    <xf numFmtId="1" fontId="24" fillId="34" borderId="0" xfId="0" applyNumberFormat="1" applyFont="1" applyFill="1" applyBorder="1" applyAlignment="1">
      <alignment horizontal="center" vertical="center"/>
    </xf>
    <xf numFmtId="164" fontId="117" fillId="0" borderId="0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 vertical="center"/>
    </xf>
    <xf numFmtId="0" fontId="82" fillId="0" borderId="0" xfId="0" applyFont="1" applyBorder="1" applyAlignment="1">
      <alignment horizontal="left" vertical="center"/>
    </xf>
    <xf numFmtId="0" fontId="30" fillId="0" borderId="0" xfId="0" applyFont="1" applyBorder="1" applyAlignment="1">
      <alignment wrapText="1"/>
    </xf>
    <xf numFmtId="0" fontId="117" fillId="34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2" fontId="17" fillId="0" borderId="0" xfId="0" applyNumberFormat="1" applyFont="1" applyFill="1" applyBorder="1" applyAlignment="1">
      <alignment horizontal="center" wrapText="1"/>
    </xf>
    <xf numFmtId="1" fontId="17" fillId="0" borderId="0" xfId="0" applyNumberFormat="1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right" wrapText="1"/>
    </xf>
    <xf numFmtId="0" fontId="117" fillId="0" borderId="0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vertical="center"/>
    </xf>
    <xf numFmtId="164" fontId="16" fillId="0" borderId="0" xfId="0" applyNumberFormat="1" applyFont="1" applyFill="1" applyBorder="1" applyAlignment="1">
      <alignment horizontal="left" wrapText="1"/>
    </xf>
    <xf numFmtId="164" fontId="16" fillId="0" borderId="0" xfId="0" applyNumberFormat="1" applyFont="1" applyFill="1" applyAlignment="1">
      <alignment horizontal="center" vertical="center"/>
    </xf>
    <xf numFmtId="0" fontId="16" fillId="0" borderId="0" xfId="0" applyFont="1" applyFill="1" applyBorder="1" applyAlignment="1">
      <alignment horizontal="justify" wrapText="1"/>
    </xf>
    <xf numFmtId="164" fontId="16" fillId="0" borderId="0" xfId="0" applyNumberFormat="1" applyFont="1" applyFill="1" applyAlignment="1">
      <alignment horizontal="center"/>
    </xf>
    <xf numFmtId="164" fontId="117" fillId="34" borderId="0" xfId="0" applyNumberFormat="1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wrapText="1"/>
    </xf>
    <xf numFmtId="0" fontId="32" fillId="0" borderId="0" xfId="0" applyFont="1" applyFill="1"/>
    <xf numFmtId="0" fontId="31" fillId="0" borderId="0" xfId="0" applyFont="1" applyFill="1" applyBorder="1" applyAlignment="1">
      <alignment wrapText="1"/>
    </xf>
    <xf numFmtId="0" fontId="31" fillId="0" borderId="0" xfId="0" applyFont="1" applyFill="1" applyAlignment="1">
      <alignment wrapText="1"/>
    </xf>
    <xf numFmtId="0" fontId="14" fillId="0" borderId="0" xfId="0" applyFont="1" applyFill="1"/>
    <xf numFmtId="0" fontId="29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71" fillId="0" borderId="2" xfId="0" applyFont="1" applyFill="1" applyBorder="1" applyAlignment="1">
      <alignment horizontal="center" vertical="center" wrapText="1"/>
    </xf>
    <xf numFmtId="0" fontId="84" fillId="0" borderId="2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6" fillId="0" borderId="0" xfId="0" applyFont="1" applyFill="1" applyBorder="1" applyAlignment="1">
      <alignment vertical="top" wrapText="1"/>
    </xf>
    <xf numFmtId="0" fontId="22" fillId="0" borderId="0" xfId="0" applyFont="1" applyFill="1" applyAlignment="1"/>
    <xf numFmtId="0" fontId="24" fillId="0" borderId="2" xfId="0" applyFont="1" applyFill="1" applyBorder="1" applyAlignment="1">
      <alignment horizontal="center"/>
    </xf>
    <xf numFmtId="0" fontId="9" fillId="0" borderId="0" xfId="0" applyFont="1" applyFill="1"/>
    <xf numFmtId="164" fontId="8" fillId="0" borderId="0" xfId="0" applyNumberFormat="1" applyFont="1" applyFill="1"/>
    <xf numFmtId="0" fontId="35" fillId="0" borderId="0" xfId="0" applyFont="1" applyFill="1" applyBorder="1" applyAlignment="1"/>
    <xf numFmtId="0" fontId="35" fillId="0" borderId="0" xfId="0" applyFont="1" applyFill="1" applyBorder="1" applyAlignment="1">
      <alignment horizontal="left"/>
    </xf>
    <xf numFmtId="164" fontId="15" fillId="0" borderId="0" xfId="0" applyNumberFormat="1" applyFont="1" applyFill="1" applyBorder="1" applyAlignment="1"/>
    <xf numFmtId="164" fontId="8" fillId="0" borderId="0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Border="1"/>
    <xf numFmtId="2" fontId="24" fillId="0" borderId="0" xfId="0" applyNumberFormat="1" applyFont="1" applyFill="1" applyBorder="1"/>
    <xf numFmtId="2" fontId="39" fillId="0" borderId="0" xfId="0" applyNumberFormat="1" applyFont="1" applyFill="1" applyBorder="1" applyAlignment="1">
      <alignment horizontal="center" vertical="center"/>
    </xf>
    <xf numFmtId="2" fontId="39" fillId="34" borderId="0" xfId="0" applyNumberFormat="1" applyFont="1" applyFill="1" applyBorder="1" applyAlignment="1">
      <alignment horizontal="center" vertical="center"/>
    </xf>
    <xf numFmtId="0" fontId="24" fillId="34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right" vertical="center"/>
    </xf>
    <xf numFmtId="0" fontId="16" fillId="0" borderId="0" xfId="0" applyNumberFormat="1" applyFont="1" applyFill="1" applyBorder="1" applyAlignment="1">
      <alignment horizontal="left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8" fillId="34" borderId="0" xfId="0" applyFont="1" applyFill="1" applyBorder="1" applyAlignment="1">
      <alignment horizontal="right" vertical="center"/>
    </xf>
    <xf numFmtId="2" fontId="119" fillId="34" borderId="0" xfId="0" applyNumberFormat="1" applyFont="1" applyFill="1" applyBorder="1" applyAlignment="1">
      <alignment horizontal="center" vertical="center" wrapText="1"/>
    </xf>
    <xf numFmtId="2" fontId="118" fillId="0" borderId="0" xfId="0" applyNumberFormat="1" applyFont="1" applyFill="1" applyBorder="1" applyAlignment="1">
      <alignment horizontal="center" vertical="center" wrapText="1"/>
    </xf>
    <xf numFmtId="164" fontId="118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/>
    </xf>
    <xf numFmtId="164" fontId="118" fillId="34" borderId="0" xfId="0" applyNumberFormat="1" applyFont="1" applyFill="1" applyBorder="1" applyAlignment="1">
      <alignment horizontal="center" vertical="center" wrapText="1"/>
    </xf>
    <xf numFmtId="0" fontId="14" fillId="34" borderId="0" xfId="0" applyFont="1" applyFill="1" applyBorder="1" applyAlignment="1">
      <alignment vertical="center"/>
    </xf>
    <xf numFmtId="0" fontId="14" fillId="34" borderId="0" xfId="0" applyFont="1" applyFill="1" applyBorder="1" applyAlignment="1">
      <alignment horizontal="right" vertical="center"/>
    </xf>
    <xf numFmtId="2" fontId="117" fillId="0" borderId="0" xfId="0" applyNumberFormat="1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left" vertical="center"/>
    </xf>
    <xf numFmtId="2" fontId="40" fillId="0" borderId="0" xfId="0" applyNumberFormat="1" applyFont="1" applyFill="1" applyBorder="1" applyAlignment="1">
      <alignment horizontal="center" vertical="center"/>
    </xf>
    <xf numFmtId="0" fontId="41" fillId="34" borderId="0" xfId="0" applyFont="1" applyFill="1" applyBorder="1" applyAlignment="1">
      <alignment vertical="center"/>
    </xf>
    <xf numFmtId="0" fontId="41" fillId="34" borderId="0" xfId="0" applyFont="1" applyFill="1" applyBorder="1" applyAlignment="1">
      <alignment horizontal="left" vertical="center"/>
    </xf>
    <xf numFmtId="0" fontId="66" fillId="34" borderId="0" xfId="0" applyFont="1" applyFill="1" applyBorder="1" applyAlignment="1">
      <alignment horizontal="left" vertical="center"/>
    </xf>
    <xf numFmtId="0" fontId="66" fillId="0" borderId="0" xfId="0" applyFont="1" applyFill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30" fillId="0" borderId="0" xfId="0" applyFont="1" applyFill="1" applyBorder="1" applyAlignment="1">
      <alignment horizontal="left"/>
    </xf>
    <xf numFmtId="0" fontId="30" fillId="34" borderId="0" xfId="0" applyFont="1" applyFill="1" applyBorder="1" applyAlignment="1">
      <alignment horizontal="left"/>
    </xf>
    <xf numFmtId="0" fontId="18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right" vertical="center"/>
    </xf>
    <xf numFmtId="0" fontId="16" fillId="0" borderId="0" xfId="196" applyFont="1" applyFill="1" applyBorder="1" applyAlignment="1">
      <alignment horizontal="left"/>
    </xf>
    <xf numFmtId="0" fontId="35" fillId="0" borderId="0" xfId="0" applyFont="1" applyBorder="1" applyAlignment="1">
      <alignment vertical="top" wrapText="1"/>
    </xf>
    <xf numFmtId="0" fontId="120" fillId="0" borderId="0" xfId="0" applyFont="1" applyFill="1" applyBorder="1" applyAlignment="1">
      <alignment vertical="center"/>
    </xf>
    <xf numFmtId="0" fontId="120" fillId="0" borderId="0" xfId="0" applyFont="1" applyFill="1" applyBorder="1" applyAlignment="1">
      <alignment vertical="center" wrapText="1"/>
    </xf>
    <xf numFmtId="0" fontId="120" fillId="0" borderId="0" xfId="0" applyFont="1" applyFill="1" applyAlignment="1">
      <alignment vertical="center"/>
    </xf>
    <xf numFmtId="0" fontId="124" fillId="0" borderId="2" xfId="0" applyFont="1" applyFill="1" applyBorder="1" applyAlignment="1">
      <alignment horizontal="center" vertical="center" wrapText="1"/>
    </xf>
    <xf numFmtId="0" fontId="125" fillId="0" borderId="2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168" fontId="14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right" vertical="center"/>
    </xf>
    <xf numFmtId="2" fontId="48" fillId="0" borderId="0" xfId="0" applyNumberFormat="1" applyFont="1" applyFill="1" applyBorder="1" applyAlignment="1">
      <alignment horizontal="center" vertical="center"/>
    </xf>
    <xf numFmtId="0" fontId="14" fillId="34" borderId="0" xfId="0" applyFont="1" applyFill="1" applyBorder="1" applyAlignment="1">
      <alignment horizontal="left" vertical="center"/>
    </xf>
    <xf numFmtId="0" fontId="16" fillId="34" borderId="0" xfId="136" applyNumberFormat="1" applyFont="1" applyFill="1" applyBorder="1" applyAlignment="1">
      <alignment horizontal="center" vertical="center"/>
    </xf>
    <xf numFmtId="2" fontId="48" fillId="34" borderId="0" xfId="0" applyNumberFormat="1" applyFont="1" applyFill="1" applyBorder="1" applyAlignment="1">
      <alignment horizontal="center" vertical="center"/>
    </xf>
    <xf numFmtId="164" fontId="16" fillId="0" borderId="0" xfId="0" applyNumberFormat="1" applyFont="1" applyAlignment="1"/>
    <xf numFmtId="164" fontId="16" fillId="0" borderId="0" xfId="0" applyNumberFormat="1" applyFont="1" applyFill="1" applyBorder="1" applyAlignment="1"/>
    <xf numFmtId="0" fontId="109" fillId="0" borderId="0" xfId="0" applyFont="1" applyFill="1" applyBorder="1" applyAlignment="1">
      <alignment horizontal="center"/>
    </xf>
    <xf numFmtId="0" fontId="16" fillId="34" borderId="0" xfId="0" applyFont="1" applyFill="1" applyBorder="1" applyAlignment="1"/>
    <xf numFmtId="0" fontId="119" fillId="0" borderId="0" xfId="0" applyFont="1" applyFill="1" applyBorder="1" applyAlignment="1">
      <alignment horizontal="center"/>
    </xf>
    <xf numFmtId="164" fontId="119" fillId="0" borderId="0" xfId="0" applyNumberFormat="1" applyFont="1" applyFill="1" applyBorder="1" applyAlignment="1">
      <alignment horizontal="center"/>
    </xf>
    <xf numFmtId="0" fontId="41" fillId="0" borderId="0" xfId="0" applyFont="1" applyFill="1" applyBorder="1" applyAlignment="1">
      <alignment vertical="center"/>
    </xf>
    <xf numFmtId="0" fontId="16" fillId="0" borderId="0" xfId="0" applyNumberFormat="1" applyFont="1" applyFill="1" applyBorder="1" applyAlignment="1">
      <alignment horizontal="center" vertical="center"/>
    </xf>
    <xf numFmtId="167" fontId="16" fillId="34" borderId="6" xfId="0" applyNumberFormat="1" applyFont="1" applyFill="1" applyBorder="1" applyAlignment="1">
      <alignment horizontal="center" vertical="center"/>
    </xf>
    <xf numFmtId="49" fontId="16" fillId="34" borderId="0" xfId="0" applyNumberFormat="1" applyFont="1" applyFill="1" applyBorder="1" applyAlignment="1">
      <alignment horizontal="center" vertical="center"/>
    </xf>
    <xf numFmtId="0" fontId="16" fillId="34" borderId="0" xfId="0" applyNumberFormat="1" applyFont="1" applyFill="1" applyBorder="1" applyAlignment="1">
      <alignment horizontal="center" vertical="center"/>
    </xf>
    <xf numFmtId="170" fontId="16" fillId="34" borderId="0" xfId="0" applyNumberFormat="1" applyFont="1" applyFill="1" applyBorder="1" applyAlignment="1">
      <alignment horizontal="center" vertical="center"/>
    </xf>
    <xf numFmtId="170" fontId="16" fillId="34" borderId="6" xfId="0" applyNumberFormat="1" applyFont="1" applyFill="1" applyBorder="1" applyAlignment="1">
      <alignment horizontal="center" vertical="center"/>
    </xf>
    <xf numFmtId="49" fontId="16" fillId="34" borderId="6" xfId="0" applyNumberFormat="1" applyFont="1" applyFill="1" applyBorder="1" applyAlignment="1">
      <alignment horizontal="center" vertical="center"/>
    </xf>
    <xf numFmtId="0" fontId="122" fillId="0" borderId="0" xfId="0" applyFont="1" applyFill="1" applyBorder="1" applyAlignment="1">
      <alignment vertical="center"/>
    </xf>
    <xf numFmtId="2" fontId="126" fillId="0" borderId="0" xfId="198" applyNumberFormat="1" applyFont="1" applyFill="1" applyBorder="1" applyAlignment="1">
      <alignment horizontal="center"/>
    </xf>
    <xf numFmtId="0" fontId="16" fillId="34" borderId="0" xfId="196" applyFont="1" applyFill="1" applyBorder="1" applyAlignment="1">
      <alignment horizontal="left" vertical="center"/>
    </xf>
    <xf numFmtId="2" fontId="14" fillId="34" borderId="0" xfId="0" applyNumberFormat="1" applyFont="1" applyFill="1" applyBorder="1" applyAlignment="1">
      <alignment horizontal="center" vertical="center"/>
    </xf>
    <xf numFmtId="2" fontId="14" fillId="0" borderId="0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horizontal="right" wrapText="1"/>
    </xf>
    <xf numFmtId="0" fontId="21" fillId="0" borderId="0" xfId="0" applyFont="1" applyBorder="1" applyAlignment="1">
      <alignment wrapText="1"/>
    </xf>
    <xf numFmtId="0" fontId="130" fillId="0" borderId="0" xfId="0" applyFont="1" applyBorder="1"/>
    <xf numFmtId="0" fontId="131" fillId="0" borderId="0" xfId="0" applyFont="1" applyFill="1" applyBorder="1" applyAlignment="1">
      <alignment horizontal="left" wrapText="1"/>
    </xf>
    <xf numFmtId="173" fontId="8" fillId="0" borderId="0" xfId="0" applyNumberFormat="1" applyFont="1" applyBorder="1"/>
    <xf numFmtId="2" fontId="0" fillId="0" borderId="0" xfId="0" applyNumberFormat="1"/>
    <xf numFmtId="0" fontId="24" fillId="34" borderId="0" xfId="196" applyFont="1" applyFill="1" applyBorder="1" applyAlignment="1">
      <alignment horizontal="left" vertical="center"/>
    </xf>
    <xf numFmtId="165" fontId="16" fillId="0" borderId="0" xfId="0" applyNumberFormat="1" applyFont="1"/>
    <xf numFmtId="167" fontId="16" fillId="34" borderId="0" xfId="0" applyNumberFormat="1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top"/>
    </xf>
    <xf numFmtId="0" fontId="14" fillId="0" borderId="0" xfId="0" applyFont="1" applyBorder="1" applyAlignment="1">
      <alignment horizontal="right" vertical="center" wrapText="1"/>
    </xf>
    <xf numFmtId="1" fontId="15" fillId="0" borderId="0" xfId="0" applyNumberFormat="1" applyFont="1"/>
    <xf numFmtId="0" fontId="18" fillId="34" borderId="0" xfId="0" applyFont="1" applyFill="1" applyBorder="1" applyAlignment="1">
      <alignment horizontal="left" vertical="center"/>
    </xf>
    <xf numFmtId="2" fontId="118" fillId="34" borderId="0" xfId="0" applyNumberFormat="1" applyFont="1" applyFill="1" applyBorder="1" applyAlignment="1">
      <alignment horizontal="center" vertical="center" wrapText="1"/>
    </xf>
    <xf numFmtId="2" fontId="119" fillId="0" borderId="0" xfId="0" applyNumberFormat="1" applyFont="1" applyFill="1" applyBorder="1" applyAlignment="1">
      <alignment horizontal="center" vertical="center" wrapText="1"/>
    </xf>
    <xf numFmtId="1" fontId="118" fillId="0" borderId="0" xfId="0" applyNumberFormat="1" applyFont="1" applyFill="1" applyBorder="1" applyAlignment="1">
      <alignment horizontal="center" vertical="center" wrapText="1"/>
    </xf>
    <xf numFmtId="164" fontId="15" fillId="0" borderId="0" xfId="0" applyNumberFormat="1" applyFont="1" applyFill="1"/>
    <xf numFmtId="0" fontId="79" fillId="0" borderId="0" xfId="0" applyFont="1" applyAlignment="1">
      <alignment horizontal="left"/>
    </xf>
    <xf numFmtId="0" fontId="17" fillId="0" borderId="0" xfId="0" applyFont="1" applyFill="1" applyAlignment="1">
      <alignment vertical="center"/>
    </xf>
    <xf numFmtId="0" fontId="20" fillId="0" borderId="16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2" fontId="26" fillId="0" borderId="0" xfId="0" applyNumberFormat="1" applyFont="1"/>
    <xf numFmtId="2" fontId="16" fillId="0" borderId="0" xfId="0" applyNumberFormat="1" applyFont="1" applyAlignment="1">
      <alignment horizontal="right"/>
    </xf>
    <xf numFmtId="0" fontId="27" fillId="0" borderId="16" xfId="0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 wrapText="1"/>
    </xf>
    <xf numFmtId="2" fontId="16" fillId="0" borderId="0" xfId="0" applyNumberFormat="1" applyFont="1" applyBorder="1" applyAlignment="1">
      <alignment horizontal="right"/>
    </xf>
    <xf numFmtId="2" fontId="16" fillId="0" borderId="0" xfId="0" applyNumberFormat="1" applyFont="1" applyFill="1" applyBorder="1" applyAlignment="1">
      <alignment horizontal="right"/>
    </xf>
    <xf numFmtId="0" fontId="15" fillId="0" borderId="0" xfId="0" applyFont="1" applyFill="1" applyBorder="1" applyAlignment="1">
      <alignment vertical="top" wrapText="1"/>
    </xf>
    <xf numFmtId="0" fontId="34" fillId="0" borderId="0" xfId="0" applyFont="1" applyBorder="1" applyAlignment="1">
      <alignment horizontal="left"/>
    </xf>
    <xf numFmtId="164" fontId="16" fillId="34" borderId="0" xfId="0" applyNumberFormat="1" applyFont="1" applyFill="1" applyAlignment="1">
      <alignment horizontal="center"/>
    </xf>
    <xf numFmtId="164" fontId="14" fillId="34" borderId="0" xfId="0" applyNumberFormat="1" applyFont="1" applyFill="1" applyBorder="1" applyAlignment="1">
      <alignment horizontal="center" wrapText="1"/>
    </xf>
    <xf numFmtId="0" fontId="9" fillId="0" borderId="0" xfId="0" applyFont="1" applyFill="1" applyBorder="1" applyAlignment="1">
      <alignment vertical="center"/>
    </xf>
    <xf numFmtId="2" fontId="41" fillId="0" borderId="0" xfId="0" applyNumberFormat="1" applyFont="1" applyFill="1" applyBorder="1" applyAlignment="1">
      <alignment horizontal="center" vertical="center" wrapText="1"/>
    </xf>
    <xf numFmtId="1" fontId="48" fillId="34" borderId="0" xfId="0" applyNumberFormat="1" applyFont="1" applyFill="1" applyBorder="1" applyAlignment="1">
      <alignment horizontal="center" vertical="center"/>
    </xf>
    <xf numFmtId="0" fontId="26" fillId="0" borderId="0" xfId="202" applyFont="1" applyAlignment="1"/>
    <xf numFmtId="0" fontId="82" fillId="0" borderId="0" xfId="0" applyFont="1" applyFill="1" applyBorder="1" applyAlignment="1">
      <alignment wrapText="1"/>
    </xf>
    <xf numFmtId="0" fontId="15" fillId="0" borderId="0" xfId="0" applyFont="1" applyBorder="1" applyAlignment="1">
      <alignment wrapText="1"/>
    </xf>
    <xf numFmtId="0" fontId="14" fillId="0" borderId="0" xfId="0" applyFont="1" applyBorder="1" applyAlignment="1">
      <alignment vertical="center"/>
    </xf>
    <xf numFmtId="2" fontId="15" fillId="0" borderId="0" xfId="0" applyNumberFormat="1" applyFont="1" applyBorder="1" applyAlignment="1"/>
    <xf numFmtId="2" fontId="15" fillId="0" borderId="0" xfId="0" applyNumberFormat="1" applyFont="1" applyFill="1" applyBorder="1" applyAlignment="1"/>
    <xf numFmtId="0" fontId="16" fillId="0" borderId="0" xfId="0" applyFont="1" applyFill="1" applyBorder="1" applyAlignment="1">
      <alignment wrapText="1"/>
    </xf>
    <xf numFmtId="0" fontId="14" fillId="34" borderId="0" xfId="0" applyFont="1" applyFill="1" applyBorder="1"/>
    <xf numFmtId="0" fontId="14" fillId="34" borderId="0" xfId="0" applyFont="1" applyFill="1" applyBorder="1" applyAlignment="1">
      <alignment horizontal="right"/>
    </xf>
    <xf numFmtId="0" fontId="30" fillId="0" borderId="0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1" fontId="17" fillId="0" borderId="0" xfId="0" applyNumberFormat="1" applyFont="1" applyFill="1" applyBorder="1" applyAlignment="1">
      <alignment horizontal="center" vertical="center" wrapText="1"/>
    </xf>
    <xf numFmtId="2" fontId="136" fillId="0" borderId="0" xfId="0" applyNumberFormat="1" applyFont="1" applyBorder="1" applyAlignment="1">
      <alignment wrapText="1"/>
    </xf>
    <xf numFmtId="0" fontId="144" fillId="2" borderId="0" xfId="0" applyFont="1" applyFill="1" applyBorder="1"/>
    <xf numFmtId="0" fontId="145" fillId="0" borderId="0" xfId="0" applyFont="1" applyBorder="1" applyAlignment="1">
      <alignment wrapText="1"/>
    </xf>
    <xf numFmtId="0" fontId="146" fillId="0" borderId="10" xfId="0" applyFont="1" applyBorder="1" applyAlignment="1">
      <alignment vertical="top" wrapText="1"/>
    </xf>
    <xf numFmtId="0" fontId="145" fillId="0" borderId="0" xfId="0" applyFont="1" applyBorder="1"/>
    <xf numFmtId="0" fontId="145" fillId="2" borderId="10" xfId="0" applyFont="1" applyFill="1" applyBorder="1"/>
    <xf numFmtId="0" fontId="145" fillId="2" borderId="0" xfId="0" applyFont="1" applyFill="1" applyBorder="1"/>
    <xf numFmtId="0" fontId="145" fillId="2" borderId="11" xfId="0" applyFont="1" applyFill="1" applyBorder="1"/>
    <xf numFmtId="0" fontId="145" fillId="0" borderId="10" xfId="0" applyFont="1" applyBorder="1" applyAlignment="1">
      <alignment wrapText="1"/>
    </xf>
    <xf numFmtId="0" fontId="148" fillId="2" borderId="10" xfId="0" applyFont="1" applyFill="1" applyBorder="1"/>
    <xf numFmtId="0" fontId="70" fillId="2" borderId="0" xfId="0" applyFont="1" applyFill="1" applyBorder="1"/>
    <xf numFmtId="0" fontId="70" fillId="2" borderId="11" xfId="0" applyFont="1" applyFill="1" applyBorder="1"/>
    <xf numFmtId="0" fontId="149" fillId="2" borderId="0" xfId="0" applyFont="1" applyFill="1" applyBorder="1"/>
    <xf numFmtId="0" fontId="150" fillId="0" borderId="0" xfId="0" applyFont="1" applyBorder="1" applyAlignment="1">
      <alignment horizontal="center"/>
    </xf>
    <xf numFmtId="0" fontId="152" fillId="0" borderId="7" xfId="0" applyFont="1" applyFill="1" applyBorder="1"/>
    <xf numFmtId="0" fontId="152" fillId="0" borderId="8" xfId="0" applyFont="1" applyFill="1" applyBorder="1"/>
    <xf numFmtId="0" fontId="152" fillId="0" borderId="9" xfId="0" applyFont="1" applyFill="1" applyBorder="1"/>
    <xf numFmtId="0" fontId="153" fillId="2" borderId="10" xfId="0" applyFont="1" applyFill="1" applyBorder="1"/>
    <xf numFmtId="0" fontId="153" fillId="2" borderId="0" xfId="0" applyFont="1" applyFill="1" applyBorder="1"/>
    <xf numFmtId="0" fontId="153" fillId="2" borderId="11" xfId="0" applyFont="1" applyFill="1" applyBorder="1"/>
    <xf numFmtId="0" fontId="152" fillId="2" borderId="10" xfId="0" applyFont="1" applyFill="1" applyBorder="1"/>
    <xf numFmtId="0" fontId="152" fillId="2" borderId="0" xfId="0" applyFont="1" applyFill="1" applyBorder="1"/>
    <xf numFmtId="0" fontId="152" fillId="2" borderId="11" xfId="0" applyFont="1" applyFill="1" applyBorder="1"/>
    <xf numFmtId="2" fontId="18" fillId="0" borderId="0" xfId="0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vertical="justify" wrapText="1"/>
    </xf>
    <xf numFmtId="0" fontId="30" fillId="0" borderId="2" xfId="0" applyFont="1" applyFill="1" applyBorder="1" applyAlignment="1">
      <alignment horizontal="center" vertical="top" wrapText="1"/>
    </xf>
    <xf numFmtId="0" fontId="34" fillId="0" borderId="0" xfId="0" applyFont="1" applyBorder="1" applyAlignment="1"/>
    <xf numFmtId="0" fontId="20" fillId="0" borderId="0" xfId="0" applyFont="1" applyBorder="1" applyAlignment="1"/>
    <xf numFmtId="0" fontId="16" fillId="34" borderId="0" xfId="0" applyFont="1" applyFill="1"/>
    <xf numFmtId="0" fontId="123" fillId="0" borderId="0" xfId="232" applyFont="1" applyBorder="1"/>
    <xf numFmtId="0" fontId="123" fillId="0" borderId="0" xfId="232" applyFont="1"/>
    <xf numFmtId="0" fontId="154" fillId="0" borderId="0" xfId="0" applyFont="1" applyBorder="1" applyAlignment="1">
      <alignment wrapText="1"/>
    </xf>
    <xf numFmtId="0" fontId="155" fillId="0" borderId="0" xfId="0" applyFont="1"/>
    <xf numFmtId="0" fontId="156" fillId="0" borderId="0" xfId="0" applyFont="1" applyAlignment="1">
      <alignment horizontal="left"/>
    </xf>
    <xf numFmtId="0" fontId="157" fillId="0" borderId="0" xfId="0" applyFont="1" applyBorder="1" applyAlignment="1">
      <alignment wrapText="1"/>
    </xf>
    <xf numFmtId="0" fontId="48" fillId="0" borderId="0" xfId="0" applyFont="1" applyAlignment="1"/>
    <xf numFmtId="0" fontId="158" fillId="0" borderId="0" xfId="232" applyFont="1" applyAlignment="1"/>
    <xf numFmtId="0" fontId="122" fillId="0" borderId="2" xfId="0" applyFont="1" applyBorder="1" applyAlignment="1">
      <alignment horizontal="center" vertical="center" wrapText="1"/>
    </xf>
    <xf numFmtId="0" fontId="109" fillId="0" borderId="0" xfId="0" applyFont="1"/>
    <xf numFmtId="2" fontId="39" fillId="0" borderId="6" xfId="0" applyNumberFormat="1" applyFont="1" applyFill="1" applyBorder="1" applyAlignment="1">
      <alignment horizontal="center" vertical="center" wrapText="1"/>
    </xf>
    <xf numFmtId="2" fontId="39" fillId="34" borderId="0" xfId="0" applyNumberFormat="1" applyFont="1" applyFill="1" applyBorder="1" applyAlignment="1">
      <alignment horizontal="center" vertical="center" wrapText="1"/>
    </xf>
    <xf numFmtId="0" fontId="39" fillId="0" borderId="0" xfId="0" applyFont="1" applyBorder="1" applyAlignment="1"/>
    <xf numFmtId="0" fontId="14" fillId="34" borderId="0" xfId="0" applyFont="1" applyFill="1" applyBorder="1" applyAlignment="1">
      <alignment horizontal="center" vertical="center" wrapText="1"/>
    </xf>
    <xf numFmtId="2" fontId="16" fillId="0" borderId="6" xfId="0" applyNumberFormat="1" applyFont="1" applyFill="1" applyBorder="1" applyAlignment="1">
      <alignment horizontal="center" vertical="center"/>
    </xf>
    <xf numFmtId="0" fontId="158" fillId="0" borderId="0" xfId="0" applyFont="1" applyAlignment="1"/>
    <xf numFmtId="0" fontId="16" fillId="0" borderId="0" xfId="136" applyNumberFormat="1" applyFont="1" applyFill="1" applyBorder="1" applyAlignment="1">
      <alignment horizontal="center"/>
    </xf>
    <xf numFmtId="2" fontId="16" fillId="0" borderId="0" xfId="136" applyNumberFormat="1" applyFont="1" applyFill="1" applyBorder="1" applyAlignment="1">
      <alignment horizontal="center"/>
    </xf>
    <xf numFmtId="0" fontId="117" fillId="34" borderId="0" xfId="0" applyFont="1" applyFill="1" applyBorder="1" applyAlignment="1">
      <alignment vertical="center" wrapText="1"/>
    </xf>
    <xf numFmtId="0" fontId="17" fillId="34" borderId="0" xfId="0" applyFont="1" applyFill="1" applyBorder="1" applyAlignment="1">
      <alignment horizontal="center" vertical="center"/>
    </xf>
    <xf numFmtId="0" fontId="30" fillId="34" borderId="0" xfId="0" applyFont="1" applyFill="1" applyBorder="1" applyAlignment="1">
      <alignment horizontal="center" vertical="center"/>
    </xf>
    <xf numFmtId="0" fontId="17" fillId="34" borderId="0" xfId="0" applyFont="1" applyFill="1" applyBorder="1" applyAlignment="1">
      <alignment horizontal="center" vertical="center" wrapText="1"/>
    </xf>
    <xf numFmtId="1" fontId="17" fillId="34" borderId="0" xfId="0" applyNumberFormat="1" applyFont="1" applyFill="1" applyBorder="1" applyAlignment="1">
      <alignment horizontal="center" vertical="center" wrapText="1"/>
    </xf>
    <xf numFmtId="2" fontId="14" fillId="0" borderId="0" xfId="0" applyNumberFormat="1" applyFont="1" applyBorder="1" applyAlignment="1">
      <alignment wrapText="1"/>
    </xf>
    <xf numFmtId="0" fontId="6" fillId="0" borderId="0" xfId="0" applyFont="1" applyAlignment="1">
      <alignment horizontal="center"/>
    </xf>
    <xf numFmtId="0" fontId="120" fillId="0" borderId="0" xfId="0" applyFont="1" applyBorder="1" applyAlignment="1">
      <alignment horizontal="center"/>
    </xf>
    <xf numFmtId="0" fontId="120" fillId="0" borderId="0" xfId="0" applyFont="1" applyBorder="1" applyAlignment="1">
      <alignment horizontal="center" vertical="center"/>
    </xf>
    <xf numFmtId="0" fontId="109" fillId="0" borderId="40" xfId="0" applyFont="1" applyBorder="1" applyAlignment="1">
      <alignment horizontal="center" vertical="center"/>
    </xf>
    <xf numFmtId="0" fontId="109" fillId="0" borderId="2" xfId="0" applyFont="1" applyBorder="1" applyAlignment="1">
      <alignment horizontal="center" vertical="center" wrapText="1"/>
    </xf>
    <xf numFmtId="0" fontId="109" fillId="34" borderId="2" xfId="0" applyFont="1" applyFill="1" applyBorder="1"/>
    <xf numFmtId="0" fontId="109" fillId="0" borderId="2" xfId="0" applyFont="1" applyBorder="1"/>
    <xf numFmtId="2" fontId="109" fillId="0" borderId="2" xfId="0" applyNumberFormat="1" applyFont="1" applyBorder="1" applyAlignment="1">
      <alignment horizontal="center" vertical="center"/>
    </xf>
    <xf numFmtId="2" fontId="109" fillId="34" borderId="2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/>
    <xf numFmtId="0" fontId="121" fillId="0" borderId="0" xfId="0" applyFont="1" applyBorder="1" applyAlignment="1"/>
    <xf numFmtId="0" fontId="109" fillId="0" borderId="43" xfId="0" applyFont="1" applyBorder="1" applyAlignment="1">
      <alignment horizontal="center" vertical="center" wrapText="1"/>
    </xf>
    <xf numFmtId="2" fontId="109" fillId="34" borderId="3" xfId="0" applyNumberFormat="1" applyFont="1" applyFill="1" applyBorder="1" applyAlignment="1">
      <alignment horizontal="center" vertical="center"/>
    </xf>
    <xf numFmtId="2" fontId="16" fillId="34" borderId="2" xfId="0" applyNumberFormat="1" applyFont="1" applyFill="1" applyBorder="1" applyAlignment="1">
      <alignment horizontal="center" vertical="center"/>
    </xf>
    <xf numFmtId="1" fontId="16" fillId="0" borderId="0" xfId="0" applyNumberFormat="1" applyFont="1"/>
    <xf numFmtId="2" fontId="109" fillId="0" borderId="2" xfId="0" applyNumberFormat="1" applyFont="1" applyFill="1" applyBorder="1" applyAlignment="1">
      <alignment horizontal="center" vertical="center"/>
    </xf>
    <xf numFmtId="0" fontId="14" fillId="34" borderId="0" xfId="0" applyFont="1" applyFill="1" applyBorder="1" applyAlignment="1">
      <alignment horizontal="center" vertical="center"/>
    </xf>
    <xf numFmtId="164" fontId="16" fillId="0" borderId="0" xfId="0" applyNumberFormat="1" applyFont="1" applyFill="1" applyBorder="1"/>
    <xf numFmtId="0" fontId="16" fillId="0" borderId="6" xfId="0" applyFont="1" applyFill="1" applyBorder="1" applyAlignment="1">
      <alignment horizontal="left" vertical="center" wrapText="1"/>
    </xf>
    <xf numFmtId="0" fontId="39" fillId="0" borderId="2" xfId="0" applyFont="1" applyBorder="1" applyAlignment="1">
      <alignment horizontal="center" vertical="center" wrapText="1"/>
    </xf>
    <xf numFmtId="0" fontId="26" fillId="0" borderId="0" xfId="0" applyFont="1" applyAlignment="1">
      <alignment horizontal="right" vertical="top"/>
    </xf>
    <xf numFmtId="0" fontId="26" fillId="34" borderId="0" xfId="0" applyFont="1" applyFill="1" applyAlignment="1">
      <alignment horizontal="right" vertical="top"/>
    </xf>
    <xf numFmtId="0" fontId="26" fillId="34" borderId="0" xfId="0" applyFont="1" applyFill="1" applyBorder="1" applyAlignment="1">
      <alignment horizontal="left" vertical="center" wrapText="1"/>
    </xf>
    <xf numFmtId="0" fontId="15" fillId="34" borderId="0" xfId="0" applyFont="1" applyFill="1"/>
    <xf numFmtId="0" fontId="16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right" vertical="top"/>
    </xf>
    <xf numFmtId="0" fontId="25" fillId="0" borderId="0" xfId="0" applyFont="1" applyBorder="1" applyAlignment="1">
      <alignment horizontal="left" vertical="top" wrapText="1"/>
    </xf>
    <xf numFmtId="0" fontId="35" fillId="0" borderId="0" xfId="0" applyFont="1" applyBorder="1" applyAlignment="1">
      <alignment horizontal="left" vertical="top" wrapText="1"/>
    </xf>
    <xf numFmtId="0" fontId="24" fillId="34" borderId="0" xfId="0" applyFont="1" applyFill="1" applyAlignment="1">
      <alignment horizontal="right" vertical="top"/>
    </xf>
    <xf numFmtId="0" fontId="39" fillId="0" borderId="6" xfId="0" applyFont="1" applyFill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0" fontId="26" fillId="0" borderId="0" xfId="0" applyFont="1" applyAlignment="1">
      <alignment horizontal="center"/>
    </xf>
    <xf numFmtId="1" fontId="48" fillId="0" borderId="0" xfId="0" applyNumberFormat="1" applyFont="1" applyFill="1" applyBorder="1" applyAlignment="1">
      <alignment horizontal="center" vertical="center"/>
    </xf>
    <xf numFmtId="0" fontId="24" fillId="0" borderId="0" xfId="196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center"/>
    </xf>
    <xf numFmtId="2" fontId="16" fillId="0" borderId="2" xfId="0" applyNumberFormat="1" applyFont="1" applyFill="1" applyBorder="1" applyAlignment="1">
      <alignment horizontal="center" vertical="center"/>
    </xf>
    <xf numFmtId="2" fontId="39" fillId="0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0" borderId="0" xfId="0" applyFont="1" applyFill="1" applyBorder="1"/>
    <xf numFmtId="0" fontId="4" fillId="0" borderId="0" xfId="0" applyFont="1"/>
    <xf numFmtId="0" fontId="4" fillId="2" borderId="0" xfId="0" applyFont="1" applyFill="1" applyBorder="1"/>
    <xf numFmtId="0" fontId="4" fillId="0" borderId="0" xfId="0" applyFont="1" applyBorder="1"/>
    <xf numFmtId="0" fontId="4" fillId="0" borderId="0" xfId="0" applyFont="1" applyFill="1"/>
    <xf numFmtId="2" fontId="39" fillId="0" borderId="0" xfId="0" applyNumberFormat="1" applyFont="1" applyFill="1" applyBorder="1" applyAlignment="1">
      <alignment horizontal="center"/>
    </xf>
    <xf numFmtId="0" fontId="16" fillId="0" borderId="0" xfId="0" applyFont="1" applyAlignment="1">
      <alignment vertical="center" wrapText="1"/>
    </xf>
    <xf numFmtId="0" fontId="15" fillId="0" borderId="0" xfId="0" applyFont="1" applyBorder="1" applyAlignment="1">
      <alignment vertical="top" wrapText="1"/>
    </xf>
    <xf numFmtId="0" fontId="48" fillId="0" borderId="0" xfId="0" applyFont="1" applyFill="1" applyBorder="1"/>
    <xf numFmtId="0" fontId="20" fillId="0" borderId="0" xfId="0" applyFont="1" applyBorder="1" applyAlignment="1">
      <alignment vertical="top" wrapText="1"/>
    </xf>
    <xf numFmtId="2" fontId="16" fillId="34" borderId="0" xfId="136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 wrapText="1"/>
    </xf>
    <xf numFmtId="1" fontId="16" fillId="0" borderId="0" xfId="0" applyNumberFormat="1" applyFont="1" applyBorder="1"/>
    <xf numFmtId="1" fontId="117" fillId="0" borderId="0" xfId="0" applyNumberFormat="1" applyFont="1" applyFill="1" applyBorder="1" applyAlignment="1">
      <alignment horizontal="center" vertical="center" wrapText="1"/>
    </xf>
    <xf numFmtId="0" fontId="16" fillId="34" borderId="6" xfId="0" applyFont="1" applyFill="1" applyBorder="1" applyAlignment="1">
      <alignment horizontal="center" vertical="center"/>
    </xf>
    <xf numFmtId="1" fontId="15" fillId="0" borderId="0" xfId="0" applyNumberFormat="1" applyFont="1" applyFill="1" applyBorder="1" applyAlignment="1">
      <alignment vertical="center"/>
    </xf>
    <xf numFmtId="1" fontId="15" fillId="0" borderId="0" xfId="0" applyNumberFormat="1" applyFont="1" applyFill="1" applyBorder="1" applyAlignment="1">
      <alignment horizontal="center" vertical="center"/>
    </xf>
    <xf numFmtId="2" fontId="39" fillId="34" borderId="0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24" fillId="0" borderId="0" xfId="0" applyFont="1" applyBorder="1" applyAlignment="1">
      <alignment horizontal="center" wrapText="1"/>
    </xf>
    <xf numFmtId="0" fontId="24" fillId="0" borderId="0" xfId="0" applyFont="1" applyBorder="1" applyAlignment="1">
      <alignment wrapText="1"/>
    </xf>
    <xf numFmtId="0" fontId="28" fillId="0" borderId="0" xfId="0" applyFont="1" applyAlignment="1">
      <alignment vertical="center"/>
    </xf>
    <xf numFmtId="0" fontId="15" fillId="0" borderId="0" xfId="0" applyFont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43" fontId="4" fillId="0" borderId="0" xfId="0" applyNumberFormat="1" applyFont="1" applyFill="1"/>
    <xf numFmtId="0" fontId="15" fillId="0" borderId="0" xfId="0" applyFont="1" applyAlignment="1">
      <alignment wrapText="1"/>
    </xf>
    <xf numFmtId="164" fontId="15" fillId="0" borderId="0" xfId="0" applyNumberFormat="1" applyFont="1"/>
    <xf numFmtId="1" fontId="16" fillId="0" borderId="0" xfId="0" applyNumberFormat="1" applyFont="1" applyFill="1"/>
    <xf numFmtId="1" fontId="14" fillId="0" borderId="0" xfId="0" applyNumberFormat="1" applyFont="1" applyFill="1"/>
    <xf numFmtId="0" fontId="161" fillId="0" borderId="0" xfId="173" applyFont="1" applyAlignment="1" applyProtection="1"/>
    <xf numFmtId="0" fontId="16" fillId="0" borderId="2" xfId="0" quotePrefix="1" applyFont="1" applyBorder="1" applyAlignment="1">
      <alignment horizontal="center" vertical="center" wrapText="1"/>
    </xf>
    <xf numFmtId="0" fontId="30" fillId="0" borderId="2" xfId="196" applyFont="1" applyFill="1" applyBorder="1" applyAlignment="1">
      <alignment horizontal="center" vertical="center" wrapText="1"/>
    </xf>
    <xf numFmtId="171" fontId="109" fillId="34" borderId="0" xfId="0" applyNumberFormat="1" applyFont="1" applyFill="1" applyBorder="1" applyAlignment="1">
      <alignment horizontal="center" vertical="center" wrapText="1"/>
    </xf>
    <xf numFmtId="0" fontId="18" fillId="34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2" fontId="41" fillId="34" borderId="0" xfId="0" applyNumberFormat="1" applyFont="1" applyFill="1" applyBorder="1" applyAlignment="1">
      <alignment horizontal="center" vertical="center" wrapText="1"/>
    </xf>
    <xf numFmtId="0" fontId="151" fillId="0" borderId="0" xfId="0" applyFont="1" applyBorder="1" applyAlignment="1"/>
    <xf numFmtId="0" fontId="144" fillId="2" borderId="0" xfId="0" applyFont="1" applyFill="1" applyBorder="1" applyAlignment="1">
      <alignment wrapText="1"/>
    </xf>
    <xf numFmtId="0" fontId="151" fillId="0" borderId="0" xfId="0" applyFont="1" applyBorder="1" applyAlignment="1">
      <alignment horizontal="left" vertical="center"/>
    </xf>
    <xf numFmtId="0" fontId="151" fillId="2" borderId="0" xfId="0" applyFont="1" applyFill="1" applyBorder="1" applyAlignment="1">
      <alignment horizontal="left" vertical="center"/>
    </xf>
    <xf numFmtId="0" fontId="146" fillId="0" borderId="0" xfId="0" applyFont="1" applyBorder="1" applyAlignment="1">
      <alignment horizontal="left" wrapText="1"/>
    </xf>
    <xf numFmtId="0" fontId="146" fillId="0" borderId="11" xfId="0" applyFont="1" applyBorder="1" applyAlignment="1">
      <alignment horizontal="left" wrapText="1"/>
    </xf>
    <xf numFmtId="0" fontId="145" fillId="2" borderId="0" xfId="0" applyFont="1" applyFill="1" applyBorder="1" applyAlignment="1">
      <alignment horizontal="left"/>
    </xf>
    <xf numFmtId="0" fontId="145" fillId="2" borderId="11" xfId="0" applyFont="1" applyFill="1" applyBorder="1" applyAlignment="1">
      <alignment horizontal="left"/>
    </xf>
    <xf numFmtId="2" fontId="14" fillId="0" borderId="0" xfId="0" applyNumberFormat="1" applyFont="1" applyFill="1" applyBorder="1"/>
    <xf numFmtId="1" fontId="15" fillId="0" borderId="0" xfId="0" applyNumberFormat="1" applyFont="1" applyFill="1" applyBorder="1" applyAlignment="1"/>
    <xf numFmtId="0" fontId="39" fillId="34" borderId="0" xfId="0" applyFont="1" applyFill="1" applyBorder="1" applyAlignment="1">
      <alignment horizontal="center" vertical="center" wrapText="1"/>
    </xf>
    <xf numFmtId="0" fontId="123" fillId="0" borderId="0" xfId="0" applyFont="1" applyFill="1" applyBorder="1" applyAlignment="1">
      <alignment horizontal="center" vertical="center"/>
    </xf>
    <xf numFmtId="1" fontId="15" fillId="0" borderId="0" xfId="0" applyNumberFormat="1" applyFont="1" applyFill="1"/>
    <xf numFmtId="0" fontId="16" fillId="34" borderId="6" xfId="0" applyFont="1" applyFill="1" applyBorder="1" applyAlignment="1">
      <alignment horizontal="left" vertical="center"/>
    </xf>
    <xf numFmtId="0" fontId="16" fillId="34" borderId="6" xfId="0" applyFont="1" applyFill="1" applyBorder="1" applyAlignment="1">
      <alignment horizontal="right" vertical="center"/>
    </xf>
    <xf numFmtId="0" fontId="16" fillId="34" borderId="0" xfId="0" applyFont="1" applyFill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wrapText="1"/>
    </xf>
    <xf numFmtId="0" fontId="123" fillId="34" borderId="0" xfId="0" applyFont="1" applyFill="1" applyBorder="1" applyAlignment="1">
      <alignment horizontal="left" vertical="center"/>
    </xf>
    <xf numFmtId="0" fontId="123" fillId="0" borderId="0" xfId="0" applyFont="1" applyFill="1" applyBorder="1" applyAlignment="1">
      <alignment horizontal="left" vertical="center"/>
    </xf>
    <xf numFmtId="0" fontId="123" fillId="0" borderId="0" xfId="0" applyFont="1" applyFill="1" applyAlignment="1">
      <alignment horizontal="center" vertical="center"/>
    </xf>
    <xf numFmtId="1" fontId="16" fillId="0" borderId="0" xfId="0" applyNumberFormat="1" applyFont="1" applyFill="1" applyBorder="1"/>
    <xf numFmtId="49" fontId="16" fillId="0" borderId="0" xfId="0" applyNumberFormat="1" applyFont="1" applyAlignment="1">
      <alignment vertical="center"/>
    </xf>
    <xf numFmtId="2" fontId="16" fillId="0" borderId="0" xfId="0" applyNumberFormat="1" applyFont="1" applyAlignment="1">
      <alignment vertical="center"/>
    </xf>
    <xf numFmtId="49" fontId="16" fillId="0" borderId="0" xfId="0" applyNumberFormat="1" applyFont="1" applyBorder="1" applyAlignment="1">
      <alignment vertical="center"/>
    </xf>
    <xf numFmtId="2" fontId="16" fillId="0" borderId="0" xfId="0" applyNumberFormat="1" applyFont="1" applyBorder="1" applyAlignment="1">
      <alignment vertical="center"/>
    </xf>
    <xf numFmtId="49" fontId="16" fillId="0" borderId="0" xfId="0" applyNumberFormat="1" applyFont="1" applyFill="1" applyBorder="1" applyAlignment="1">
      <alignment vertical="center"/>
    </xf>
    <xf numFmtId="0" fontId="16" fillId="34" borderId="6" xfId="0" applyFont="1" applyFill="1" applyBorder="1" applyAlignment="1">
      <alignment vertical="center"/>
    </xf>
    <xf numFmtId="0" fontId="144" fillId="0" borderId="0" xfId="0" applyFont="1" applyFill="1" applyBorder="1" applyAlignment="1">
      <alignment wrapText="1"/>
    </xf>
    <xf numFmtId="1" fontId="117" fillId="34" borderId="0" xfId="0" applyNumberFormat="1" applyFont="1" applyFill="1" applyBorder="1" applyAlignment="1">
      <alignment horizontal="center" vertical="center" wrapText="1"/>
    </xf>
    <xf numFmtId="0" fontId="161" fillId="0" borderId="0" xfId="173" applyFont="1" applyFill="1" applyAlignment="1" applyProtection="1"/>
    <xf numFmtId="2" fontId="20" fillId="0" borderId="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2" fontId="16" fillId="0" borderId="0" xfId="196" applyNumberFormat="1" applyFont="1" applyAlignment="1">
      <alignment horizontal="center" vertical="center" wrapText="1"/>
    </xf>
    <xf numFmtId="2" fontId="16" fillId="0" borderId="0" xfId="196" applyNumberFormat="1" applyFont="1" applyFill="1" applyAlignment="1">
      <alignment horizontal="center" vertical="center" wrapText="1"/>
    </xf>
    <xf numFmtId="2" fontId="16" fillId="34" borderId="0" xfId="196" applyNumberFormat="1" applyFont="1" applyFill="1" applyBorder="1" applyAlignment="1">
      <alignment horizontal="center" vertical="center" wrapText="1"/>
    </xf>
    <xf numFmtId="2" fontId="14" fillId="34" borderId="0" xfId="0" applyNumberFormat="1" applyFont="1" applyFill="1" applyAlignment="1">
      <alignment horizontal="center" vertical="center" wrapText="1"/>
    </xf>
    <xf numFmtId="2" fontId="24" fillId="0" borderId="0" xfId="196" applyNumberFormat="1" applyFont="1" applyFill="1" applyBorder="1" applyAlignment="1">
      <alignment horizontal="center" vertical="center" wrapText="1"/>
    </xf>
    <xf numFmtId="2" fontId="16" fillId="0" borderId="0" xfId="196" applyNumberFormat="1" applyFont="1" applyFill="1" applyBorder="1" applyAlignment="1">
      <alignment horizontal="center" vertical="center" wrapText="1"/>
    </xf>
    <xf numFmtId="2" fontId="24" fillId="34" borderId="0" xfId="196" applyNumberFormat="1" applyFont="1" applyFill="1" applyBorder="1" applyAlignment="1">
      <alignment horizontal="center" vertical="center" wrapText="1"/>
    </xf>
    <xf numFmtId="2" fontId="18" fillId="34" borderId="0" xfId="0" applyNumberFormat="1" applyFont="1" applyFill="1" applyAlignment="1">
      <alignment horizontal="center" vertical="center" wrapText="1"/>
    </xf>
    <xf numFmtId="2" fontId="18" fillId="0" borderId="0" xfId="0" applyNumberFormat="1" applyFont="1" applyFill="1" applyAlignment="1">
      <alignment horizontal="center" vertical="center" wrapText="1"/>
    </xf>
    <xf numFmtId="1" fontId="18" fillId="0" borderId="0" xfId="0" applyNumberFormat="1" applyFont="1" applyFill="1" applyBorder="1" applyAlignment="1">
      <alignment horizontal="center" vertical="center" wrapText="1"/>
    </xf>
    <xf numFmtId="1" fontId="18" fillId="34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/>
    </xf>
    <xf numFmtId="0" fontId="39" fillId="34" borderId="0" xfId="0" applyFont="1" applyFill="1" applyBorder="1" applyAlignment="1">
      <alignment horizontal="left" vertical="top" wrapText="1"/>
    </xf>
    <xf numFmtId="0" fontId="39" fillId="35" borderId="0" xfId="0" applyFont="1" applyFill="1" applyBorder="1" applyAlignment="1">
      <alignment horizontal="left" vertical="top" wrapText="1"/>
    </xf>
    <xf numFmtId="1" fontId="39" fillId="34" borderId="0" xfId="0" applyNumberFormat="1" applyFont="1" applyFill="1" applyBorder="1" applyAlignment="1">
      <alignment horizontal="center"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2" fontId="40" fillId="34" borderId="0" xfId="0" applyNumberFormat="1" applyFont="1" applyFill="1" applyBorder="1" applyAlignment="1">
      <alignment horizontal="center" vertical="center" wrapText="1"/>
    </xf>
    <xf numFmtId="1" fontId="40" fillId="34" borderId="0" xfId="0" applyNumberFormat="1" applyFont="1" applyFill="1" applyBorder="1" applyAlignment="1">
      <alignment horizontal="center" vertical="center" wrapText="1"/>
    </xf>
    <xf numFmtId="2" fontId="40" fillId="0" borderId="0" xfId="0" applyNumberFormat="1" applyFont="1" applyFill="1" applyBorder="1" applyAlignment="1">
      <alignment horizontal="center" vertical="center" wrapText="1"/>
    </xf>
    <xf numFmtId="1" fontId="40" fillId="0" borderId="0" xfId="0" applyNumberFormat="1" applyFont="1" applyFill="1" applyBorder="1" applyAlignment="1">
      <alignment horizontal="center" vertical="center" wrapText="1"/>
    </xf>
    <xf numFmtId="4" fontId="39" fillId="34" borderId="0" xfId="0" applyNumberFormat="1" applyFont="1" applyFill="1" applyBorder="1" applyAlignment="1">
      <alignment horizontal="center" vertical="center" wrapText="1"/>
    </xf>
    <xf numFmtId="4" fontId="39" fillId="0" borderId="0" xfId="0" applyNumberFormat="1" applyFont="1" applyFill="1" applyBorder="1" applyAlignment="1">
      <alignment horizontal="center" vertical="center" wrapText="1"/>
    </xf>
    <xf numFmtId="0" fontId="16" fillId="0" borderId="0" xfId="136" applyNumberFormat="1" applyFont="1" applyFill="1" applyBorder="1" applyAlignment="1">
      <alignment horizontal="center" vertical="center"/>
    </xf>
    <xf numFmtId="2" fontId="16" fillId="0" borderId="0" xfId="136" applyNumberFormat="1" applyFont="1" applyFill="1" applyBorder="1" applyAlignment="1">
      <alignment horizontal="center" vertical="center"/>
    </xf>
    <xf numFmtId="0" fontId="16" fillId="34" borderId="0" xfId="0" applyFont="1" applyFill="1" applyBorder="1" applyAlignment="1">
      <alignment vertical="center" wrapText="1"/>
    </xf>
    <xf numFmtId="0" fontId="40" fillId="0" borderId="0" xfId="0" applyFont="1"/>
    <xf numFmtId="0" fontId="16" fillId="0" borderId="0" xfId="0" applyFont="1" applyBorder="1" applyAlignment="1">
      <alignment horizontal="center"/>
    </xf>
    <xf numFmtId="0" fontId="24" fillId="34" borderId="0" xfId="0" applyFont="1" applyFill="1" applyBorder="1" applyAlignment="1">
      <alignment horizontal="center" vertical="center" wrapText="1"/>
    </xf>
    <xf numFmtId="164" fontId="24" fillId="34" borderId="0" xfId="0" applyNumberFormat="1" applyFont="1" applyFill="1" applyBorder="1" applyAlignment="1">
      <alignment horizontal="center" vertical="center" wrapText="1"/>
    </xf>
    <xf numFmtId="3" fontId="39" fillId="0" borderId="0" xfId="0" applyNumberFormat="1" applyFont="1" applyFill="1" applyBorder="1" applyAlignment="1">
      <alignment horizontal="center" vertical="center" wrapText="1"/>
    </xf>
    <xf numFmtId="3" fontId="39" fillId="34" borderId="0" xfId="0" applyNumberFormat="1" applyFont="1" applyFill="1" applyBorder="1" applyAlignment="1">
      <alignment horizontal="center" vertical="center" wrapText="1"/>
    </xf>
    <xf numFmtId="2" fontId="41" fillId="34" borderId="6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2" fontId="109" fillId="34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wrapText="1"/>
    </xf>
    <xf numFmtId="0" fontId="24" fillId="0" borderId="0" xfId="0" applyFont="1" applyFill="1" applyBorder="1" applyAlignment="1">
      <alignment horizontal="center" vertical="center" wrapText="1"/>
    </xf>
    <xf numFmtId="1" fontId="8" fillId="0" borderId="0" xfId="0" applyNumberFormat="1" applyFont="1"/>
    <xf numFmtId="1" fontId="127" fillId="0" borderId="2" xfId="0" applyNumberFormat="1" applyFont="1" applyFill="1" applyBorder="1" applyAlignment="1">
      <alignment horizontal="center" vertical="center"/>
    </xf>
    <xf numFmtId="0" fontId="16" fillId="0" borderId="42" xfId="0" applyFont="1" applyBorder="1" applyAlignment="1">
      <alignment horizontal="center" vertical="center" wrapText="1"/>
    </xf>
    <xf numFmtId="0" fontId="28" fillId="0" borderId="0" xfId="0" applyFont="1" applyAlignment="1"/>
    <xf numFmtId="0" fontId="15" fillId="0" borderId="0" xfId="0" applyFont="1" applyBorder="1" applyAlignment="1">
      <alignment horizontal="center"/>
    </xf>
    <xf numFmtId="164" fontId="82" fillId="0" borderId="0" xfId="0" applyNumberFormat="1" applyFont="1"/>
    <xf numFmtId="1" fontId="34" fillId="0" borderId="0" xfId="0" applyNumberFormat="1" applyFont="1" applyBorder="1"/>
    <xf numFmtId="0" fontId="24" fillId="0" borderId="42" xfId="0" applyFont="1" applyFill="1" applyBorder="1" applyAlignment="1">
      <alignment horizontal="center" vertical="center" wrapText="1"/>
    </xf>
    <xf numFmtId="0" fontId="51" fillId="0" borderId="42" xfId="0" applyFont="1" applyFill="1" applyBorder="1" applyAlignment="1">
      <alignment horizontal="center" vertical="center" wrapText="1"/>
    </xf>
    <xf numFmtId="0" fontId="6" fillId="0" borderId="0" xfId="0" applyFont="1" applyFill="1"/>
    <xf numFmtId="0" fontId="8" fillId="0" borderId="0" xfId="0" applyFont="1" applyFill="1" applyAlignment="1">
      <alignment horizontal="center" vertical="center"/>
    </xf>
    <xf numFmtId="49" fontId="34" fillId="0" borderId="0" xfId="0" applyNumberFormat="1" applyFont="1"/>
    <xf numFmtId="1" fontId="34" fillId="0" borderId="0" xfId="0" applyNumberFormat="1" applyFont="1"/>
    <xf numFmtId="166" fontId="15" fillId="0" borderId="0" xfId="0" applyNumberFormat="1" applyFont="1"/>
    <xf numFmtId="0" fontId="82" fillId="0" borderId="0" xfId="0" applyFont="1" applyAlignment="1">
      <alignment horizontal="left" wrapText="1"/>
    </xf>
    <xf numFmtId="0" fontId="14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49" fontId="27" fillId="0" borderId="0" xfId="0" applyNumberFormat="1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4" fillId="34" borderId="0" xfId="0" applyFont="1" applyFill="1" applyBorder="1" applyAlignment="1">
      <alignment horizontal="left" vertical="center" wrapText="1"/>
    </xf>
    <xf numFmtId="0" fontId="28" fillId="0" borderId="0" xfId="0" applyFont="1" applyAlignment="1">
      <alignment horizontal="center" wrapText="1"/>
    </xf>
    <xf numFmtId="0" fontId="14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wrapText="1"/>
    </xf>
    <xf numFmtId="0" fontId="0" fillId="0" borderId="0" xfId="0" applyAlignment="1"/>
    <xf numFmtId="0" fontId="37" fillId="0" borderId="0" xfId="0" applyFont="1" applyBorder="1" applyAlignment="1">
      <alignment horizontal="right" wrapText="1"/>
    </xf>
    <xf numFmtId="0" fontId="20" fillId="0" borderId="2" xfId="0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4" fillId="0" borderId="0" xfId="0" applyFont="1" applyAlignment="1"/>
    <xf numFmtId="0" fontId="21" fillId="0" borderId="42" xfId="0" applyFont="1" applyFill="1" applyBorder="1" applyAlignment="1">
      <alignment horizontal="center" vertical="center" wrapText="1"/>
    </xf>
    <xf numFmtId="0" fontId="4" fillId="0" borderId="0" xfId="196" applyFont="1"/>
    <xf numFmtId="0" fontId="30" fillId="0" borderId="42" xfId="196" applyFont="1" applyBorder="1" applyAlignment="1">
      <alignment horizontal="center" vertical="center" wrapText="1"/>
    </xf>
    <xf numFmtId="2" fontId="18" fillId="34" borderId="0" xfId="0" applyNumberFormat="1" applyFont="1" applyFill="1" applyBorder="1" applyAlignment="1">
      <alignment horizontal="center" vertical="center"/>
    </xf>
    <xf numFmtId="0" fontId="20" fillId="0" borderId="42" xfId="0" applyFont="1" applyBorder="1" applyAlignment="1">
      <alignment horizontal="center" vertical="center" wrapText="1"/>
    </xf>
    <xf numFmtId="0" fontId="109" fillId="0" borderId="49" xfId="0" applyFont="1" applyBorder="1"/>
    <xf numFmtId="2" fontId="109" fillId="0" borderId="49" xfId="0" applyNumberFormat="1" applyFont="1" applyBorder="1" applyAlignment="1">
      <alignment horizontal="center" vertical="center"/>
    </xf>
    <xf numFmtId="164" fontId="15" fillId="0" borderId="0" xfId="0" applyNumberFormat="1" applyFont="1" applyFill="1" applyAlignment="1"/>
    <xf numFmtId="0" fontId="20" fillId="34" borderId="6" xfId="0" applyFont="1" applyFill="1" applyBorder="1" applyAlignment="1">
      <alignment horizontal="left" vertical="center" wrapText="1"/>
    </xf>
    <xf numFmtId="0" fontId="14" fillId="34" borderId="6" xfId="0" applyFont="1" applyFill="1" applyBorder="1" applyAlignment="1">
      <alignment horizontal="left" vertical="center" wrapText="1"/>
    </xf>
    <xf numFmtId="0" fontId="17" fillId="0" borderId="39" xfId="0" applyFont="1" applyBorder="1" applyAlignment="1">
      <alignment wrapText="1"/>
    </xf>
    <xf numFmtId="0" fontId="26" fillId="0" borderId="0" xfId="0" applyFont="1" applyBorder="1" applyAlignment="1">
      <alignment wrapText="1"/>
    </xf>
    <xf numFmtId="2" fontId="16" fillId="0" borderId="0" xfId="0" applyNumberFormat="1" applyFont="1" applyFill="1" applyBorder="1" applyAlignment="1">
      <alignment vertical="center" wrapText="1"/>
    </xf>
    <xf numFmtId="2" fontId="24" fillId="0" borderId="2" xfId="0" quotePrefix="1" applyNumberFormat="1" applyFont="1" applyFill="1" applyBorder="1" applyAlignment="1">
      <alignment horizontal="center" vertical="top"/>
    </xf>
    <xf numFmtId="164" fontId="117" fillId="0" borderId="0" xfId="0" applyNumberFormat="1" applyFont="1" applyFill="1" applyAlignment="1">
      <alignment horizontal="center"/>
    </xf>
    <xf numFmtId="0" fontId="24" fillId="34" borderId="0" xfId="0" applyFont="1" applyFill="1" applyBorder="1" applyAlignment="1">
      <alignment horizontal="left"/>
    </xf>
    <xf numFmtId="166" fontId="16" fillId="0" borderId="0" xfId="0" applyNumberFormat="1" applyFont="1" applyFill="1" applyBorder="1"/>
    <xf numFmtId="0" fontId="155" fillId="0" borderId="0" xfId="0" applyFont="1" applyAlignment="1">
      <alignment vertical="top" wrapText="1"/>
    </xf>
    <xf numFmtId="176" fontId="16" fillId="0" borderId="0" xfId="0" applyNumberFormat="1" applyFont="1" applyBorder="1"/>
    <xf numFmtId="2" fontId="45" fillId="0" borderId="0" xfId="0" applyNumberFormat="1" applyFont="1" applyBorder="1" applyAlignment="1">
      <alignment wrapText="1"/>
    </xf>
    <xf numFmtId="1" fontId="14" fillId="0" borderId="0" xfId="0" applyNumberFormat="1" applyFont="1" applyBorder="1" applyAlignment="1">
      <alignment wrapText="1"/>
    </xf>
    <xf numFmtId="0" fontId="16" fillId="0" borderId="0" xfId="0" applyFont="1" applyFill="1" applyBorder="1" applyAlignment="1">
      <alignment vertical="top"/>
    </xf>
    <xf numFmtId="164" fontId="117" fillId="34" borderId="0" xfId="0" applyNumberFormat="1" applyFont="1" applyFill="1" applyBorder="1" applyAlignment="1">
      <alignment horizontal="center"/>
    </xf>
    <xf numFmtId="164" fontId="117" fillId="0" borderId="0" xfId="0" applyNumberFormat="1" applyFont="1" applyFill="1" applyBorder="1" applyAlignment="1">
      <alignment horizontal="center"/>
    </xf>
    <xf numFmtId="164" fontId="117" fillId="34" borderId="0" xfId="0" applyNumberFormat="1" applyFont="1" applyFill="1" applyAlignment="1">
      <alignment horizontal="center"/>
    </xf>
    <xf numFmtId="164" fontId="118" fillId="0" borderId="0" xfId="0" applyNumberFormat="1" applyFont="1" applyFill="1" applyBorder="1" applyAlignment="1">
      <alignment horizontal="center"/>
    </xf>
    <xf numFmtId="164" fontId="24" fillId="0" borderId="0" xfId="0" applyNumberFormat="1" applyFont="1" applyFill="1" applyBorder="1" applyAlignment="1">
      <alignment horizontal="center" vertical="center" wrapText="1"/>
    </xf>
    <xf numFmtId="0" fontId="10" fillId="0" borderId="39" xfId="0" applyFont="1" applyBorder="1" applyAlignment="1">
      <alignment vertical="center"/>
    </xf>
    <xf numFmtId="0" fontId="14" fillId="0" borderId="48" xfId="0" applyFont="1" applyBorder="1" applyAlignment="1">
      <alignment horizontal="center" vertical="center" wrapText="1"/>
    </xf>
    <xf numFmtId="177" fontId="15" fillId="0" borderId="0" xfId="136" applyNumberFormat="1" applyFont="1"/>
    <xf numFmtId="0" fontId="35" fillId="0" borderId="0" xfId="0" applyFont="1" applyAlignment="1">
      <alignment horizontal="right"/>
    </xf>
    <xf numFmtId="0" fontId="119" fillId="0" borderId="3" xfId="0" applyFont="1" applyBorder="1" applyAlignment="1">
      <alignment horizontal="center" vertical="top" wrapText="1"/>
    </xf>
    <xf numFmtId="0" fontId="122" fillId="0" borderId="2" xfId="0" applyFont="1" applyBorder="1" applyAlignment="1">
      <alignment horizontal="center" vertical="center"/>
    </xf>
    <xf numFmtId="2" fontId="135" fillId="0" borderId="0" xfId="0" applyNumberFormat="1" applyFont="1" applyFill="1" applyBorder="1" applyAlignment="1">
      <alignment horizontal="center" vertical="center"/>
    </xf>
    <xf numFmtId="2" fontId="135" fillId="34" borderId="0" xfId="0" applyNumberFormat="1" applyFont="1" applyFill="1" applyBorder="1" applyAlignment="1">
      <alignment horizontal="center" vertical="center"/>
    </xf>
    <xf numFmtId="0" fontId="171" fillId="34" borderId="0" xfId="0" applyFont="1" applyFill="1" applyBorder="1" applyAlignment="1">
      <alignment horizontal="left" vertical="center" wrapText="1"/>
    </xf>
    <xf numFmtId="0" fontId="135" fillId="0" borderId="0" xfId="0" applyFont="1" applyFill="1" applyBorder="1" applyAlignment="1">
      <alignment horizontal="left" vertical="center" wrapText="1"/>
    </xf>
    <xf numFmtId="0" fontId="135" fillId="34" borderId="0" xfId="0" applyFont="1" applyFill="1" applyBorder="1" applyAlignment="1">
      <alignment horizontal="left" vertical="center" wrapText="1"/>
    </xf>
    <xf numFmtId="0" fontId="171" fillId="34" borderId="0" xfId="0" applyFont="1" applyFill="1" applyBorder="1" applyAlignment="1">
      <alignment horizontal="right" vertical="center" wrapText="1"/>
    </xf>
    <xf numFmtId="0" fontId="135" fillId="0" borderId="0" xfId="0" applyFont="1" applyFill="1" applyBorder="1" applyAlignment="1">
      <alignment horizontal="right" vertical="center" wrapText="1"/>
    </xf>
    <xf numFmtId="0" fontId="135" fillId="34" borderId="0" xfId="0" applyFont="1" applyFill="1" applyBorder="1" applyAlignment="1">
      <alignment horizontal="right" vertical="center" wrapText="1"/>
    </xf>
    <xf numFmtId="0" fontId="171" fillId="0" borderId="0" xfId="0" applyFont="1" applyFill="1" applyBorder="1" applyAlignment="1">
      <alignment horizontal="left" vertical="center" wrapText="1"/>
    </xf>
    <xf numFmtId="0" fontId="171" fillId="0" borderId="0" xfId="0" applyFont="1" applyFill="1" applyBorder="1" applyAlignment="1">
      <alignment horizontal="right" vertical="center" wrapText="1"/>
    </xf>
    <xf numFmtId="0" fontId="174" fillId="0" borderId="3" xfId="0" applyFont="1" applyBorder="1" applyAlignment="1">
      <alignment horizontal="center" vertical="top" wrapText="1"/>
    </xf>
    <xf numFmtId="0" fontId="48" fillId="0" borderId="3" xfId="0" applyFont="1" applyFill="1" applyBorder="1" applyAlignment="1">
      <alignment horizontal="center" vertical="center" wrapText="1"/>
    </xf>
    <xf numFmtId="2" fontId="20" fillId="0" borderId="0" xfId="0" applyNumberFormat="1" applyFont="1" applyBorder="1" applyAlignment="1">
      <alignment wrapText="1"/>
    </xf>
    <xf numFmtId="2" fontId="15" fillId="0" borderId="0" xfId="0" applyNumberFormat="1" applyFont="1" applyBorder="1" applyAlignment="1">
      <alignment horizontal="left"/>
    </xf>
    <xf numFmtId="0" fontId="8" fillId="0" borderId="39" xfId="196" applyFont="1" applyBorder="1" applyAlignment="1">
      <alignment horizontal="left"/>
    </xf>
    <xf numFmtId="0" fontId="8" fillId="0" borderId="39" xfId="196" applyFont="1" applyBorder="1"/>
    <xf numFmtId="0" fontId="10" fillId="0" borderId="39" xfId="0" applyFont="1" applyBorder="1" applyAlignment="1"/>
    <xf numFmtId="0" fontId="17" fillId="0" borderId="0" xfId="0" applyFont="1" applyAlignment="1">
      <alignment wrapText="1"/>
    </xf>
    <xf numFmtId="0" fontId="157" fillId="0" borderId="0" xfId="0" applyFont="1" applyBorder="1" applyAlignment="1">
      <alignment horizontal="center"/>
    </xf>
    <xf numFmtId="164" fontId="6" fillId="0" borderId="0" xfId="0" applyNumberFormat="1" applyFont="1" applyFill="1" applyBorder="1" applyAlignment="1">
      <alignment horizontal="right" wrapText="1"/>
    </xf>
    <xf numFmtId="164" fontId="82" fillId="0" borderId="0" xfId="0" applyNumberFormat="1" applyFont="1" applyBorder="1" applyAlignment="1">
      <alignment horizontal="center" wrapText="1"/>
    </xf>
    <xf numFmtId="1" fontId="8" fillId="0" borderId="0" xfId="0" applyNumberFormat="1" applyFont="1" applyBorder="1" applyAlignment="1">
      <alignment horizontal="left"/>
    </xf>
    <xf numFmtId="164" fontId="122" fillId="0" borderId="0" xfId="0" applyNumberFormat="1" applyFont="1" applyFill="1" applyBorder="1" applyAlignment="1">
      <alignment horizontal="center" vertical="center"/>
    </xf>
    <xf numFmtId="164" fontId="123" fillId="34" borderId="0" xfId="0" applyNumberFormat="1" applyFont="1" applyFill="1" applyBorder="1" applyAlignment="1">
      <alignment horizontal="center" vertical="center"/>
    </xf>
    <xf numFmtId="164" fontId="123" fillId="0" borderId="0" xfId="0" applyNumberFormat="1" applyFont="1" applyFill="1" applyBorder="1" applyAlignment="1">
      <alignment horizontal="center" vertical="center"/>
    </xf>
    <xf numFmtId="164" fontId="122" fillId="34" borderId="0" xfId="0" applyNumberFormat="1" applyFont="1" applyFill="1" applyBorder="1" applyAlignment="1">
      <alignment horizontal="center" vertical="center"/>
    </xf>
    <xf numFmtId="1" fontId="109" fillId="34" borderId="0" xfId="0" applyNumberFormat="1" applyFont="1" applyFill="1" applyBorder="1" applyAlignment="1">
      <alignment horizontal="center" vertical="center"/>
    </xf>
    <xf numFmtId="164" fontId="155" fillId="0" borderId="0" xfId="0" applyNumberFormat="1" applyFont="1"/>
    <xf numFmtId="0" fontId="35" fillId="0" borderId="0" xfId="0" applyFont="1" applyBorder="1" applyAlignment="1">
      <alignment horizontal="center" vertical="center" wrapText="1"/>
    </xf>
    <xf numFmtId="170" fontId="16" fillId="0" borderId="0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Alignment="1">
      <alignment vertical="center"/>
    </xf>
    <xf numFmtId="2" fontId="16" fillId="0" borderId="0" xfId="0" applyNumberFormat="1" applyFont="1" applyFill="1" applyAlignment="1">
      <alignment vertical="center"/>
    </xf>
    <xf numFmtId="0" fontId="16" fillId="34" borderId="0" xfId="0" applyNumberFormat="1" applyFont="1" applyFill="1" applyBorder="1" applyAlignment="1">
      <alignment horizontal="left" vertical="center"/>
    </xf>
    <xf numFmtId="49" fontId="112" fillId="0" borderId="0" xfId="0" applyNumberFormat="1" applyFont="1" applyFill="1" applyBorder="1" applyAlignment="1">
      <alignment vertical="center"/>
    </xf>
    <xf numFmtId="49" fontId="112" fillId="0" borderId="0" xfId="0" applyNumberFormat="1" applyFont="1" applyBorder="1" applyAlignment="1">
      <alignment vertical="center"/>
    </xf>
    <xf numFmtId="0" fontId="112" fillId="0" borderId="0" xfId="0" applyFont="1" applyBorder="1" applyAlignment="1">
      <alignment vertical="center"/>
    </xf>
    <xf numFmtId="0" fontId="42" fillId="0" borderId="0" xfId="0" applyFont="1" applyBorder="1" applyAlignment="1"/>
    <xf numFmtId="0" fontId="47" fillId="0" borderId="0" xfId="0" applyFont="1" applyAlignment="1"/>
    <xf numFmtId="0" fontId="24" fillId="0" borderId="0" xfId="0" applyFont="1" applyFill="1" applyBorder="1" applyAlignment="1">
      <alignment horizontal="center" vertical="top"/>
    </xf>
    <xf numFmtId="0" fontId="24" fillId="0" borderId="0" xfId="0" applyFont="1" applyFill="1" applyAlignment="1">
      <alignment horizontal="center"/>
    </xf>
    <xf numFmtId="167" fontId="16" fillId="0" borderId="0" xfId="0" applyNumberFormat="1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21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15" fillId="34" borderId="0" xfId="0" applyFont="1" applyFill="1" applyBorder="1" applyAlignment="1">
      <alignment horizontal="left"/>
    </xf>
    <xf numFmtId="0" fontId="15" fillId="34" borderId="0" xfId="0" applyNumberFormat="1" applyFont="1" applyFill="1" applyBorder="1" applyAlignment="1">
      <alignment horizontal="center" vertical="center"/>
    </xf>
    <xf numFmtId="0" fontId="15" fillId="34" borderId="0" xfId="0" applyNumberFormat="1" applyFont="1" applyFill="1" applyBorder="1" applyAlignment="1">
      <alignment horizontal="center" vertical="center" wrapText="1"/>
    </xf>
    <xf numFmtId="167" fontId="15" fillId="0" borderId="0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/>
    </xf>
    <xf numFmtId="0" fontId="15" fillId="34" borderId="0" xfId="0" applyFont="1" applyFill="1" applyBorder="1"/>
    <xf numFmtId="0" fontId="15" fillId="34" borderId="0" xfId="0" applyFont="1" applyFill="1" applyBorder="1" applyAlignment="1">
      <alignment vertical="center"/>
    </xf>
    <xf numFmtId="1" fontId="15" fillId="34" borderId="0" xfId="0" applyNumberFormat="1" applyFont="1" applyFill="1" applyBorder="1" applyAlignment="1">
      <alignment horizontal="center" vertical="center"/>
    </xf>
    <xf numFmtId="0" fontId="15" fillId="34" borderId="0" xfId="0" applyFont="1" applyFill="1" applyBorder="1" applyAlignment="1"/>
    <xf numFmtId="0" fontId="15" fillId="34" borderId="0" xfId="0" applyNumberFormat="1" applyFont="1" applyFill="1" applyBorder="1" applyAlignment="1">
      <alignment horizontal="left"/>
    </xf>
    <xf numFmtId="0" fontId="35" fillId="34" borderId="0" xfId="0" applyFont="1" applyFill="1" applyBorder="1"/>
    <xf numFmtId="167" fontId="35" fillId="34" borderId="0" xfId="0" applyNumberFormat="1" applyFont="1" applyFill="1" applyBorder="1" applyAlignment="1">
      <alignment horizontal="center" vertical="center"/>
    </xf>
    <xf numFmtId="167" fontId="15" fillId="34" borderId="0" xfId="0" applyNumberFormat="1" applyFont="1" applyFill="1" applyBorder="1" applyAlignment="1">
      <alignment horizontal="center" vertical="center"/>
    </xf>
    <xf numFmtId="49" fontId="15" fillId="34" borderId="0" xfId="0" applyNumberFormat="1" applyFont="1" applyFill="1" applyBorder="1" applyAlignment="1">
      <alignment horizontal="center" vertical="center"/>
    </xf>
    <xf numFmtId="0" fontId="15" fillId="34" borderId="0" xfId="0" applyFont="1" applyFill="1" applyBorder="1" applyAlignment="1">
      <alignment horizontal="right"/>
    </xf>
    <xf numFmtId="0" fontId="15" fillId="0" borderId="0" xfId="0" applyNumberFormat="1" applyFont="1" applyFill="1" applyBorder="1" applyAlignment="1">
      <alignment horizontal="center" vertical="center"/>
    </xf>
    <xf numFmtId="0" fontId="15" fillId="0" borderId="0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horizontal="left"/>
    </xf>
    <xf numFmtId="173" fontId="15" fillId="0" borderId="0" xfId="0" applyNumberFormat="1" applyFont="1" applyFill="1" applyBorder="1"/>
    <xf numFmtId="174" fontId="8" fillId="0" borderId="0" xfId="0" applyNumberFormat="1" applyFont="1" applyFill="1" applyBorder="1"/>
    <xf numFmtId="0" fontId="176" fillId="0" borderId="0" xfId="0" applyFont="1" applyBorder="1"/>
    <xf numFmtId="3" fontId="9" fillId="0" borderId="0" xfId="234" applyNumberFormat="1" applyFont="1" applyFill="1" applyBorder="1" applyAlignment="1" applyProtection="1">
      <alignment horizontal="right"/>
    </xf>
    <xf numFmtId="3" fontId="9" fillId="0" borderId="0" xfId="234" applyNumberFormat="1" applyFont="1" applyFill="1" applyBorder="1" applyProtection="1"/>
    <xf numFmtId="3" fontId="9" fillId="0" borderId="0" xfId="234" applyNumberFormat="1" applyFont="1" applyFill="1" applyBorder="1" applyProtection="1">
      <protection locked="0"/>
    </xf>
    <xf numFmtId="1" fontId="177" fillId="0" borderId="2" xfId="0" applyNumberFormat="1" applyFont="1" applyFill="1" applyBorder="1" applyAlignment="1">
      <alignment horizontal="center" vertical="center" wrapText="1"/>
    </xf>
    <xf numFmtId="0" fontId="109" fillId="0" borderId="0" xfId="0" applyFont="1" applyFill="1" applyBorder="1"/>
    <xf numFmtId="0" fontId="129" fillId="0" borderId="0" xfId="0" applyFont="1" applyFill="1" applyBorder="1"/>
    <xf numFmtId="0" fontId="178" fillId="0" borderId="2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164" fontId="109" fillId="0" borderId="0" xfId="0" applyNumberFormat="1" applyFont="1"/>
    <xf numFmtId="1" fontId="34" fillId="0" borderId="0" xfId="0" applyNumberFormat="1" applyFont="1" applyFill="1"/>
    <xf numFmtId="169" fontId="15" fillId="0" borderId="0" xfId="0" applyNumberFormat="1" applyFont="1" applyFill="1" applyBorder="1" applyAlignment="1">
      <alignment horizontal="center" vertical="center"/>
    </xf>
    <xf numFmtId="0" fontId="15" fillId="34" borderId="0" xfId="0" applyFont="1" applyFill="1" applyBorder="1" applyAlignment="1">
      <alignment horizontal="center" vertical="center"/>
    </xf>
    <xf numFmtId="167" fontId="15" fillId="34" borderId="6" xfId="0" applyNumberFormat="1" applyFont="1" applyFill="1" applyBorder="1" applyAlignment="1">
      <alignment horizontal="center" vertical="center"/>
    </xf>
    <xf numFmtId="0" fontId="15" fillId="34" borderId="6" xfId="0" applyFont="1" applyFill="1" applyBorder="1" applyAlignment="1">
      <alignment horizontal="center" vertical="center"/>
    </xf>
    <xf numFmtId="0" fontId="158" fillId="0" borderId="0" xfId="232" applyFont="1" applyAlignment="1">
      <alignment vertical="center"/>
    </xf>
    <xf numFmtId="0" fontId="30" fillId="0" borderId="0" xfId="0" applyFont="1" applyFill="1" applyBorder="1" applyAlignment="1">
      <alignment horizontal="right"/>
    </xf>
    <xf numFmtId="0" fontId="15" fillId="34" borderId="0" xfId="0" applyFont="1" applyFill="1" applyBorder="1" applyAlignment="1">
      <alignment horizontal="right" vertical="center"/>
    </xf>
    <xf numFmtId="0" fontId="15" fillId="34" borderId="0" xfId="0" applyNumberFormat="1" applyFont="1" applyFill="1" applyBorder="1" applyAlignment="1">
      <alignment horizontal="right"/>
    </xf>
    <xf numFmtId="0" fontId="15" fillId="0" borderId="0" xfId="0" applyFont="1" applyFill="1" applyBorder="1" applyAlignment="1">
      <alignment horizontal="right" vertical="center"/>
    </xf>
    <xf numFmtId="0" fontId="15" fillId="0" borderId="0" xfId="0" applyNumberFormat="1" applyFont="1" applyFill="1" applyBorder="1" applyAlignment="1">
      <alignment horizontal="right"/>
    </xf>
    <xf numFmtId="1" fontId="15" fillId="0" borderId="0" xfId="0" applyNumberFormat="1" applyFont="1" applyFill="1" applyBorder="1" applyAlignment="1">
      <alignment vertical="top" wrapText="1"/>
    </xf>
    <xf numFmtId="1" fontId="20" fillId="0" borderId="0" xfId="0" applyNumberFormat="1" applyFont="1"/>
    <xf numFmtId="164" fontId="0" fillId="0" borderId="0" xfId="0" applyNumberFormat="1"/>
    <xf numFmtId="164" fontId="6" fillId="0" borderId="0" xfId="0" applyNumberFormat="1" applyFont="1"/>
    <xf numFmtId="2" fontId="14" fillId="0" borderId="0" xfId="0" applyNumberFormat="1" applyFont="1" applyBorder="1"/>
    <xf numFmtId="0" fontId="14" fillId="0" borderId="2" xfId="0" applyFont="1" applyBorder="1" applyAlignment="1">
      <alignment horizontal="center" vertical="center" wrapText="1"/>
    </xf>
    <xf numFmtId="0" fontId="74" fillId="0" borderId="39" xfId="0" applyFont="1" applyBorder="1" applyAlignment="1">
      <alignment horizontal="left"/>
    </xf>
    <xf numFmtId="0" fontId="26" fillId="0" borderId="0" xfId="0" applyFont="1" applyFill="1" applyAlignment="1">
      <alignment vertical="center"/>
    </xf>
    <xf numFmtId="0" fontId="0" fillId="0" borderId="0" xfId="0"/>
    <xf numFmtId="2" fontId="14" fillId="0" borderId="0" xfId="0" applyNumberFormat="1" applyFont="1" applyFill="1" applyBorder="1" applyAlignment="1">
      <alignment horizontal="left" vertical="center"/>
    </xf>
    <xf numFmtId="164" fontId="15" fillId="0" borderId="0" xfId="0" applyNumberFormat="1" applyFont="1" applyBorder="1" applyAlignment="1"/>
    <xf numFmtId="164" fontId="65" fillId="0" borderId="0" xfId="0" applyNumberFormat="1" applyFont="1"/>
    <xf numFmtId="0" fontId="14" fillId="0" borderId="0" xfId="0" applyFont="1" applyFill="1" applyBorder="1" applyAlignment="1">
      <alignment horizontal="left" vertical="center" wrapText="1"/>
    </xf>
    <xf numFmtId="0" fontId="14" fillId="34" borderId="0" xfId="0" applyFont="1" applyFill="1" applyBorder="1" applyAlignment="1">
      <alignment horizontal="left" vertical="center" wrapText="1"/>
    </xf>
    <xf numFmtId="2" fontId="39" fillId="34" borderId="6" xfId="0" applyNumberFormat="1" applyFont="1" applyFill="1" applyBorder="1" applyAlignment="1">
      <alignment horizontal="center" vertical="center" wrapText="1"/>
    </xf>
    <xf numFmtId="0" fontId="65" fillId="0" borderId="0" xfId="0" applyFont="1" applyBorder="1" applyAlignment="1"/>
    <xf numFmtId="0" fontId="14" fillId="34" borderId="0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/>
    </xf>
    <xf numFmtId="1" fontId="16" fillId="0" borderId="0" xfId="0" applyNumberFormat="1" applyFont="1" applyBorder="1" applyAlignment="1"/>
    <xf numFmtId="164" fontId="129" fillId="0" borderId="0" xfId="0" applyNumberFormat="1" applyFont="1"/>
    <xf numFmtId="164" fontId="155" fillId="0" borderId="0" xfId="0" applyNumberFormat="1" applyFont="1" applyFill="1" applyBorder="1"/>
    <xf numFmtId="0" fontId="14" fillId="0" borderId="0" xfId="0" applyFont="1" applyFill="1" applyBorder="1" applyAlignment="1">
      <alignment horizontal="left" wrapText="1"/>
    </xf>
    <xf numFmtId="164" fontId="179" fillId="0" borderId="0" xfId="0" applyNumberFormat="1" applyFont="1"/>
    <xf numFmtId="0" fontId="179" fillId="0" borderId="0" xfId="0" applyFont="1"/>
    <xf numFmtId="2" fontId="15" fillId="0" borderId="0" xfId="0" applyNumberFormat="1" applyFont="1" applyAlignment="1"/>
    <xf numFmtId="2" fontId="39" fillId="0" borderId="0" xfId="0" applyNumberFormat="1" applyFont="1" applyAlignment="1">
      <alignment horizontal="center" vertical="center" wrapText="1"/>
    </xf>
    <xf numFmtId="2" fontId="39" fillId="0" borderId="0" xfId="0" applyNumberFormat="1" applyFont="1" applyFill="1" applyAlignment="1">
      <alignment horizontal="center" vertical="center" wrapText="1"/>
    </xf>
    <xf numFmtId="0" fontId="41" fillId="34" borderId="0" xfId="0" applyFont="1" applyFill="1" applyBorder="1" applyAlignment="1">
      <alignment horizontal="left" vertical="center" wrapText="1"/>
    </xf>
    <xf numFmtId="0" fontId="9" fillId="0" borderId="0" xfId="0" applyFont="1" applyAlignment="1"/>
    <xf numFmtId="0" fontId="16" fillId="34" borderId="0" xfId="0" applyFont="1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35" fillId="0" borderId="0" xfId="0" applyFont="1" applyBorder="1" applyAlignment="1">
      <alignment horizontal="left" vertical="center" wrapText="1"/>
    </xf>
    <xf numFmtId="0" fontId="24" fillId="34" borderId="0" xfId="0" applyFont="1" applyFill="1" applyAlignment="1">
      <alignment horizontal="left" vertical="center"/>
    </xf>
    <xf numFmtId="0" fontId="26" fillId="0" borderId="0" xfId="0" applyFont="1" applyAlignment="1">
      <alignment horizontal="right" vertical="center" wrapText="1"/>
    </xf>
    <xf numFmtId="0" fontId="26" fillId="34" borderId="0" xfId="0" applyFont="1" applyFill="1" applyAlignment="1">
      <alignment horizontal="right" vertical="center"/>
    </xf>
    <xf numFmtId="0" fontId="26" fillId="0" borderId="0" xfId="0" applyFont="1" applyAlignment="1">
      <alignment horizontal="right" vertical="center"/>
    </xf>
    <xf numFmtId="0" fontId="14" fillId="34" borderId="0" xfId="0" applyFont="1" applyFill="1" applyBorder="1" applyAlignment="1">
      <alignment vertical="center" wrapText="1"/>
    </xf>
    <xf numFmtId="2" fontId="41" fillId="0" borderId="0" xfId="0" applyNumberFormat="1" applyFont="1" applyBorder="1" applyAlignment="1">
      <alignment horizontal="center" vertical="center" wrapText="1"/>
    </xf>
    <xf numFmtId="0" fontId="21" fillId="34" borderId="0" xfId="0" applyFont="1" applyFill="1" applyBorder="1" applyAlignment="1">
      <alignment horizontal="left" vertical="center" wrapText="1"/>
    </xf>
    <xf numFmtId="2" fontId="39" fillId="34" borderId="0" xfId="0" applyNumberFormat="1" applyFont="1" applyFill="1" applyAlignment="1">
      <alignment horizontal="center" vertical="center" wrapText="1"/>
    </xf>
    <xf numFmtId="0" fontId="20" fillId="34" borderId="0" xfId="0" applyFont="1" applyFill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80" fillId="2" borderId="0" xfId="0" applyFont="1" applyFill="1" applyBorder="1"/>
    <xf numFmtId="0" fontId="182" fillId="2" borderId="0" xfId="0" applyFont="1" applyFill="1" applyBorder="1"/>
    <xf numFmtId="0" fontId="147" fillId="0" borderId="0" xfId="0" applyFont="1" applyAlignment="1"/>
    <xf numFmtId="0" fontId="143" fillId="0" borderId="0" xfId="0" applyFont="1" applyAlignment="1"/>
    <xf numFmtId="1" fontId="61" fillId="0" borderId="0" xfId="0" applyNumberFormat="1" applyFont="1" applyFill="1" applyBorder="1" applyAlignment="1">
      <alignment vertical="center"/>
    </xf>
    <xf numFmtId="1" fontId="61" fillId="0" borderId="0" xfId="0" applyNumberFormat="1" applyFont="1" applyFill="1" applyBorder="1" applyAlignment="1"/>
    <xf numFmtId="0" fontId="125" fillId="0" borderId="0" xfId="0" applyFont="1"/>
    <xf numFmtId="2" fontId="14" fillId="34" borderId="0" xfId="0" applyNumberFormat="1" applyFont="1" applyFill="1" applyBorder="1" applyAlignment="1">
      <alignment horizontal="left" vertical="center"/>
    </xf>
    <xf numFmtId="0" fontId="34" fillId="0" borderId="0" xfId="0" applyFont="1" applyBorder="1" applyAlignment="1">
      <alignment vertical="justify" wrapText="1"/>
    </xf>
    <xf numFmtId="164" fontId="123" fillId="0" borderId="0" xfId="0" applyNumberFormat="1" applyFont="1" applyBorder="1" applyAlignment="1">
      <alignment horizontal="center" vertical="center" wrapText="1"/>
    </xf>
    <xf numFmtId="0" fontId="123" fillId="0" borderId="0" xfId="232" applyFont="1" applyFill="1" applyBorder="1" applyAlignment="1">
      <alignment horizontal="left" vertical="center" wrapText="1"/>
    </xf>
    <xf numFmtId="2" fontId="20" fillId="0" borderId="0" xfId="0" applyNumberFormat="1" applyFont="1" applyFill="1" applyBorder="1" applyAlignment="1">
      <alignment horizontal="center" vertical="center" wrapText="1"/>
    </xf>
    <xf numFmtId="2" fontId="20" fillId="34" borderId="0" xfId="0" applyNumberFormat="1" applyFont="1" applyFill="1" applyBorder="1" applyAlignment="1">
      <alignment horizontal="center" vertical="center" wrapText="1"/>
    </xf>
    <xf numFmtId="164" fontId="129" fillId="0" borderId="0" xfId="0" applyNumberFormat="1" applyFont="1" applyFill="1" applyBorder="1"/>
    <xf numFmtId="0" fontId="125" fillId="0" borderId="0" xfId="0" applyFont="1" applyFill="1"/>
    <xf numFmtId="164" fontId="129" fillId="0" borderId="0" xfId="0" applyNumberFormat="1" applyFont="1" applyFill="1"/>
    <xf numFmtId="0" fontId="129" fillId="0" borderId="0" xfId="0" applyFont="1" applyFill="1"/>
    <xf numFmtId="0" fontId="155" fillId="0" borderId="0" xfId="0" applyFont="1" applyFill="1"/>
    <xf numFmtId="164" fontId="117" fillId="0" borderId="0" xfId="0" applyNumberFormat="1" applyFont="1" applyFill="1" applyBorder="1" applyAlignment="1">
      <alignment horizontal="left" vertical="center" wrapText="1"/>
    </xf>
    <xf numFmtId="0" fontId="16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right" vertical="center"/>
    </xf>
    <xf numFmtId="164" fontId="16" fillId="34" borderId="0" xfId="0" applyNumberFormat="1" applyFont="1" applyFill="1" applyBorder="1" applyAlignment="1">
      <alignment horizontal="right" vertical="center"/>
    </xf>
    <xf numFmtId="164" fontId="16" fillId="0" borderId="0" xfId="0" applyNumberFormat="1" applyFont="1" applyFill="1" applyBorder="1" applyAlignment="1">
      <alignment horizontal="right" vertical="center"/>
    </xf>
    <xf numFmtId="164" fontId="15" fillId="0" borderId="0" xfId="0" applyNumberFormat="1" applyFont="1" applyAlignment="1"/>
    <xf numFmtId="164" fontId="119" fillId="0" borderId="0" xfId="0" applyNumberFormat="1" applyFont="1" applyFill="1" applyBorder="1" applyAlignment="1">
      <alignment horizontal="center" vertical="center"/>
    </xf>
    <xf numFmtId="164" fontId="119" fillId="34" borderId="0" xfId="0" applyNumberFormat="1" applyFont="1" applyFill="1" applyBorder="1" applyAlignment="1">
      <alignment horizontal="center" vertical="center"/>
    </xf>
    <xf numFmtId="0" fontId="179" fillId="0" borderId="0" xfId="0" applyFont="1" applyFill="1"/>
    <xf numFmtId="164" fontId="179" fillId="0" borderId="0" xfId="0" applyNumberFormat="1" applyFont="1" applyFill="1"/>
    <xf numFmtId="164" fontId="109" fillId="0" borderId="0" xfId="0" applyNumberFormat="1" applyFont="1" applyBorder="1" applyAlignment="1">
      <alignment horizontal="center" vertical="center" wrapText="1"/>
    </xf>
    <xf numFmtId="0" fontId="135" fillId="0" borderId="0" xfId="232" applyFont="1" applyBorder="1" applyAlignment="1">
      <alignment horizontal="right" vertical="center" wrapText="1"/>
    </xf>
    <xf numFmtId="0" fontId="135" fillId="0" borderId="0" xfId="232" applyFont="1" applyBorder="1" applyAlignment="1">
      <alignment horizontal="left" vertical="center" wrapText="1"/>
    </xf>
    <xf numFmtId="2" fontId="135" fillId="0" borderId="0" xfId="0" applyNumberFormat="1" applyFont="1" applyBorder="1" applyAlignment="1">
      <alignment horizontal="center" vertical="center"/>
    </xf>
    <xf numFmtId="0" fontId="154" fillId="0" borderId="0" xfId="196" applyFont="1" applyBorder="1" applyAlignment="1">
      <alignment wrapText="1"/>
    </xf>
    <xf numFmtId="0" fontId="122" fillId="0" borderId="0" xfId="232" applyFont="1"/>
    <xf numFmtId="0" fontId="155" fillId="0" borderId="0" xfId="196" applyFont="1"/>
    <xf numFmtId="0" fontId="128" fillId="0" borderId="0" xfId="196" applyFont="1"/>
    <xf numFmtId="0" fontId="4" fillId="0" borderId="39" xfId="196" applyFont="1" applyBorder="1"/>
    <xf numFmtId="0" fontId="119" fillId="0" borderId="2" xfId="196" applyFont="1" applyBorder="1" applyAlignment="1">
      <alignment horizontal="center" vertical="center"/>
    </xf>
    <xf numFmtId="0" fontId="135" fillId="36" borderId="0" xfId="232" applyFont="1" applyFill="1" applyBorder="1" applyAlignment="1">
      <alignment horizontal="left" vertical="center" wrapText="1"/>
    </xf>
    <xf numFmtId="0" fontId="135" fillId="0" borderId="0" xfId="232" applyFont="1" applyFill="1" applyBorder="1" applyAlignment="1">
      <alignment horizontal="left" vertical="center" wrapText="1"/>
    </xf>
    <xf numFmtId="0" fontId="157" fillId="0" borderId="0" xfId="196" applyFont="1" applyBorder="1" applyAlignment="1">
      <alignment horizontal="center"/>
    </xf>
    <xf numFmtId="0" fontId="48" fillId="0" borderId="0" xfId="196" applyFont="1" applyAlignment="1"/>
    <xf numFmtId="0" fontId="123" fillId="0" borderId="0" xfId="196" applyFont="1"/>
    <xf numFmtId="0" fontId="109" fillId="0" borderId="0" xfId="196" applyFont="1"/>
    <xf numFmtId="0" fontId="16" fillId="0" borderId="0" xfId="196" applyFont="1"/>
    <xf numFmtId="0" fontId="109" fillId="0" borderId="0" xfId="196" applyFont="1" applyFill="1" applyBorder="1"/>
    <xf numFmtId="0" fontId="135" fillId="36" borderId="0" xfId="196" applyFont="1" applyFill="1" applyBorder="1" applyAlignment="1">
      <alignment horizontal="left" vertical="center" wrapText="1"/>
    </xf>
    <xf numFmtId="0" fontId="135" fillId="0" borderId="0" xfId="196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164" fontId="126" fillId="36" borderId="0" xfId="196" applyNumberFormat="1" applyFont="1" applyFill="1" applyBorder="1" applyAlignment="1">
      <alignment horizontal="center" vertical="center"/>
    </xf>
    <xf numFmtId="164" fontId="135" fillId="0" borderId="0" xfId="232" applyNumberFormat="1" applyFont="1" applyFill="1" applyBorder="1" applyAlignment="1">
      <alignment horizontal="left" vertical="center" wrapText="1"/>
    </xf>
    <xf numFmtId="164" fontId="135" fillId="36" borderId="0" xfId="232" applyNumberFormat="1" applyFont="1" applyFill="1" applyBorder="1" applyAlignment="1">
      <alignment horizontal="left" vertical="center" wrapText="1"/>
    </xf>
    <xf numFmtId="164" fontId="109" fillId="0" borderId="0" xfId="232" applyNumberFormat="1" applyFont="1" applyFill="1" applyBorder="1" applyAlignment="1">
      <alignment horizontal="right" vertical="center" wrapText="1"/>
    </xf>
    <xf numFmtId="164" fontId="109" fillId="36" borderId="0" xfId="232" applyNumberFormat="1" applyFont="1" applyFill="1" applyBorder="1" applyAlignment="1">
      <alignment horizontal="right" vertical="center" wrapText="1"/>
    </xf>
    <xf numFmtId="0" fontId="109" fillId="36" borderId="0" xfId="232" applyFont="1" applyFill="1" applyBorder="1" applyAlignment="1">
      <alignment horizontal="right" vertical="center" wrapText="1"/>
    </xf>
    <xf numFmtId="0" fontId="109" fillId="0" borderId="0" xfId="232" applyFont="1" applyFill="1" applyBorder="1" applyAlignment="1">
      <alignment horizontal="right" vertical="center" wrapText="1"/>
    </xf>
    <xf numFmtId="0" fontId="109" fillId="36" borderId="0" xfId="196" applyFont="1" applyFill="1" applyBorder="1" applyAlignment="1">
      <alignment horizontal="right" vertical="center" wrapText="1"/>
    </xf>
    <xf numFmtId="0" fontId="109" fillId="0" borderId="0" xfId="196" applyFont="1" applyFill="1" applyBorder="1" applyAlignment="1">
      <alignment horizontal="right" vertical="center" wrapText="1"/>
    </xf>
    <xf numFmtId="0" fontId="123" fillId="34" borderId="0" xfId="232" applyFont="1" applyFill="1" applyBorder="1" applyAlignment="1">
      <alignment horizontal="left" vertical="center" wrapText="1"/>
    </xf>
    <xf numFmtId="164" fontId="123" fillId="34" borderId="0" xfId="0" applyNumberFormat="1" applyFont="1" applyFill="1" applyBorder="1" applyAlignment="1">
      <alignment horizontal="center" vertical="center" wrapText="1"/>
    </xf>
    <xf numFmtId="0" fontId="135" fillId="34" borderId="0" xfId="232" applyFont="1" applyFill="1" applyBorder="1" applyAlignment="1">
      <alignment horizontal="left" vertical="center" wrapText="1"/>
    </xf>
    <xf numFmtId="0" fontId="135" fillId="34" borderId="0" xfId="232" applyFont="1" applyFill="1" applyBorder="1" applyAlignment="1">
      <alignment horizontal="right" vertical="center" wrapText="1"/>
    </xf>
    <xf numFmtId="0" fontId="16" fillId="34" borderId="0" xfId="0" applyFont="1" applyFill="1" applyBorder="1" applyAlignment="1">
      <alignment vertical="top"/>
    </xf>
    <xf numFmtId="2" fontId="109" fillId="0" borderId="50" xfId="0" applyNumberFormat="1" applyFont="1" applyBorder="1" applyAlignment="1">
      <alignment horizontal="center" vertical="center"/>
    </xf>
    <xf numFmtId="2" fontId="109" fillId="0" borderId="51" xfId="0" applyNumberFormat="1" applyFont="1" applyBorder="1" applyAlignment="1">
      <alignment horizontal="center" vertical="center"/>
    </xf>
    <xf numFmtId="166" fontId="14" fillId="0" borderId="0" xfId="0" applyNumberFormat="1" applyFont="1" applyBorder="1" applyAlignment="1">
      <alignment wrapText="1"/>
    </xf>
    <xf numFmtId="0" fontId="24" fillId="34" borderId="0" xfId="0" applyFont="1" applyFill="1" applyBorder="1" applyAlignment="1"/>
    <xf numFmtId="164" fontId="39" fillId="0" borderId="0" xfId="0" applyNumberFormat="1" applyFont="1" applyFill="1" applyBorder="1"/>
    <xf numFmtId="2" fontId="34" fillId="0" borderId="0" xfId="0" applyNumberFormat="1" applyFont="1" applyFill="1" applyBorder="1" applyAlignment="1">
      <alignment horizontal="center" vertical="center"/>
    </xf>
    <xf numFmtId="0" fontId="145" fillId="0" borderId="11" xfId="0" applyFont="1" applyBorder="1" applyAlignment="1"/>
    <xf numFmtId="164" fontId="82" fillId="0" borderId="0" xfId="0" applyNumberFormat="1" applyFont="1" applyAlignment="1">
      <alignment horizontal="left" wrapText="1"/>
    </xf>
    <xf numFmtId="0" fontId="65" fillId="0" borderId="0" xfId="0" applyFont="1" applyFill="1" applyBorder="1"/>
    <xf numFmtId="0" fontId="65" fillId="0" borderId="0" xfId="0" applyFont="1" applyAlignment="1">
      <alignment horizontal="left" vertical="center"/>
    </xf>
    <xf numFmtId="0" fontId="129" fillId="0" borderId="0" xfId="0" applyFont="1" applyFill="1" applyBorder="1" applyAlignment="1">
      <alignment vertical="center"/>
    </xf>
    <xf numFmtId="0" fontId="129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1" fontId="34" fillId="0" borderId="0" xfId="0" applyNumberFormat="1" applyFont="1" applyBorder="1" applyAlignment="1">
      <alignment horizontal="center"/>
    </xf>
    <xf numFmtId="0" fontId="16" fillId="0" borderId="35" xfId="0" applyFont="1" applyFill="1" applyBorder="1" applyAlignment="1">
      <alignment horizontal="center" vertical="center" wrapText="1"/>
    </xf>
    <xf numFmtId="1" fontId="65" fillId="0" borderId="0" xfId="0" applyNumberFormat="1" applyFont="1"/>
    <xf numFmtId="1" fontId="179" fillId="0" borderId="0" xfId="0" applyNumberFormat="1" applyFont="1"/>
    <xf numFmtId="1" fontId="0" fillId="0" borderId="0" xfId="0" applyNumberFormat="1"/>
    <xf numFmtId="0" fontId="41" fillId="0" borderId="2" xfId="0" applyFont="1" applyBorder="1" applyAlignment="1">
      <alignment horizontal="center" vertical="center" wrapText="1"/>
    </xf>
    <xf numFmtId="179" fontId="34" fillId="0" borderId="0" xfId="0" applyNumberFormat="1" applyFont="1" applyBorder="1"/>
    <xf numFmtId="0" fontId="15" fillId="0" borderId="0" xfId="0" applyFont="1" applyFill="1" applyBorder="1" applyAlignment="1">
      <alignment horizontal="left"/>
    </xf>
    <xf numFmtId="0" fontId="21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1" fontId="0" fillId="0" borderId="0" xfId="0" applyNumberFormat="1" applyFill="1"/>
    <xf numFmtId="1" fontId="179" fillId="0" borderId="0" xfId="0" applyNumberFormat="1" applyFont="1" applyFill="1"/>
    <xf numFmtId="0" fontId="30" fillId="0" borderId="3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4" fontId="109" fillId="34" borderId="0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wrapText="1"/>
    </xf>
    <xf numFmtId="0" fontId="18" fillId="0" borderId="2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/>
    </xf>
    <xf numFmtId="0" fontId="17" fillId="0" borderId="39" xfId="0" applyFont="1" applyBorder="1" applyAlignment="1"/>
    <xf numFmtId="4" fontId="109" fillId="0" borderId="0" xfId="0" applyNumberFormat="1" applyFont="1" applyFill="1" applyBorder="1" applyAlignment="1">
      <alignment horizontal="center" vertical="center" wrapText="1"/>
    </xf>
    <xf numFmtId="2" fontId="14" fillId="0" borderId="0" xfId="0" applyNumberFormat="1" applyFont="1"/>
    <xf numFmtId="0" fontId="14" fillId="0" borderId="0" xfId="0" applyFont="1" applyAlignment="1">
      <alignment horizontal="left" wrapText="1"/>
    </xf>
    <xf numFmtId="0" fontId="16" fillId="0" borderId="53" xfId="0" applyFont="1" applyFill="1" applyBorder="1" applyAlignment="1">
      <alignment horizontal="center" vertical="center" wrapText="1"/>
    </xf>
    <xf numFmtId="0" fontId="16" fillId="34" borderId="6" xfId="0" applyFont="1" applyFill="1" applyBorder="1" applyAlignment="1">
      <alignment horizontal="left"/>
    </xf>
    <xf numFmtId="0" fontId="41" fillId="0" borderId="0" xfId="0" applyFont="1" applyFill="1" applyBorder="1" applyAlignment="1">
      <alignment horizontal="left" vertical="top"/>
    </xf>
    <xf numFmtId="164" fontId="16" fillId="0" borderId="0" xfId="0" applyNumberFormat="1" applyFont="1" applyFill="1" applyAlignment="1"/>
    <xf numFmtId="164" fontId="34" fillId="0" borderId="0" xfId="0" applyNumberFormat="1" applyFont="1" applyFill="1"/>
    <xf numFmtId="0" fontId="20" fillId="0" borderId="0" xfId="0" applyFont="1" applyFill="1" applyBorder="1" applyAlignment="1">
      <alignment horizontal="center"/>
    </xf>
    <xf numFmtId="167" fontId="16" fillId="0" borderId="0" xfId="0" applyNumberFormat="1" applyFont="1"/>
    <xf numFmtId="2" fontId="39" fillId="0" borderId="0" xfId="0" applyNumberFormat="1" applyFont="1" applyFill="1" applyBorder="1" applyAlignment="1">
      <alignment horizontal="left"/>
    </xf>
    <xf numFmtId="0" fontId="0" fillId="0" borderId="0" xfId="0" applyAlignment="1"/>
    <xf numFmtId="0" fontId="39" fillId="0" borderId="0" xfId="0" applyFont="1" applyFill="1" applyBorder="1" applyAlignment="1">
      <alignment horizontal="left" wrapText="1"/>
    </xf>
    <xf numFmtId="0" fontId="39" fillId="34" borderId="0" xfId="0" applyFont="1" applyFill="1" applyBorder="1" applyAlignment="1">
      <alignment horizontal="left" wrapText="1"/>
    </xf>
    <xf numFmtId="0" fontId="40" fillId="0" borderId="0" xfId="0" applyFont="1" applyFill="1" applyBorder="1" applyAlignment="1">
      <alignment horizontal="left" wrapText="1"/>
    </xf>
    <xf numFmtId="0" fontId="40" fillId="34" borderId="0" xfId="0" applyFont="1" applyFill="1" applyBorder="1" applyAlignment="1">
      <alignment horizontal="left" wrapText="1"/>
    </xf>
    <xf numFmtId="0" fontId="42" fillId="0" borderId="0" xfId="0" applyFont="1" applyBorder="1" applyAlignment="1">
      <alignment horizontal="right"/>
    </xf>
    <xf numFmtId="0" fontId="119" fillId="0" borderId="55" xfId="196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 wrapText="1"/>
    </xf>
    <xf numFmtId="0" fontId="109" fillId="0" borderId="0" xfId="0" applyFont="1" applyFill="1" applyBorder="1" applyAlignment="1">
      <alignment vertical="center"/>
    </xf>
    <xf numFmtId="0" fontId="16" fillId="34" borderId="0" xfId="0" applyFont="1" applyFill="1" applyBorder="1" applyAlignment="1">
      <alignment vertical="top" wrapText="1"/>
    </xf>
    <xf numFmtId="0" fontId="126" fillId="34" borderId="0" xfId="0" applyFont="1" applyFill="1" applyBorder="1" applyAlignment="1">
      <alignment horizontal="left" vertical="center"/>
    </xf>
    <xf numFmtId="0" fontId="22" fillId="0" borderId="0" xfId="196" applyFont="1" applyBorder="1" applyAlignment="1">
      <alignment horizontal="left"/>
    </xf>
    <xf numFmtId="0" fontId="33" fillId="0" borderId="0" xfId="196" applyFont="1" applyBorder="1"/>
    <xf numFmtId="0" fontId="8" fillId="0" borderId="0" xfId="196" applyFont="1" applyAlignment="1"/>
    <xf numFmtId="0" fontId="8" fillId="0" borderId="0" xfId="196" applyFont="1" applyAlignment="1">
      <alignment horizontal="left"/>
    </xf>
    <xf numFmtId="0" fontId="8" fillId="0" borderId="0" xfId="196" applyFont="1"/>
    <xf numFmtId="0" fontId="16" fillId="0" borderId="2" xfId="196" applyFont="1" applyBorder="1" applyAlignment="1">
      <alignment horizontal="center"/>
    </xf>
    <xf numFmtId="0" fontId="16" fillId="0" borderId="0" xfId="196" applyFont="1" applyBorder="1" applyAlignment="1">
      <alignment horizontal="center" vertical="center"/>
    </xf>
    <xf numFmtId="2" fontId="16" fillId="0" borderId="0" xfId="196" applyNumberFormat="1" applyFont="1" applyBorder="1" applyAlignment="1">
      <alignment horizontal="center" vertical="center"/>
    </xf>
    <xf numFmtId="0" fontId="16" fillId="34" borderId="0" xfId="196" applyFont="1" applyFill="1" applyBorder="1" applyAlignment="1">
      <alignment vertical="center"/>
    </xf>
    <xf numFmtId="0" fontId="16" fillId="34" borderId="0" xfId="196" applyFont="1" applyFill="1" applyBorder="1" applyAlignment="1">
      <alignment horizontal="center" vertical="center"/>
    </xf>
    <xf numFmtId="2" fontId="16" fillId="34" borderId="0" xfId="196" applyNumberFormat="1" applyFont="1" applyFill="1" applyBorder="1" applyAlignment="1">
      <alignment horizontal="center" vertical="center"/>
    </xf>
    <xf numFmtId="164" fontId="16" fillId="34" borderId="0" xfId="196" applyNumberFormat="1" applyFont="1" applyFill="1" applyBorder="1" applyAlignment="1">
      <alignment horizontal="center" vertical="center"/>
    </xf>
    <xf numFmtId="166" fontId="16" fillId="34" borderId="0" xfId="196" applyNumberFormat="1" applyFont="1" applyFill="1" applyBorder="1" applyAlignment="1">
      <alignment horizontal="center" vertical="center"/>
    </xf>
    <xf numFmtId="0" fontId="16" fillId="34" borderId="0" xfId="196" applyFont="1" applyFill="1" applyBorder="1" applyAlignment="1">
      <alignment horizontal="right" vertical="center"/>
    </xf>
    <xf numFmtId="0" fontId="16" fillId="0" borderId="0" xfId="196" applyFont="1" applyFill="1" applyBorder="1" applyAlignment="1">
      <alignment vertical="center"/>
    </xf>
    <xf numFmtId="0" fontId="16" fillId="0" borderId="0" xfId="196" applyFont="1" applyFill="1" applyBorder="1" applyAlignment="1">
      <alignment horizontal="center" vertical="center"/>
    </xf>
    <xf numFmtId="2" fontId="16" fillId="0" borderId="0" xfId="196" applyNumberFormat="1" applyFont="1" applyFill="1" applyBorder="1" applyAlignment="1">
      <alignment horizontal="center" vertical="center"/>
    </xf>
    <xf numFmtId="164" fontId="16" fillId="0" borderId="0" xfId="196" applyNumberFormat="1" applyFont="1" applyFill="1" applyBorder="1" applyAlignment="1">
      <alignment horizontal="center" vertical="center"/>
    </xf>
    <xf numFmtId="166" fontId="16" fillId="0" borderId="0" xfId="196" applyNumberFormat="1" applyFont="1" applyFill="1" applyBorder="1" applyAlignment="1">
      <alignment horizontal="center" vertical="center"/>
    </xf>
    <xf numFmtId="0" fontId="16" fillId="0" borderId="0" xfId="196" applyFont="1" applyFill="1" applyBorder="1" applyAlignment="1">
      <alignment horizontal="right" vertical="center"/>
    </xf>
    <xf numFmtId="0" fontId="24" fillId="34" borderId="0" xfId="196" applyFont="1" applyFill="1" applyBorder="1" applyAlignment="1">
      <alignment vertical="center"/>
    </xf>
    <xf numFmtId="0" fontId="24" fillId="34" borderId="0" xfId="196" applyFont="1" applyFill="1" applyBorder="1" applyAlignment="1">
      <alignment horizontal="center" vertical="center"/>
    </xf>
    <xf numFmtId="2" fontId="24" fillId="34" borderId="0" xfId="196" applyNumberFormat="1" applyFont="1" applyFill="1" applyBorder="1" applyAlignment="1">
      <alignment horizontal="center" vertical="center"/>
    </xf>
    <xf numFmtId="164" fontId="24" fillId="34" borderId="0" xfId="196" applyNumberFormat="1" applyFont="1" applyFill="1" applyBorder="1" applyAlignment="1">
      <alignment horizontal="center" vertical="center"/>
    </xf>
    <xf numFmtId="166" fontId="24" fillId="34" borderId="0" xfId="196" applyNumberFormat="1" applyFont="1" applyFill="1" applyBorder="1" applyAlignment="1">
      <alignment horizontal="center" vertical="center"/>
    </xf>
    <xf numFmtId="0" fontId="24" fillId="34" borderId="0" xfId="196" applyFont="1" applyFill="1" applyBorder="1" applyAlignment="1">
      <alignment horizontal="right" vertical="center"/>
    </xf>
    <xf numFmtId="2" fontId="24" fillId="0" borderId="0" xfId="196" applyNumberFormat="1" applyFont="1" applyFill="1" applyBorder="1" applyAlignment="1">
      <alignment horizontal="center" vertical="center"/>
    </xf>
    <xf numFmtId="164" fontId="24" fillId="0" borderId="0" xfId="196" applyNumberFormat="1" applyFont="1" applyFill="1" applyBorder="1" applyAlignment="1">
      <alignment horizontal="center" vertical="center"/>
    </xf>
    <xf numFmtId="0" fontId="24" fillId="0" borderId="0" xfId="196" applyFont="1" applyFill="1" applyBorder="1" applyAlignment="1">
      <alignment vertical="center"/>
    </xf>
    <xf numFmtId="0" fontId="24" fillId="0" borderId="0" xfId="196" applyFont="1" applyFill="1" applyBorder="1" applyAlignment="1">
      <alignment horizontal="right" vertical="center"/>
    </xf>
    <xf numFmtId="0" fontId="34" fillId="0" borderId="0" xfId="196" applyFont="1" applyBorder="1" applyAlignment="1">
      <alignment vertical="center" wrapText="1"/>
    </xf>
    <xf numFmtId="0" fontId="34" fillId="0" borderId="0" xfId="196" applyFont="1"/>
    <xf numFmtId="0" fontId="34" fillId="0" borderId="0" xfId="196" applyFont="1" applyAlignment="1">
      <alignment horizontal="center"/>
    </xf>
    <xf numFmtId="49" fontId="34" fillId="0" borderId="0" xfId="196" applyNumberFormat="1" applyFont="1" applyAlignment="1">
      <alignment vertical="center"/>
    </xf>
    <xf numFmtId="164" fontId="34" fillId="0" borderId="0" xfId="196" applyNumberFormat="1" applyFont="1" applyBorder="1" applyAlignment="1">
      <alignment horizontal="left" wrapText="1"/>
    </xf>
    <xf numFmtId="165" fontId="34" fillId="0" borderId="0" xfId="196" applyNumberFormat="1" applyFont="1" applyAlignment="1">
      <alignment horizontal="center"/>
    </xf>
    <xf numFmtId="2" fontId="34" fillId="0" borderId="0" xfId="196" applyNumberFormat="1" applyFont="1" applyAlignment="1">
      <alignment vertical="center"/>
    </xf>
    <xf numFmtId="164" fontId="34" fillId="0" borderId="0" xfId="196" applyNumberFormat="1" applyFont="1" applyAlignment="1">
      <alignment vertical="center"/>
    </xf>
    <xf numFmtId="0" fontId="34" fillId="0" borderId="0" xfId="196" applyFont="1" applyBorder="1" applyAlignment="1">
      <alignment wrapText="1"/>
    </xf>
    <xf numFmtId="0" fontId="9" fillId="0" borderId="0" xfId="196" applyFont="1"/>
    <xf numFmtId="0" fontId="49" fillId="0" borderId="0" xfId="196" applyFont="1" applyBorder="1" applyAlignment="1">
      <alignment wrapText="1"/>
    </xf>
    <xf numFmtId="0" fontId="34" fillId="0" borderId="0" xfId="196" applyFont="1" applyFill="1"/>
    <xf numFmtId="0" fontId="49" fillId="0" borderId="0" xfId="196" applyFont="1" applyBorder="1" applyAlignment="1">
      <alignment horizontal="center" wrapText="1"/>
    </xf>
    <xf numFmtId="164" fontId="34" fillId="0" borderId="0" xfId="196" applyNumberFormat="1" applyFont="1"/>
    <xf numFmtId="2" fontId="34" fillId="0" borderId="0" xfId="196" applyNumberFormat="1" applyFont="1"/>
    <xf numFmtId="164" fontId="9" fillId="0" borderId="0" xfId="196" applyNumberFormat="1" applyFont="1"/>
    <xf numFmtId="165" fontId="30" fillId="0" borderId="0" xfId="196" applyNumberFormat="1" applyFont="1"/>
    <xf numFmtId="2" fontId="16" fillId="0" borderId="0" xfId="196" applyNumberFormat="1" applyFont="1" applyBorder="1"/>
    <xf numFmtId="0" fontId="16" fillId="0" borderId="0" xfId="196" applyFont="1" applyBorder="1"/>
    <xf numFmtId="164" fontId="16" fillId="0" borderId="0" xfId="196" applyNumberFormat="1" applyFont="1" applyBorder="1"/>
    <xf numFmtId="1" fontId="24" fillId="0" borderId="0" xfId="136" applyNumberFormat="1" applyFont="1" applyFill="1" applyBorder="1" applyAlignment="1">
      <alignment horizontal="center" vertical="center"/>
    </xf>
    <xf numFmtId="0" fontId="122" fillId="34" borderId="0" xfId="0" applyFont="1" applyFill="1" applyBorder="1" applyAlignment="1">
      <alignment horizontal="left" vertical="top"/>
    </xf>
    <xf numFmtId="0" fontId="16" fillId="0" borderId="0" xfId="0" applyFont="1" applyFill="1" applyAlignment="1">
      <alignment vertical="top"/>
    </xf>
    <xf numFmtId="0" fontId="26" fillId="0" borderId="0" xfId="0" applyFont="1" applyAlignment="1"/>
    <xf numFmtId="164" fontId="16" fillId="0" borderId="0" xfId="0" applyNumberFormat="1" applyFont="1" applyFill="1" applyBorder="1" applyAlignment="1">
      <alignment vertical="center"/>
    </xf>
    <xf numFmtId="1" fontId="30" fillId="0" borderId="0" xfId="0" applyNumberFormat="1" applyFont="1" applyFill="1" applyBorder="1" applyAlignment="1">
      <alignment horizontal="center"/>
    </xf>
    <xf numFmtId="0" fontId="24" fillId="0" borderId="0" xfId="0" applyFont="1" applyFill="1" applyBorder="1" applyAlignment="1">
      <alignment vertical="center"/>
    </xf>
    <xf numFmtId="0" fontId="135" fillId="0" borderId="0" xfId="232" applyFont="1" applyFill="1" applyBorder="1" applyAlignment="1">
      <alignment horizontal="right" vertical="center" wrapText="1"/>
    </xf>
    <xf numFmtId="2" fontId="16" fillId="35" borderId="0" xfId="0" applyNumberFormat="1" applyFont="1" applyFill="1" applyBorder="1" applyAlignment="1">
      <alignment horizontal="center" vertical="center"/>
    </xf>
    <xf numFmtId="164" fontId="14" fillId="0" borderId="0" xfId="0" applyNumberFormat="1" applyFont="1" applyFill="1"/>
    <xf numFmtId="164" fontId="61" fillId="0" borderId="0" xfId="0" applyNumberFormat="1" applyFont="1" applyFill="1" applyBorder="1" applyAlignment="1">
      <alignment horizontal="center" vertical="center"/>
    </xf>
    <xf numFmtId="1" fontId="0" fillId="0" borderId="0" xfId="0" applyNumberFormat="1" applyFill="1" applyBorder="1"/>
    <xf numFmtId="2" fontId="24" fillId="0" borderId="0" xfId="0" applyNumberFormat="1" applyFont="1" applyFill="1" applyBorder="1" applyAlignment="1">
      <alignment horizontal="center" vertical="top"/>
    </xf>
    <xf numFmtId="0" fontId="0" fillId="0" borderId="0" xfId="0" applyAlignment="1"/>
    <xf numFmtId="0" fontId="17" fillId="34" borderId="0" xfId="0" applyFont="1" applyFill="1" applyBorder="1" applyAlignment="1">
      <alignment vertical="top" wrapText="1"/>
    </xf>
    <xf numFmtId="2" fontId="123" fillId="34" borderId="0" xfId="0" applyNumberFormat="1" applyFont="1" applyFill="1" applyBorder="1" applyAlignment="1">
      <alignment horizontal="center"/>
    </xf>
    <xf numFmtId="2" fontId="123" fillId="34" borderId="0" xfId="0" applyNumberFormat="1" applyFont="1" applyFill="1" applyBorder="1" applyAlignment="1">
      <alignment horizontal="center" vertical="center"/>
    </xf>
    <xf numFmtId="0" fontId="123" fillId="34" borderId="0" xfId="0" applyFont="1" applyFill="1" applyBorder="1" applyAlignment="1">
      <alignment horizontal="center"/>
    </xf>
    <xf numFmtId="2" fontId="17" fillId="34" borderId="0" xfId="0" applyNumberFormat="1" applyFont="1" applyFill="1" applyBorder="1" applyAlignment="1">
      <alignment horizontal="center" vertical="center"/>
    </xf>
    <xf numFmtId="164" fontId="33" fillId="0" borderId="0" xfId="0" applyNumberFormat="1" applyFont="1" applyFill="1"/>
    <xf numFmtId="0" fontId="16" fillId="34" borderId="0" xfId="0" applyFont="1" applyFill="1" applyBorder="1" applyAlignment="1">
      <alignment horizontal="right" vertical="top" wrapText="1"/>
    </xf>
    <xf numFmtId="1" fontId="109" fillId="0" borderId="0" xfId="0" applyNumberFormat="1" applyFont="1" applyFill="1" applyBorder="1" applyAlignment="1">
      <alignment horizontal="center" vertical="center"/>
    </xf>
    <xf numFmtId="0" fontId="109" fillId="34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right" vertical="top" wrapText="1"/>
    </xf>
    <xf numFmtId="0" fontId="14" fillId="0" borderId="0" xfId="0" applyFont="1" applyFill="1" applyBorder="1" applyAlignment="1">
      <alignment horizontal="left" vertical="center" wrapText="1"/>
    </xf>
    <xf numFmtId="0" fontId="41" fillId="0" borderId="3" xfId="0" applyFont="1" applyBorder="1" applyAlignment="1">
      <alignment horizontal="center" vertical="center" wrapText="1"/>
    </xf>
    <xf numFmtId="2" fontId="14" fillId="0" borderId="0" xfId="0" applyNumberFormat="1" applyFont="1" applyFill="1" applyBorder="1" applyAlignment="1">
      <alignment horizontal="left" vertical="center" wrapText="1"/>
    </xf>
    <xf numFmtId="0" fontId="109" fillId="0" borderId="0" xfId="0" applyFont="1" applyFill="1" applyBorder="1" applyAlignment="1"/>
    <xf numFmtId="0" fontId="133" fillId="0" borderId="0" xfId="0" applyFont="1" applyFill="1" applyBorder="1" applyAlignment="1">
      <alignment horizontal="center"/>
    </xf>
    <xf numFmtId="0" fontId="153" fillId="2" borderId="10" xfId="0" applyFont="1" applyFill="1" applyBorder="1" applyAlignment="1"/>
    <xf numFmtId="0" fontId="153" fillId="2" borderId="0" xfId="0" applyFont="1" applyFill="1" applyBorder="1" applyAlignment="1"/>
    <xf numFmtId="0" fontId="153" fillId="2" borderId="11" xfId="0" applyFont="1" applyFill="1" applyBorder="1" applyAlignment="1"/>
    <xf numFmtId="0" fontId="60" fillId="0" borderId="0" xfId="0" applyFont="1" applyBorder="1" applyAlignment="1">
      <alignment horizontal="right" wrapText="1"/>
    </xf>
    <xf numFmtId="0" fontId="19" fillId="0" borderId="0" xfId="0" applyFont="1" applyBorder="1" applyAlignment="1"/>
    <xf numFmtId="0" fontId="60" fillId="0" borderId="0" xfId="0" applyFont="1" applyBorder="1" applyAlignment="1">
      <alignment horizontal="right"/>
    </xf>
    <xf numFmtId="0" fontId="60" fillId="0" borderId="0" xfId="0" applyFont="1" applyBorder="1" applyAlignment="1">
      <alignment horizontal="left"/>
    </xf>
    <xf numFmtId="1" fontId="19" fillId="0" borderId="0" xfId="0" applyNumberFormat="1" applyFont="1" applyBorder="1" applyAlignment="1"/>
    <xf numFmtId="1" fontId="15" fillId="0" borderId="0" xfId="0" applyNumberFormat="1" applyFont="1" applyAlignment="1"/>
    <xf numFmtId="165" fontId="15" fillId="0" borderId="0" xfId="0" applyNumberFormat="1" applyFont="1" applyAlignment="1"/>
    <xf numFmtId="179" fontId="34" fillId="0" borderId="0" xfId="0" applyNumberFormat="1" applyFont="1" applyBorder="1" applyAlignment="1"/>
    <xf numFmtId="175" fontId="15" fillId="0" borderId="0" xfId="0" applyNumberFormat="1" applyFont="1" applyAlignment="1"/>
    <xf numFmtId="175" fontId="20" fillId="0" borderId="0" xfId="0" applyNumberFormat="1" applyFont="1" applyAlignment="1"/>
    <xf numFmtId="0" fontId="16" fillId="0" borderId="0" xfId="0" applyFont="1" applyBorder="1" applyAlignment="1">
      <alignment wrapText="1"/>
    </xf>
    <xf numFmtId="0" fontId="16" fillId="0" borderId="53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4" fillId="34" borderId="0" xfId="0" applyFont="1" applyFill="1" applyBorder="1" applyAlignment="1">
      <alignment horizontal="left" vertical="center" wrapText="1"/>
    </xf>
    <xf numFmtId="0" fontId="24" fillId="34" borderId="0" xfId="0" applyFont="1" applyFill="1" applyBorder="1" applyAlignment="1">
      <alignment horizontal="left" vertical="center"/>
    </xf>
    <xf numFmtId="0" fontId="17" fillId="0" borderId="55" xfId="0" applyFont="1" applyBorder="1" applyAlignment="1">
      <alignment horizontal="center" vertical="center" wrapText="1"/>
    </xf>
    <xf numFmtId="0" fontId="0" fillId="0" borderId="0" xfId="0"/>
    <xf numFmtId="0" fontId="17" fillId="0" borderId="57" xfId="0" applyFont="1" applyBorder="1" applyAlignment="1">
      <alignment horizontal="center" vertical="center" wrapText="1"/>
    </xf>
    <xf numFmtId="0" fontId="42" fillId="0" borderId="0" xfId="0" applyFont="1" applyFill="1" applyBorder="1" applyAlignment="1"/>
    <xf numFmtId="0" fontId="47" fillId="0" borderId="0" xfId="0" applyFont="1" applyFill="1" applyAlignment="1"/>
    <xf numFmtId="0" fontId="28" fillId="0" borderId="0" xfId="0" applyFont="1" applyFill="1" applyBorder="1" applyAlignment="1">
      <alignment horizontal="center"/>
    </xf>
    <xf numFmtId="49" fontId="30" fillId="0" borderId="0" xfId="0" applyNumberFormat="1" applyFont="1" applyFill="1" applyAlignment="1">
      <alignment horizontal="left"/>
    </xf>
    <xf numFmtId="0" fontId="16" fillId="0" borderId="2" xfId="0" applyFont="1" applyFill="1" applyBorder="1" applyAlignment="1">
      <alignment horizontal="center"/>
    </xf>
    <xf numFmtId="0" fontId="39" fillId="0" borderId="2" xfId="0" applyFont="1" applyFill="1" applyBorder="1" applyAlignment="1">
      <alignment horizontal="center"/>
    </xf>
    <xf numFmtId="0" fontId="49" fillId="0" borderId="2" xfId="0" applyFont="1" applyFill="1" applyBorder="1" applyAlignment="1">
      <alignment horizontal="center" vertical="top"/>
    </xf>
    <xf numFmtId="1" fontId="49" fillId="0" borderId="2" xfId="0" applyNumberFormat="1" applyFont="1" applyFill="1" applyBorder="1" applyAlignment="1">
      <alignment horizontal="center" vertical="top"/>
    </xf>
    <xf numFmtId="1" fontId="16" fillId="35" borderId="0" xfId="0" applyNumberFormat="1" applyFont="1" applyFill="1" applyBorder="1" applyAlignment="1">
      <alignment horizontal="center" vertical="center"/>
    </xf>
    <xf numFmtId="0" fontId="16" fillId="37" borderId="0" xfId="0" applyFont="1" applyFill="1"/>
    <xf numFmtId="0" fontId="145" fillId="0" borderId="0" xfId="0" applyFont="1" applyBorder="1" applyAlignment="1">
      <alignment horizontal="left" wrapText="1"/>
    </xf>
    <xf numFmtId="0" fontId="145" fillId="0" borderId="0" xfId="0" applyFont="1" applyBorder="1" applyAlignment="1">
      <alignment horizontal="left" vertical="top" wrapText="1"/>
    </xf>
    <xf numFmtId="0" fontId="151" fillId="0" borderId="0" xfId="0" applyFont="1" applyBorder="1" applyAlignment="1">
      <alignment horizontal="left" vertical="center" wrapText="1"/>
    </xf>
    <xf numFmtId="0" fontId="143" fillId="0" borderId="0" xfId="0" applyFont="1" applyBorder="1" applyAlignment="1">
      <alignment horizontal="center"/>
    </xf>
    <xf numFmtId="0" fontId="151" fillId="0" borderId="0" xfId="0" applyFont="1" applyBorder="1" applyAlignment="1">
      <alignment wrapText="1"/>
    </xf>
    <xf numFmtId="0" fontId="0" fillId="2" borderId="6" xfId="0" applyFill="1" applyBorder="1"/>
    <xf numFmtId="0" fontId="152" fillId="2" borderId="12" xfId="0" applyFont="1" applyFill="1" applyBorder="1"/>
    <xf numFmtId="0" fontId="152" fillId="2" borderId="13" xfId="0" applyFont="1" applyFill="1" applyBorder="1"/>
    <xf numFmtId="180" fontId="10" fillId="0" borderId="0" xfId="0" applyNumberFormat="1" applyFont="1"/>
    <xf numFmtId="180" fontId="30" fillId="0" borderId="2" xfId="0" applyNumberFormat="1" applyFont="1" applyBorder="1" applyAlignment="1">
      <alignment horizontal="center" vertical="center" wrapText="1"/>
    </xf>
    <xf numFmtId="180" fontId="109" fillId="0" borderId="0" xfId="0" applyNumberFormat="1" applyFont="1" applyFill="1" applyBorder="1" applyAlignment="1">
      <alignment horizontal="center" wrapText="1"/>
    </xf>
    <xf numFmtId="180" fontId="8" fillId="0" borderId="0" xfId="0" applyNumberFormat="1" applyFont="1" applyFill="1"/>
    <xf numFmtId="180" fontId="8" fillId="0" borderId="0" xfId="0" applyNumberFormat="1" applyFont="1"/>
    <xf numFmtId="0" fontId="26" fillId="0" borderId="0" xfId="0" applyFont="1" applyBorder="1" applyAlignment="1">
      <alignment horizontal="left" vertical="center" wrapText="1"/>
    </xf>
    <xf numFmtId="0" fontId="26" fillId="0" borderId="8" xfId="0" applyFont="1" applyBorder="1" applyAlignment="1">
      <alignment vertical="center" wrapText="1"/>
    </xf>
    <xf numFmtId="0" fontId="41" fillId="34" borderId="0" xfId="0" applyFont="1" applyFill="1" applyBorder="1" applyAlignment="1">
      <alignment horizontal="left" vertical="top"/>
    </xf>
    <xf numFmtId="1" fontId="19" fillId="0" borderId="0" xfId="0" applyNumberFormat="1" applyFont="1" applyFill="1" applyAlignment="1">
      <alignment wrapText="1"/>
    </xf>
    <xf numFmtId="0" fontId="49" fillId="0" borderId="0" xfId="0" applyFont="1" applyFill="1" applyBorder="1"/>
    <xf numFmtId="175" fontId="19" fillId="0" borderId="0" xfId="0" applyNumberFormat="1" applyFont="1" applyFill="1" applyAlignment="1">
      <alignment wrapText="1"/>
    </xf>
    <xf numFmtId="171" fontId="109" fillId="0" borderId="0" xfId="0" applyNumberFormat="1" applyFont="1" applyFill="1" applyBorder="1" applyAlignment="1">
      <alignment horizontal="center" vertical="center" wrapText="1"/>
    </xf>
    <xf numFmtId="0" fontId="30" fillId="0" borderId="39" xfId="0" applyFont="1" applyFill="1" applyBorder="1" applyAlignment="1">
      <alignment vertical="top" wrapText="1"/>
    </xf>
    <xf numFmtId="0" fontId="16" fillId="35" borderId="0" xfId="0" applyFont="1" applyFill="1" applyBorder="1" applyAlignment="1"/>
    <xf numFmtId="0" fontId="16" fillId="35" borderId="0" xfId="0" applyFont="1" applyFill="1" applyBorder="1" applyAlignment="1">
      <alignment horizontal="right"/>
    </xf>
    <xf numFmtId="164" fontId="126" fillId="0" borderId="0" xfId="196" applyNumberFormat="1" applyFont="1" applyFill="1" applyBorder="1" applyAlignment="1">
      <alignment horizontal="center" vertical="center"/>
    </xf>
    <xf numFmtId="2" fontId="16" fillId="34" borderId="0" xfId="0" applyNumberFormat="1" applyFont="1" applyFill="1" applyBorder="1" applyAlignment="1">
      <alignment horizontal="right" vertical="center"/>
    </xf>
    <xf numFmtId="0" fontId="109" fillId="0" borderId="0" xfId="0" applyFont="1" applyBorder="1"/>
    <xf numFmtId="0" fontId="126" fillId="0" borderId="0" xfId="232" applyFont="1" applyFill="1" applyBorder="1" applyAlignment="1">
      <alignment horizontal="left" vertical="center" wrapText="1"/>
    </xf>
    <xf numFmtId="0" fontId="126" fillId="34" borderId="0" xfId="232" applyFont="1" applyFill="1" applyBorder="1" applyAlignment="1">
      <alignment horizontal="left" vertical="center" wrapText="1"/>
    </xf>
    <xf numFmtId="0" fontId="132" fillId="34" borderId="0" xfId="0" applyFont="1" applyFill="1" applyBorder="1" applyAlignment="1">
      <alignment horizontal="left" vertical="center" wrapText="1"/>
    </xf>
    <xf numFmtId="0" fontId="126" fillId="34" borderId="0" xfId="0" applyFont="1" applyFill="1" applyBorder="1" applyAlignment="1">
      <alignment horizontal="left" vertical="center" wrapText="1"/>
    </xf>
    <xf numFmtId="0" fontId="126" fillId="0" borderId="0" xfId="0" applyFont="1" applyFill="1" applyBorder="1" applyAlignment="1">
      <alignment horizontal="left" vertical="center" wrapText="1"/>
    </xf>
    <xf numFmtId="0" fontId="48" fillId="0" borderId="0" xfId="0" applyFont="1" applyAlignment="1">
      <alignment vertical="center"/>
    </xf>
    <xf numFmtId="0" fontId="155" fillId="0" borderId="0" xfId="0" applyFont="1" applyAlignment="1">
      <alignment vertical="center"/>
    </xf>
    <xf numFmtId="0" fontId="155" fillId="0" borderId="0" xfId="0" applyFont="1" applyFill="1" applyBorder="1" applyAlignment="1">
      <alignment vertical="center"/>
    </xf>
    <xf numFmtId="0" fontId="26" fillId="0" borderId="0" xfId="0" applyFont="1" applyFill="1" applyBorder="1"/>
    <xf numFmtId="0" fontId="69" fillId="0" borderId="0" xfId="0" applyFont="1"/>
    <xf numFmtId="0" fontId="24" fillId="0" borderId="0" xfId="0" applyFont="1" applyFill="1" applyBorder="1" applyAlignment="1">
      <alignment horizontal="left" vertical="center" wrapText="1"/>
    </xf>
    <xf numFmtId="0" fontId="35" fillId="0" borderId="0" xfId="0" applyFont="1" applyFill="1" applyBorder="1"/>
    <xf numFmtId="1" fontId="157" fillId="34" borderId="0" xfId="0" applyNumberFormat="1" applyFont="1" applyFill="1" applyBorder="1" applyAlignment="1">
      <alignment horizontal="center" vertical="center"/>
    </xf>
    <xf numFmtId="2" fontId="157" fillId="34" borderId="0" xfId="0" applyNumberFormat="1" applyFont="1" applyFill="1" applyBorder="1" applyAlignment="1">
      <alignment horizontal="center" vertical="center"/>
    </xf>
    <xf numFmtId="2" fontId="40" fillId="34" borderId="0" xfId="0" applyNumberFormat="1" applyFont="1" applyFill="1" applyBorder="1" applyAlignment="1">
      <alignment horizontal="center"/>
    </xf>
    <xf numFmtId="0" fontId="14" fillId="34" borderId="0" xfId="0" applyFont="1" applyFill="1" applyBorder="1" applyAlignment="1">
      <alignment horizontal="left" vertical="center" wrapText="1"/>
    </xf>
    <xf numFmtId="2" fontId="16" fillId="0" borderId="0" xfId="0" applyNumberFormat="1" applyFont="1" applyFill="1" applyBorder="1" applyAlignment="1">
      <alignment horizontal="right" vertical="center"/>
    </xf>
    <xf numFmtId="0" fontId="24" fillId="0" borderId="0" xfId="0" applyFont="1" applyFill="1" applyBorder="1" applyAlignment="1">
      <alignment vertical="center" wrapText="1"/>
    </xf>
    <xf numFmtId="4" fontId="119" fillId="0" borderId="0" xfId="0" applyNumberFormat="1" applyFont="1" applyFill="1" applyBorder="1" applyAlignment="1">
      <alignment horizontal="center" vertical="center" wrapText="1"/>
    </xf>
    <xf numFmtId="0" fontId="14" fillId="34" borderId="0" xfId="0" applyFont="1" applyFill="1" applyBorder="1" applyAlignment="1"/>
    <xf numFmtId="0" fontId="132" fillId="0" borderId="0" xfId="0" applyFont="1" applyFill="1" applyBorder="1" applyAlignment="1">
      <alignment horizontal="left" vertical="top" wrapText="1"/>
    </xf>
    <xf numFmtId="2" fontId="14" fillId="34" borderId="0" xfId="0" applyNumberFormat="1" applyFont="1" applyFill="1" applyBorder="1" applyAlignment="1">
      <alignment horizontal="left" vertical="center" wrapText="1"/>
    </xf>
    <xf numFmtId="0" fontId="132" fillId="34" borderId="0" xfId="0" applyFont="1" applyFill="1"/>
    <xf numFmtId="164" fontId="132" fillId="34" borderId="0" xfId="0" applyNumberFormat="1" applyFont="1" applyFill="1"/>
    <xf numFmtId="0" fontId="14" fillId="0" borderId="0" xfId="0" applyFont="1" applyFill="1" applyBorder="1" applyAlignment="1"/>
    <xf numFmtId="2" fontId="119" fillId="0" borderId="0" xfId="0" applyNumberFormat="1" applyFont="1" applyFill="1" applyBorder="1" applyAlignment="1">
      <alignment horizontal="center" vertical="center"/>
    </xf>
    <xf numFmtId="2" fontId="119" fillId="34" borderId="0" xfId="0" applyNumberFormat="1" applyFont="1" applyFill="1" applyBorder="1" applyAlignment="1">
      <alignment horizontal="center" vertical="center"/>
    </xf>
    <xf numFmtId="0" fontId="126" fillId="0" borderId="0" xfId="0" applyFont="1" applyFill="1"/>
    <xf numFmtId="1" fontId="4" fillId="0" borderId="0" xfId="0" applyNumberFormat="1" applyFont="1" applyFill="1"/>
    <xf numFmtId="1" fontId="30" fillId="34" borderId="0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vertical="top" wrapText="1"/>
    </xf>
    <xf numFmtId="2" fontId="123" fillId="0" borderId="0" xfId="0" applyNumberFormat="1" applyFont="1" applyFill="1" applyBorder="1" applyAlignment="1">
      <alignment horizontal="center"/>
    </xf>
    <xf numFmtId="2" fontId="123" fillId="0" borderId="0" xfId="0" applyNumberFormat="1" applyFont="1" applyFill="1" applyBorder="1" applyAlignment="1">
      <alignment horizontal="center" vertical="center"/>
    </xf>
    <xf numFmtId="0" fontId="123" fillId="0" borderId="0" xfId="0" applyFont="1" applyFill="1" applyBorder="1" applyAlignment="1">
      <alignment horizontal="center"/>
    </xf>
    <xf numFmtId="2" fontId="17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 wrapText="1"/>
    </xf>
    <xf numFmtId="0" fontId="39" fillId="34" borderId="0" xfId="0" applyFont="1" applyFill="1" applyBorder="1" applyAlignment="1">
      <alignment horizontal="left" vertical="center" wrapText="1"/>
    </xf>
    <xf numFmtId="164" fontId="24" fillId="34" borderId="0" xfId="0" applyNumberFormat="1" applyFont="1" applyFill="1" applyBorder="1" applyAlignment="1">
      <alignment horizontal="left" vertical="center" wrapText="1"/>
    </xf>
    <xf numFmtId="2" fontId="109" fillId="34" borderId="0" xfId="0" applyNumberFormat="1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left" vertical="center"/>
    </xf>
    <xf numFmtId="165" fontId="82" fillId="0" borderId="0" xfId="0" applyNumberFormat="1" applyFont="1"/>
    <xf numFmtId="0" fontId="126" fillId="0" borderId="0" xfId="0" applyFont="1" applyFill="1" applyBorder="1" applyAlignment="1">
      <alignment horizontal="left" vertical="center"/>
    </xf>
    <xf numFmtId="0" fontId="24" fillId="0" borderId="0" xfId="196" applyFont="1" applyBorder="1" applyAlignment="1">
      <alignment horizontal="center" vertical="center"/>
    </xf>
    <xf numFmtId="166" fontId="24" fillId="0" borderId="0" xfId="196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145" fillId="0" borderId="0" xfId="0" applyFont="1" applyBorder="1" applyAlignment="1">
      <alignment horizontal="left" vertical="top" wrapText="1"/>
    </xf>
    <xf numFmtId="0" fontId="145" fillId="0" borderId="0" xfId="0" applyFont="1" applyBorder="1" applyAlignment="1">
      <alignment horizontal="left" wrapText="1"/>
    </xf>
    <xf numFmtId="164" fontId="28" fillId="0" borderId="0" xfId="0" applyNumberFormat="1" applyFont="1" applyFill="1" applyAlignment="1">
      <alignment horizontal="center" vertical="center"/>
    </xf>
    <xf numFmtId="0" fontId="145" fillId="0" borderId="0" xfId="0" applyFont="1" applyBorder="1" applyAlignment="1">
      <alignment horizontal="left" vertical="top" wrapText="1"/>
    </xf>
    <xf numFmtId="0" fontId="145" fillId="0" borderId="0" xfId="0" applyFont="1" applyBorder="1" applyAlignment="1">
      <alignment horizontal="left" wrapText="1"/>
    </xf>
    <xf numFmtId="0" fontId="153" fillId="2" borderId="10" xfId="0" applyFont="1" applyFill="1" applyBorder="1" applyAlignment="1">
      <alignment horizontal="center"/>
    </xf>
    <xf numFmtId="0" fontId="153" fillId="2" borderId="0" xfId="0" applyFont="1" applyFill="1" applyBorder="1" applyAlignment="1">
      <alignment horizontal="center"/>
    </xf>
    <xf numFmtId="0" fontId="153" fillId="2" borderId="11" xfId="0" applyFont="1" applyFill="1" applyBorder="1" applyAlignment="1">
      <alignment horizontal="center"/>
    </xf>
    <xf numFmtId="0" fontId="133" fillId="0" borderId="0" xfId="0" applyFont="1" applyFill="1" applyBorder="1" applyAlignment="1">
      <alignment horizontal="right" vertical="center"/>
    </xf>
    <xf numFmtId="1" fontId="118" fillId="34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/>
    </xf>
    <xf numFmtId="2" fontId="18" fillId="0" borderId="0" xfId="0" applyNumberFormat="1" applyFont="1" applyFill="1" applyBorder="1" applyAlignment="1">
      <alignment horizontal="left" vertical="center" wrapText="1"/>
    </xf>
    <xf numFmtId="0" fontId="40" fillId="34" borderId="0" xfId="0" applyFont="1" applyFill="1" applyBorder="1" applyAlignment="1">
      <alignment horizontal="center" vertical="center" wrapText="1"/>
    </xf>
    <xf numFmtId="0" fontId="16" fillId="0" borderId="48" xfId="196" applyFont="1" applyBorder="1" applyAlignment="1">
      <alignment horizontal="center" vertical="center" wrapText="1"/>
    </xf>
    <xf numFmtId="0" fontId="0" fillId="0" borderId="0" xfId="0"/>
    <xf numFmtId="0" fontId="0" fillId="0" borderId="11" xfId="0" applyBorder="1"/>
    <xf numFmtId="172" fontId="153" fillId="0" borderId="10" xfId="0" applyNumberFormat="1" applyFont="1" applyFill="1" applyBorder="1" applyAlignment="1">
      <alignment horizontal="center"/>
    </xf>
    <xf numFmtId="0" fontId="0" fillId="0" borderId="0" xfId="0"/>
    <xf numFmtId="0" fontId="30" fillId="0" borderId="3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30" fillId="0" borderId="0" xfId="0" applyFont="1" applyAlignment="1">
      <alignment horizontal="left" wrapText="1"/>
    </xf>
    <xf numFmtId="0" fontId="39" fillId="0" borderId="3" xfId="0" applyFont="1" applyFill="1" applyBorder="1" applyAlignment="1">
      <alignment horizontal="center" vertical="center" wrapText="1"/>
    </xf>
    <xf numFmtId="0" fontId="39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/>
    </xf>
    <xf numFmtId="0" fontId="34" fillId="0" borderId="0" xfId="196" applyFont="1" applyBorder="1" applyAlignment="1">
      <alignment horizontal="left" wrapText="1"/>
    </xf>
    <xf numFmtId="0" fontId="16" fillId="0" borderId="0" xfId="0" applyFont="1" applyBorder="1" applyAlignment="1">
      <alignment wrapText="1"/>
    </xf>
    <xf numFmtId="0" fontId="22" fillId="0" borderId="0" xfId="0" applyFont="1" applyAlignment="1">
      <alignment wrapText="1"/>
    </xf>
    <xf numFmtId="0" fontId="35" fillId="0" borderId="2" xfId="0" applyFont="1" applyBorder="1" applyAlignment="1">
      <alignment horizontal="center" vertical="center" wrapText="1"/>
    </xf>
    <xf numFmtId="0" fontId="24" fillId="34" borderId="0" xfId="0" applyFont="1" applyFill="1" applyBorder="1" applyAlignment="1">
      <alignment horizontal="left" vertical="center"/>
    </xf>
    <xf numFmtId="0" fontId="15" fillId="0" borderId="0" xfId="0" applyFont="1" applyAlignment="1"/>
    <xf numFmtId="0" fontId="30" fillId="0" borderId="61" xfId="0" applyFont="1" applyFill="1" applyBorder="1" applyAlignment="1">
      <alignment wrapText="1"/>
    </xf>
    <xf numFmtId="181" fontId="16" fillId="0" borderId="0" xfId="0" applyNumberFormat="1" applyFont="1" applyFill="1"/>
    <xf numFmtId="2" fontId="179" fillId="0" borderId="0" xfId="0" applyNumberFormat="1" applyFont="1"/>
    <xf numFmtId="0" fontId="30" fillId="0" borderId="2" xfId="0" applyFont="1" applyFill="1" applyBorder="1" applyAlignment="1">
      <alignment horizontal="center" vertical="center"/>
    </xf>
    <xf numFmtId="0" fontId="30" fillId="0" borderId="0" xfId="0" applyFont="1" applyFill="1" applyAlignment="1">
      <alignment horizontal="right"/>
    </xf>
    <xf numFmtId="0" fontId="28" fillId="0" borderId="70" xfId="0" applyFont="1" applyFill="1" applyBorder="1" applyAlignment="1">
      <alignment horizontal="center" vertical="center"/>
    </xf>
    <xf numFmtId="2" fontId="16" fillId="0" borderId="0" xfId="0" applyNumberFormat="1" applyFont="1" applyAlignment="1"/>
    <xf numFmtId="0" fontId="123" fillId="0" borderId="0" xfId="232" applyFont="1" applyBorder="1" applyAlignment="1">
      <alignment vertical="center"/>
    </xf>
    <xf numFmtId="0" fontId="123" fillId="0" borderId="0" xfId="232" applyFont="1" applyAlignment="1">
      <alignment vertical="center"/>
    </xf>
    <xf numFmtId="182" fontId="109" fillId="0" borderId="0" xfId="136" applyNumberFormat="1" applyFont="1"/>
    <xf numFmtId="2" fontId="1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left" wrapText="1"/>
    </xf>
    <xf numFmtId="0" fontId="109" fillId="0" borderId="0" xfId="0" applyFont="1" applyFill="1" applyBorder="1" applyAlignment="1">
      <alignment horizontal="right"/>
    </xf>
    <xf numFmtId="0" fontId="18" fillId="0" borderId="2" xfId="0" applyFont="1" applyBorder="1" applyAlignment="1">
      <alignment horizontal="center" vertical="center" wrapText="1"/>
    </xf>
    <xf numFmtId="0" fontId="132" fillId="0" borderId="2" xfId="0" applyFont="1" applyBorder="1" applyAlignment="1">
      <alignment horizontal="center" vertical="top" wrapText="1"/>
    </xf>
    <xf numFmtId="0" fontId="121" fillId="0" borderId="69" xfId="0" applyFont="1" applyFill="1" applyBorder="1" applyAlignment="1">
      <alignment vertical="center"/>
    </xf>
    <xf numFmtId="0" fontId="124" fillId="0" borderId="71" xfId="0" applyFont="1" applyFill="1" applyBorder="1" applyAlignment="1">
      <alignment horizontal="center" vertical="center" wrapText="1"/>
    </xf>
    <xf numFmtId="1" fontId="126" fillId="34" borderId="0" xfId="0" applyNumberFormat="1" applyFont="1" applyFill="1"/>
    <xf numFmtId="0" fontId="48" fillId="0" borderId="39" xfId="0" applyFont="1" applyFill="1" applyBorder="1" applyAlignment="1"/>
    <xf numFmtId="0" fontId="47" fillId="0" borderId="39" xfId="0" applyFont="1" applyBorder="1" applyAlignment="1">
      <alignment horizontal="left" wrapText="1"/>
    </xf>
    <xf numFmtId="0" fontId="47" fillId="0" borderId="39" xfId="0" applyFont="1" applyBorder="1" applyAlignment="1">
      <alignment horizontal="right" wrapText="1"/>
    </xf>
    <xf numFmtId="0" fontId="14" fillId="0" borderId="39" xfId="0" applyFont="1" applyBorder="1" applyAlignment="1">
      <alignment horizontal="center" wrapText="1"/>
    </xf>
    <xf numFmtId="0" fontId="17" fillId="0" borderId="39" xfId="0" applyFont="1" applyBorder="1" applyAlignment="1">
      <alignment vertical="top" wrapText="1"/>
    </xf>
    <xf numFmtId="0" fontId="16" fillId="0" borderId="39" xfId="0" applyFont="1" applyBorder="1" applyAlignment="1">
      <alignment wrapText="1"/>
    </xf>
    <xf numFmtId="0" fontId="16" fillId="0" borderId="39" xfId="0" applyFont="1" applyBorder="1" applyAlignment="1">
      <alignment horizontal="center" vertical="center" wrapText="1"/>
    </xf>
    <xf numFmtId="0" fontId="19" fillId="0" borderId="0" xfId="0" applyFont="1" applyBorder="1" applyAlignment="1">
      <alignment vertical="top" wrapText="1"/>
    </xf>
    <xf numFmtId="0" fontId="14" fillId="0" borderId="0" xfId="0" applyFont="1" applyFill="1" applyBorder="1" applyAlignment="1">
      <alignment horizontal="left" vertical="center" wrapText="1"/>
    </xf>
    <xf numFmtId="0" fontId="14" fillId="34" borderId="0" xfId="0" applyFont="1" applyFill="1" applyBorder="1" applyAlignment="1">
      <alignment horizontal="left" vertical="center" wrapText="1"/>
    </xf>
    <xf numFmtId="0" fontId="14" fillId="0" borderId="5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wrapText="1"/>
    </xf>
    <xf numFmtId="0" fontId="145" fillId="0" borderId="0" xfId="0" applyFont="1" applyBorder="1" applyAlignment="1">
      <alignment horizontal="left" vertical="top" wrapText="1"/>
    </xf>
    <xf numFmtId="0" fontId="145" fillId="0" borderId="0" xfId="0" applyFont="1" applyBorder="1" applyAlignment="1">
      <alignment horizontal="left" wrapText="1"/>
    </xf>
    <xf numFmtId="0" fontId="0" fillId="0" borderId="0" xfId="0"/>
    <xf numFmtId="0" fontId="151" fillId="0" borderId="0" xfId="0" applyFont="1" applyFill="1" applyBorder="1" applyAlignment="1">
      <alignment horizontal="left" vertical="center" wrapText="1"/>
    </xf>
    <xf numFmtId="0" fontId="133" fillId="0" borderId="0" xfId="0" applyFont="1" applyFill="1" applyBorder="1" applyAlignment="1">
      <alignment horizontal="right" vertical="center"/>
    </xf>
    <xf numFmtId="0" fontId="122" fillId="0" borderId="0" xfId="0" applyFont="1" applyFill="1" applyBorder="1" applyAlignment="1">
      <alignment horizontal="left"/>
    </xf>
    <xf numFmtId="0" fontId="122" fillId="34" borderId="0" xfId="0" applyFont="1" applyFill="1" applyBorder="1" applyAlignment="1">
      <alignment horizontal="left"/>
    </xf>
    <xf numFmtId="165" fontId="0" fillId="0" borderId="0" xfId="0" applyNumberFormat="1"/>
    <xf numFmtId="0" fontId="24" fillId="34" borderId="0" xfId="0" applyFont="1" applyFill="1" applyBorder="1" applyAlignment="1">
      <alignment horizontal="right" wrapText="1"/>
    </xf>
    <xf numFmtId="0" fontId="24" fillId="34" borderId="0" xfId="0" applyFont="1" applyFill="1" applyBorder="1" applyAlignment="1">
      <alignment wrapText="1"/>
    </xf>
    <xf numFmtId="0" fontId="39" fillId="0" borderId="0" xfId="0" applyFont="1" applyBorder="1" applyAlignment="1">
      <alignment vertical="justify" wrapText="1"/>
    </xf>
    <xf numFmtId="0" fontId="145" fillId="0" borderId="0" xfId="0" applyFont="1" applyBorder="1" applyAlignment="1">
      <alignment horizontal="left" wrapText="1"/>
    </xf>
    <xf numFmtId="0" fontId="145" fillId="0" borderId="0" xfId="0" applyFont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vertical="center"/>
    </xf>
    <xf numFmtId="0" fontId="83" fillId="0" borderId="0" xfId="0" applyFont="1" applyBorder="1" applyAlignment="1">
      <alignment horizontal="right" wrapText="1"/>
    </xf>
    <xf numFmtId="0" fontId="132" fillId="34" borderId="0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vertical="center"/>
    </xf>
    <xf numFmtId="0" fontId="24" fillId="34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top"/>
    </xf>
    <xf numFmtId="0" fontId="16" fillId="34" borderId="0" xfId="0" applyFont="1" applyFill="1" applyBorder="1" applyAlignment="1">
      <alignment horizontal="left" vertical="top"/>
    </xf>
    <xf numFmtId="164" fontId="117" fillId="0" borderId="0" xfId="0" applyNumberFormat="1" applyFont="1" applyFill="1" applyBorder="1" applyAlignment="1">
      <alignment horizontal="right" vertical="center"/>
    </xf>
    <xf numFmtId="166" fontId="16" fillId="0" borderId="0" xfId="196" applyNumberFormat="1" applyFont="1" applyBorder="1"/>
    <xf numFmtId="0" fontId="34" fillId="0" borderId="0" xfId="196" applyFont="1" applyBorder="1" applyAlignment="1">
      <alignment horizontal="left" wrapText="1"/>
    </xf>
    <xf numFmtId="2" fontId="24" fillId="34" borderId="0" xfId="0" applyNumberFormat="1" applyFont="1" applyFill="1" applyBorder="1" applyAlignment="1">
      <alignment horizontal="right" vertical="center"/>
    </xf>
    <xf numFmtId="4" fontId="119" fillId="34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17" fontId="41" fillId="34" borderId="0" xfId="0" applyNumberFormat="1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6" fillId="0" borderId="0" xfId="0" applyFont="1" applyAlignment="1">
      <alignment wrapText="1"/>
    </xf>
    <xf numFmtId="0" fontId="109" fillId="34" borderId="0" xfId="0" applyFont="1" applyFill="1" applyBorder="1" applyAlignment="1"/>
    <xf numFmtId="0" fontId="109" fillId="34" borderId="0" xfId="0" applyFont="1" applyFill="1" applyBorder="1" applyAlignment="1">
      <alignment horizontal="right"/>
    </xf>
    <xf numFmtId="0" fontId="14" fillId="0" borderId="2" xfId="0" applyFont="1" applyBorder="1" applyAlignment="1">
      <alignment horizontal="center" vertical="center" wrapText="1"/>
    </xf>
    <xf numFmtId="0" fontId="82" fillId="0" borderId="0" xfId="196" applyFont="1" applyBorder="1" applyAlignment="1">
      <alignment horizontal="left" vertical="center" wrapText="1"/>
    </xf>
    <xf numFmtId="0" fontId="82" fillId="0" borderId="0" xfId="196" applyFont="1"/>
    <xf numFmtId="49" fontId="82" fillId="0" borderId="0" xfId="196" applyNumberFormat="1" applyFont="1" applyAlignment="1">
      <alignment horizontal="left"/>
    </xf>
    <xf numFmtId="49" fontId="82" fillId="0" borderId="0" xfId="196" applyNumberFormat="1" applyFont="1" applyAlignment="1"/>
    <xf numFmtId="0" fontId="192" fillId="0" borderId="0" xfId="196" applyFont="1" applyAlignment="1">
      <alignment horizontal="left"/>
    </xf>
    <xf numFmtId="0" fontId="132" fillId="0" borderId="3" xfId="0" applyFont="1" applyBorder="1" applyAlignment="1">
      <alignment horizontal="center" vertical="top" wrapText="1"/>
    </xf>
    <xf numFmtId="0" fontId="132" fillId="0" borderId="3" xfId="196" applyFont="1" applyBorder="1" applyAlignment="1">
      <alignment horizontal="center" vertical="top" wrapText="1"/>
    </xf>
    <xf numFmtId="0" fontId="132" fillId="0" borderId="57" xfId="196" applyFont="1" applyBorder="1" applyAlignment="1">
      <alignment horizontal="center" vertical="top" wrapText="1"/>
    </xf>
    <xf numFmtId="0" fontId="132" fillId="0" borderId="3" xfId="196" applyFont="1" applyBorder="1" applyAlignment="1">
      <alignment vertical="top" wrapText="1"/>
    </xf>
    <xf numFmtId="0" fontId="16" fillId="34" borderId="0" xfId="0" applyFont="1" applyFill="1" applyAlignment="1">
      <alignment horizontal="center"/>
    </xf>
    <xf numFmtId="0" fontId="16" fillId="0" borderId="0" xfId="0" applyFont="1" applyFill="1" applyBorder="1" applyAlignment="1">
      <alignment horizontal="left" vertical="center"/>
    </xf>
    <xf numFmtId="0" fontId="0" fillId="0" borderId="0" xfId="0"/>
    <xf numFmtId="0" fontId="16" fillId="0" borderId="0" xfId="0" applyFont="1" applyFill="1" applyBorder="1" applyAlignment="1">
      <alignment horizontal="left" vertical="center"/>
    </xf>
    <xf numFmtId="0" fontId="0" fillId="0" borderId="0" xfId="0"/>
    <xf numFmtId="0" fontId="17" fillId="0" borderId="2" xfId="0" applyFont="1" applyFill="1" applyBorder="1" applyAlignment="1">
      <alignment horizontal="center" vertical="center" wrapText="1"/>
    </xf>
    <xf numFmtId="164" fontId="15" fillId="0" borderId="0" xfId="0" applyNumberFormat="1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 vertical="center"/>
    </xf>
    <xf numFmtId="0" fontId="29" fillId="0" borderId="55" xfId="0" applyFont="1" applyFill="1" applyBorder="1" applyAlignment="1">
      <alignment horizontal="center" vertical="center" wrapText="1"/>
    </xf>
    <xf numFmtId="164" fontId="33" fillId="0" borderId="0" xfId="0" applyNumberFormat="1" applyFont="1" applyFill="1" applyBorder="1"/>
    <xf numFmtId="0" fontId="33" fillId="0" borderId="0" xfId="0" applyFont="1" applyFill="1" applyBorder="1"/>
    <xf numFmtId="164" fontId="28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181" fontId="16" fillId="0" borderId="0" xfId="0" applyNumberFormat="1" applyFont="1" applyFill="1" applyBorder="1"/>
    <xf numFmtId="164" fontId="109" fillId="36" borderId="0" xfId="196" applyNumberFormat="1" applyFont="1" applyFill="1" applyBorder="1" applyAlignment="1">
      <alignment horizontal="right" vertical="center"/>
    </xf>
    <xf numFmtId="164" fontId="117" fillId="34" borderId="0" xfId="0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top" wrapText="1"/>
    </xf>
    <xf numFmtId="0" fontId="14" fillId="0" borderId="56" xfId="0" applyFont="1" applyFill="1" applyBorder="1" applyAlignment="1">
      <alignment horizontal="center" vertical="top" wrapText="1"/>
    </xf>
    <xf numFmtId="0" fontId="34" fillId="0" borderId="0" xfId="0" applyFont="1" applyFill="1" applyBorder="1" applyAlignment="1">
      <alignment horizontal="left"/>
    </xf>
    <xf numFmtId="2" fontId="109" fillId="0" borderId="6" xfId="0" applyNumberFormat="1" applyFont="1" applyFill="1" applyBorder="1" applyAlignment="1">
      <alignment horizontal="center" vertical="center"/>
    </xf>
    <xf numFmtId="1" fontId="16" fillId="0" borderId="0" xfId="0" applyNumberFormat="1" applyFont="1" applyBorder="1" applyAlignment="1">
      <alignment horizontal="right"/>
    </xf>
    <xf numFmtId="0" fontId="83" fillId="0" borderId="0" xfId="0" applyFont="1" applyBorder="1" applyAlignment="1">
      <alignment horizontal="right" vertical="center" wrapText="1"/>
    </xf>
    <xf numFmtId="0" fontId="82" fillId="0" borderId="0" xfId="0" applyFont="1" applyBorder="1" applyAlignment="1">
      <alignment horizontal="right" vertical="center" wrapText="1"/>
    </xf>
    <xf numFmtId="49" fontId="83" fillId="0" borderId="0" xfId="0" applyNumberFormat="1" applyFont="1" applyBorder="1" applyAlignment="1">
      <alignment horizontal="right" vertical="center" wrapText="1"/>
    </xf>
    <xf numFmtId="164" fontId="82" fillId="0" borderId="0" xfId="0" applyNumberFormat="1" applyFont="1" applyBorder="1" applyAlignment="1">
      <alignment horizontal="left" vertical="center" wrapText="1"/>
    </xf>
    <xf numFmtId="0" fontId="82" fillId="0" borderId="0" xfId="0" applyFont="1" applyBorder="1" applyAlignment="1">
      <alignment horizontal="center" vertical="center"/>
    </xf>
    <xf numFmtId="0" fontId="82" fillId="0" borderId="0" xfId="0" applyFont="1" applyBorder="1" applyAlignment="1">
      <alignment vertical="center"/>
    </xf>
    <xf numFmtId="0" fontId="83" fillId="0" borderId="0" xfId="0" applyFont="1" applyBorder="1" applyAlignment="1">
      <alignment horizontal="center" vertical="center"/>
    </xf>
    <xf numFmtId="0" fontId="49" fillId="0" borderId="0" xfId="196" applyFont="1" applyBorder="1" applyAlignment="1">
      <alignment horizontal="right" vertical="center" wrapText="1"/>
    </xf>
    <xf numFmtId="0" fontId="49" fillId="0" borderId="0" xfId="196" applyFont="1" applyBorder="1" applyAlignment="1">
      <alignment horizontal="right" wrapText="1"/>
    </xf>
    <xf numFmtId="0" fontId="123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1" fontId="129" fillId="0" borderId="0" xfId="0" applyNumberFormat="1" applyFont="1" applyFill="1" applyBorder="1"/>
    <xf numFmtId="0" fontId="0" fillId="0" borderId="0" xfId="0"/>
    <xf numFmtId="0" fontId="16" fillId="0" borderId="0" xfId="0" applyFont="1" applyFill="1" applyBorder="1" applyAlignment="1">
      <alignment horizontal="left" vertical="center"/>
    </xf>
    <xf numFmtId="164" fontId="24" fillId="0" borderId="0" xfId="0" applyNumberFormat="1" applyFont="1" applyFill="1" applyBorder="1" applyAlignment="1">
      <alignment horizontal="left" vertical="center" wrapText="1"/>
    </xf>
    <xf numFmtId="166" fontId="0" fillId="0" borderId="0" xfId="0" applyNumberFormat="1"/>
    <xf numFmtId="2" fontId="34" fillId="0" borderId="0" xfId="196" applyNumberFormat="1" applyFont="1" applyFill="1"/>
    <xf numFmtId="2" fontId="34" fillId="0" borderId="0" xfId="196" applyNumberFormat="1" applyFont="1" applyBorder="1" applyAlignment="1">
      <alignment wrapText="1"/>
    </xf>
    <xf numFmtId="0" fontId="16" fillId="0" borderId="6" xfId="0" applyFont="1" applyFill="1" applyBorder="1" applyAlignment="1">
      <alignment horizontal="right" vertical="center"/>
    </xf>
    <xf numFmtId="1" fontId="109" fillId="0" borderId="6" xfId="0" applyNumberFormat="1" applyFont="1" applyFill="1" applyBorder="1" applyAlignment="1">
      <alignment horizontal="center" vertical="center"/>
    </xf>
    <xf numFmtId="1" fontId="109" fillId="34" borderId="0" xfId="0" applyNumberFormat="1" applyFont="1" applyFill="1" applyBorder="1" applyAlignment="1">
      <alignment horizontal="right" vertical="center"/>
    </xf>
    <xf numFmtId="1" fontId="16" fillId="0" borderId="6" xfId="0" applyNumberFormat="1" applyFont="1" applyFill="1" applyBorder="1" applyAlignment="1">
      <alignment horizontal="center" vertical="center"/>
    </xf>
    <xf numFmtId="1" fontId="109" fillId="0" borderId="6" xfId="0" applyNumberFormat="1" applyFont="1" applyFill="1" applyBorder="1" applyAlignment="1">
      <alignment horizontal="right" vertical="center"/>
    </xf>
    <xf numFmtId="1" fontId="24" fillId="35" borderId="0" xfId="0" applyNumberFormat="1" applyFont="1" applyFill="1" applyBorder="1" applyAlignment="1">
      <alignment horizontal="center" vertical="center"/>
    </xf>
    <xf numFmtId="2" fontId="24" fillId="35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24" fillId="34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14" fillId="0" borderId="39" xfId="0" applyFont="1" applyBorder="1" applyAlignment="1">
      <alignment wrapText="1"/>
    </xf>
    <xf numFmtId="0" fontId="173" fillId="0" borderId="48" xfId="0" applyFont="1" applyBorder="1" applyAlignment="1">
      <alignment horizontal="center" vertical="top" wrapText="1"/>
    </xf>
    <xf numFmtId="166" fontId="0" fillId="0" borderId="0" xfId="0" applyNumberFormat="1" applyBorder="1"/>
    <xf numFmtId="0" fontId="157" fillId="0" borderId="0" xfId="0" applyFont="1" applyBorder="1" applyAlignment="1">
      <alignment vertical="center"/>
    </xf>
    <xf numFmtId="0" fontId="24" fillId="34" borderId="0" xfId="0" applyFont="1" applyFill="1" applyBorder="1" applyAlignment="1">
      <alignment horizontal="left" vertical="center"/>
    </xf>
    <xf numFmtId="0" fontId="0" fillId="0" borderId="0" xfId="0"/>
    <xf numFmtId="0" fontId="30" fillId="0" borderId="42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/>
    </xf>
    <xf numFmtId="0" fontId="30" fillId="0" borderId="0" xfId="0" applyFont="1" applyFill="1" applyAlignment="1">
      <alignment horizontal="right"/>
    </xf>
    <xf numFmtId="0" fontId="120" fillId="0" borderId="0" xfId="0" applyFont="1" applyFill="1" applyBorder="1" applyAlignment="1">
      <alignment horizontal="right" vertical="center"/>
    </xf>
    <xf numFmtId="0" fontId="121" fillId="0" borderId="42" xfId="0" applyFont="1" applyFill="1" applyBorder="1" applyAlignment="1">
      <alignment vertical="center"/>
    </xf>
    <xf numFmtId="0" fontId="120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18" fillId="0" borderId="42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left" wrapText="1"/>
    </xf>
    <xf numFmtId="0" fontId="14" fillId="0" borderId="2" xfId="0" applyFont="1" applyBorder="1" applyAlignment="1">
      <alignment horizontal="center" wrapText="1"/>
    </xf>
    <xf numFmtId="164" fontId="24" fillId="0" borderId="0" xfId="0" applyNumberFormat="1" applyFont="1" applyFill="1" applyBorder="1" applyAlignment="1">
      <alignment horizontal="right" vertical="center"/>
    </xf>
    <xf numFmtId="0" fontId="24" fillId="0" borderId="70" xfId="0" applyFont="1" applyFill="1" applyBorder="1" applyAlignment="1">
      <alignment horizontal="center" vertical="center"/>
    </xf>
    <xf numFmtId="1" fontId="65" fillId="0" borderId="0" xfId="0" applyNumberFormat="1" applyFont="1" applyFill="1" applyBorder="1"/>
    <xf numFmtId="0" fontId="39" fillId="0" borderId="6" xfId="0" applyFont="1" applyFill="1" applyBorder="1" applyAlignment="1">
      <alignment horizontal="left" wrapText="1"/>
    </xf>
    <xf numFmtId="0" fontId="39" fillId="0" borderId="2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/>
    </xf>
    <xf numFmtId="0" fontId="17" fillId="0" borderId="39" xfId="0" applyFont="1" applyBorder="1" applyAlignment="1">
      <alignment horizontal="right" wrapText="1"/>
    </xf>
    <xf numFmtId="0" fontId="14" fillId="0" borderId="0" xfId="0" applyFont="1" applyFill="1" applyBorder="1" applyAlignment="1">
      <alignment horizontal="left" vertical="center" wrapText="1"/>
    </xf>
    <xf numFmtId="0" fontId="14" fillId="34" borderId="0" xfId="0" applyFont="1" applyFill="1" applyBorder="1" applyAlignment="1">
      <alignment horizontal="left" vertical="center" wrapText="1"/>
    </xf>
    <xf numFmtId="0" fontId="15" fillId="0" borderId="0" xfId="0" applyFont="1" applyAlignment="1"/>
    <xf numFmtId="0" fontId="22" fillId="0" borderId="0" xfId="196" applyFont="1" applyBorder="1" applyAlignment="1"/>
    <xf numFmtId="0" fontId="16" fillId="0" borderId="0" xfId="0" applyFont="1" applyFill="1" applyBorder="1" applyAlignment="1">
      <alignment horizontal="left" vertical="center"/>
    </xf>
    <xf numFmtId="0" fontId="16" fillId="35" borderId="0" xfId="0" applyFont="1" applyFill="1" applyBorder="1" applyAlignment="1">
      <alignment horizontal="left" vertical="top"/>
    </xf>
    <xf numFmtId="164" fontId="117" fillId="35" borderId="0" xfId="0" applyNumberFormat="1" applyFont="1" applyFill="1" applyBorder="1" applyAlignment="1">
      <alignment horizontal="center" vertical="center" wrapText="1"/>
    </xf>
    <xf numFmtId="164" fontId="117" fillId="35" borderId="0" xfId="0" applyNumberFormat="1" applyFont="1" applyFill="1" applyBorder="1" applyAlignment="1">
      <alignment horizontal="left" vertical="center" wrapText="1"/>
    </xf>
    <xf numFmtId="2" fontId="117" fillId="35" borderId="0" xfId="0" applyNumberFormat="1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left"/>
    </xf>
    <xf numFmtId="164" fontId="117" fillId="0" borderId="6" xfId="0" applyNumberFormat="1" applyFont="1" applyFill="1" applyBorder="1" applyAlignment="1">
      <alignment horizontal="center" vertical="center" wrapText="1"/>
    </xf>
    <xf numFmtId="0" fontId="16" fillId="35" borderId="0" xfId="0" applyFont="1" applyFill="1" applyBorder="1" applyAlignment="1">
      <alignment vertical="center"/>
    </xf>
    <xf numFmtId="0" fontId="16" fillId="35" borderId="0" xfId="0" applyFont="1" applyFill="1" applyBorder="1" applyAlignment="1">
      <alignment horizontal="left" vertical="center"/>
    </xf>
    <xf numFmtId="164" fontId="16" fillId="35" borderId="0" xfId="0" applyNumberFormat="1" applyFont="1" applyFill="1" applyBorder="1" applyAlignment="1">
      <alignment horizontal="center" vertical="center"/>
    </xf>
    <xf numFmtId="164" fontId="117" fillId="35" borderId="0" xfId="0" applyNumberFormat="1" applyFont="1" applyFill="1" applyBorder="1" applyAlignment="1">
      <alignment horizontal="center" vertical="center"/>
    </xf>
    <xf numFmtId="0" fontId="16" fillId="35" borderId="0" xfId="0" applyFont="1" applyFill="1" applyBorder="1" applyAlignment="1">
      <alignment horizontal="right" vertical="center"/>
    </xf>
    <xf numFmtId="0" fontId="126" fillId="35" borderId="0" xfId="0" applyFont="1" applyFill="1" applyBorder="1" applyAlignment="1">
      <alignment horizontal="left" vertical="center" wrapText="1"/>
    </xf>
    <xf numFmtId="164" fontId="109" fillId="35" borderId="0" xfId="0" applyNumberFormat="1" applyFont="1" applyFill="1" applyBorder="1" applyAlignment="1">
      <alignment horizontal="center" vertical="center"/>
    </xf>
    <xf numFmtId="0" fontId="155" fillId="35" borderId="0" xfId="0" applyFont="1" applyFill="1" applyBorder="1" applyAlignment="1">
      <alignment vertical="center"/>
    </xf>
    <xf numFmtId="164" fontId="15" fillId="0" borderId="0" xfId="0" applyNumberFormat="1" applyFont="1" applyBorder="1"/>
    <xf numFmtId="183" fontId="155" fillId="0" borderId="0" xfId="0" applyNumberFormat="1" applyFont="1"/>
    <xf numFmtId="1" fontId="39" fillId="0" borderId="6" xfId="0" applyNumberFormat="1" applyFont="1" applyFill="1" applyBorder="1" applyAlignment="1">
      <alignment horizontal="center" vertical="center" wrapText="1"/>
    </xf>
    <xf numFmtId="4" fontId="39" fillId="0" borderId="6" xfId="0" applyNumberFormat="1" applyFont="1" applyFill="1" applyBorder="1" applyAlignment="1">
      <alignment horizontal="center" vertical="center" wrapText="1"/>
    </xf>
    <xf numFmtId="3" fontId="39" fillId="0" borderId="6" xfId="0" applyNumberFormat="1" applyFont="1" applyFill="1" applyBorder="1" applyAlignment="1">
      <alignment horizontal="center" vertical="center" wrapText="1"/>
    </xf>
    <xf numFmtId="2" fontId="123" fillId="0" borderId="6" xfId="0" applyNumberFormat="1" applyFont="1" applyFill="1" applyBorder="1" applyAlignment="1">
      <alignment horizontal="center"/>
    </xf>
    <xf numFmtId="2" fontId="123" fillId="0" borderId="6" xfId="0" applyNumberFormat="1" applyFont="1" applyFill="1" applyBorder="1" applyAlignment="1">
      <alignment horizontal="center" vertical="center"/>
    </xf>
    <xf numFmtId="0" fontId="123" fillId="0" borderId="6" xfId="0" applyFont="1" applyFill="1" applyBorder="1" applyAlignment="1">
      <alignment horizontal="center"/>
    </xf>
    <xf numFmtId="2" fontId="17" fillId="0" borderId="6" xfId="0" applyNumberFormat="1" applyFont="1" applyFill="1" applyBorder="1" applyAlignment="1">
      <alignment horizontal="center" vertical="center"/>
    </xf>
    <xf numFmtId="2" fontId="17" fillId="0" borderId="6" xfId="0" applyNumberFormat="1" applyFont="1" applyFill="1" applyBorder="1" applyAlignment="1">
      <alignment horizontal="center" vertical="center" wrapText="1"/>
    </xf>
    <xf numFmtId="1" fontId="17" fillId="0" borderId="6" xfId="0" applyNumberFormat="1" applyFont="1" applyFill="1" applyBorder="1" applyAlignment="1">
      <alignment horizontal="center" vertical="center" wrapText="1"/>
    </xf>
    <xf numFmtId="2" fontId="123" fillId="0" borderId="6" xfId="0" applyNumberFormat="1" applyFont="1" applyFill="1" applyBorder="1" applyAlignment="1">
      <alignment horizontal="left" vertical="center"/>
    </xf>
    <xf numFmtId="1" fontId="109" fillId="0" borderId="0" xfId="0" applyNumberFormat="1" applyFont="1" applyFill="1" applyBorder="1" applyAlignment="1">
      <alignment horizontal="right" vertical="center"/>
    </xf>
    <xf numFmtId="1" fontId="16" fillId="34" borderId="0" xfId="0" applyNumberFormat="1" applyFont="1" applyFill="1"/>
    <xf numFmtId="167" fontId="16" fillId="34" borderId="0" xfId="0" applyNumberFormat="1" applyFont="1" applyFill="1"/>
    <xf numFmtId="0" fontId="18" fillId="34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 vertical="center"/>
    </xf>
    <xf numFmtId="0" fontId="0" fillId="0" borderId="0" xfId="0"/>
    <xf numFmtId="0" fontId="14" fillId="0" borderId="0" xfId="0" applyFont="1" applyFill="1" applyBorder="1" applyAlignment="1">
      <alignment horizontal="left" vertical="center" wrapText="1"/>
    </xf>
    <xf numFmtId="0" fontId="16" fillId="38" borderId="0" xfId="0" applyFont="1" applyFill="1" applyBorder="1" applyAlignment="1">
      <alignment horizontal="left" vertical="center"/>
    </xf>
    <xf numFmtId="2" fontId="16" fillId="38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17" fillId="0" borderId="2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4" fillId="34" borderId="0" xfId="0" applyFont="1" applyFill="1" applyBorder="1" applyAlignment="1">
      <alignment horizontal="left" vertical="center" wrapText="1"/>
    </xf>
    <xf numFmtId="1" fontId="34" fillId="0" borderId="0" xfId="0" applyNumberFormat="1" applyFont="1" applyFill="1" applyBorder="1" applyAlignment="1">
      <alignment horizontal="left"/>
    </xf>
    <xf numFmtId="1" fontId="34" fillId="0" borderId="0" xfId="0" applyNumberFormat="1" applyFont="1" applyFill="1" applyAlignment="1"/>
    <xf numFmtId="0" fontId="16" fillId="0" borderId="0" xfId="0" applyFont="1" applyFill="1" applyBorder="1" applyAlignment="1">
      <alignment horizontal="left" vertical="center"/>
    </xf>
    <xf numFmtId="2" fontId="15" fillId="0" borderId="0" xfId="0" applyNumberFormat="1" applyFont="1" applyBorder="1" applyAlignment="1">
      <alignment horizontal="center" vertical="center" wrapText="1"/>
    </xf>
    <xf numFmtId="2" fontId="15" fillId="34" borderId="0" xfId="0" applyNumberFormat="1" applyFont="1" applyFill="1" applyBorder="1" applyAlignment="1">
      <alignment horizontal="center" vertical="center" wrapText="1"/>
    </xf>
    <xf numFmtId="0" fontId="35" fillId="34" borderId="0" xfId="0" applyFont="1" applyFill="1" applyBorder="1" applyAlignment="1">
      <alignment wrapText="1"/>
    </xf>
    <xf numFmtId="2" fontId="15" fillId="34" borderId="0" xfId="0" applyNumberFormat="1" applyFont="1" applyFill="1" applyBorder="1" applyAlignment="1">
      <alignment horizontal="center" wrapText="1"/>
    </xf>
    <xf numFmtId="2" fontId="15" fillId="0" borderId="0" xfId="0" applyNumberFormat="1" applyFont="1" applyBorder="1" applyAlignment="1">
      <alignment horizontal="center" wrapText="1"/>
    </xf>
    <xf numFmtId="2" fontId="15" fillId="0" borderId="0" xfId="0" applyNumberFormat="1" applyFont="1" applyFill="1" applyBorder="1" applyAlignment="1">
      <alignment horizontal="center" wrapText="1"/>
    </xf>
    <xf numFmtId="2" fontId="15" fillId="34" borderId="0" xfId="0" applyNumberFormat="1" applyFont="1" applyFill="1" applyBorder="1" applyAlignment="1">
      <alignment horizontal="center"/>
    </xf>
    <xf numFmtId="2" fontId="15" fillId="0" borderId="6" xfId="0" applyNumberFormat="1" applyFont="1" applyFill="1" applyBorder="1" applyAlignment="1">
      <alignment horizontal="center" vertical="center" wrapText="1"/>
    </xf>
    <xf numFmtId="2" fontId="15" fillId="0" borderId="6" xfId="0" applyNumberFormat="1" applyFont="1" applyFill="1" applyBorder="1" applyAlignment="1">
      <alignment horizontal="left" vertical="center" wrapText="1"/>
    </xf>
    <xf numFmtId="164" fontId="117" fillId="34" borderId="0" xfId="0" applyNumberFormat="1" applyFont="1" applyFill="1" applyBorder="1" applyAlignment="1">
      <alignment horizontal="left" vertical="center" wrapText="1"/>
    </xf>
    <xf numFmtId="2" fontId="109" fillId="0" borderId="0" xfId="0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horizontal="left" vertical="top" wrapText="1"/>
    </xf>
    <xf numFmtId="0" fontId="0" fillId="0" borderId="0" xfId="0"/>
    <xf numFmtId="164" fontId="123" fillId="0" borderId="0" xfId="0" applyNumberFormat="1" applyFont="1" applyFill="1" applyAlignment="1">
      <alignment horizontal="center" vertical="center"/>
    </xf>
    <xf numFmtId="0" fontId="0" fillId="0" borderId="0" xfId="0"/>
    <xf numFmtId="0" fontId="22" fillId="0" borderId="0" xfId="196" applyFont="1" applyAlignment="1">
      <alignment horizontal="right"/>
    </xf>
    <xf numFmtId="0" fontId="20" fillId="0" borderId="0" xfId="0" applyFont="1" applyAlignment="1">
      <alignment horizontal="left" vertical="center"/>
    </xf>
    <xf numFmtId="0" fontId="15" fillId="0" borderId="0" xfId="0" applyFont="1" applyAlignment="1"/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Alignment="1">
      <alignment horizontal="left"/>
    </xf>
    <xf numFmtId="0" fontId="24" fillId="34" borderId="0" xfId="0" applyFont="1" applyFill="1" applyBorder="1" applyAlignment="1">
      <alignment horizontal="left" vertical="center"/>
    </xf>
    <xf numFmtId="0" fontId="14" fillId="0" borderId="4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21" fillId="0" borderId="55" xfId="0" applyFont="1" applyBorder="1" applyAlignment="1">
      <alignment horizontal="center" vertical="center" wrapText="1"/>
    </xf>
    <xf numFmtId="0" fontId="28" fillId="0" borderId="39" xfId="0" applyFont="1" applyBorder="1" applyAlignment="1">
      <alignment horizontal="center"/>
    </xf>
    <xf numFmtId="0" fontId="16" fillId="0" borderId="39" xfId="0" applyFont="1" applyBorder="1" applyAlignment="1">
      <alignment horizontal="right" wrapText="1"/>
    </xf>
    <xf numFmtId="0" fontId="16" fillId="35" borderId="0" xfId="196" applyFont="1" applyFill="1" applyBorder="1" applyAlignment="1">
      <alignment horizontal="left" vertical="center"/>
    </xf>
    <xf numFmtId="2" fontId="16" fillId="35" borderId="0" xfId="196" applyNumberFormat="1" applyFont="1" applyFill="1" applyBorder="1" applyAlignment="1">
      <alignment horizontal="center" vertical="center"/>
    </xf>
    <xf numFmtId="0" fontId="16" fillId="35" borderId="0" xfId="196" applyFont="1" applyFill="1" applyBorder="1" applyAlignment="1">
      <alignment horizontal="center" vertical="center"/>
    </xf>
    <xf numFmtId="164" fontId="16" fillId="35" borderId="0" xfId="196" applyNumberFormat="1" applyFont="1" applyFill="1" applyBorder="1" applyAlignment="1">
      <alignment horizontal="center" vertical="center"/>
    </xf>
    <xf numFmtId="166" fontId="16" fillId="35" borderId="0" xfId="196" applyNumberFormat="1" applyFont="1" applyFill="1" applyBorder="1" applyAlignment="1">
      <alignment horizontal="center" vertical="center"/>
    </xf>
    <xf numFmtId="0" fontId="16" fillId="35" borderId="0" xfId="196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left" vertical="center"/>
    </xf>
    <xf numFmtId="164" fontId="117" fillId="35" borderId="0" xfId="0" applyNumberFormat="1" applyFont="1" applyFill="1" applyBorder="1" applyAlignment="1">
      <alignment horizontal="right" vertical="center"/>
    </xf>
    <xf numFmtId="164" fontId="16" fillId="35" borderId="0" xfId="0" applyNumberFormat="1" applyFont="1" applyFill="1" applyBorder="1" applyAlignment="1">
      <alignment horizontal="right" vertical="center" wrapText="1"/>
    </xf>
    <xf numFmtId="2" fontId="109" fillId="34" borderId="0" xfId="0" applyNumberFormat="1" applyFont="1" applyFill="1" applyBorder="1" applyAlignment="1">
      <alignment horizontal="left" vertical="center"/>
    </xf>
    <xf numFmtId="166" fontId="34" fillId="0" borderId="0" xfId="196" applyNumberFormat="1" applyFont="1"/>
    <xf numFmtId="164" fontId="109" fillId="0" borderId="6" xfId="0" applyNumberFormat="1" applyFont="1" applyFill="1" applyBorder="1" applyAlignment="1">
      <alignment horizontal="center" vertical="center"/>
    </xf>
    <xf numFmtId="164" fontId="82" fillId="0" borderId="0" xfId="0" applyNumberFormat="1" applyFont="1" applyBorder="1"/>
    <xf numFmtId="0" fontId="30" fillId="0" borderId="42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right" wrapText="1"/>
    </xf>
    <xf numFmtId="0" fontId="39" fillId="0" borderId="0" xfId="0" applyFont="1" applyFill="1" applyBorder="1" applyAlignment="1">
      <alignment horizontal="left" vertical="center" wrapText="1"/>
    </xf>
    <xf numFmtId="0" fontId="41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/>
    </xf>
    <xf numFmtId="0" fontId="29" fillId="0" borderId="0" xfId="0" applyFont="1" applyBorder="1" applyAlignment="1">
      <alignment horizontal="center"/>
    </xf>
    <xf numFmtId="0" fontId="21" fillId="0" borderId="2" xfId="0" applyFont="1" applyBorder="1" applyAlignment="1">
      <alignment horizontal="center" vertical="center" wrapText="1"/>
    </xf>
    <xf numFmtId="0" fontId="24" fillId="34" borderId="0" xfId="0" applyFont="1" applyFill="1" applyBorder="1" applyAlignment="1">
      <alignment horizontal="left" vertical="center" wrapText="1"/>
    </xf>
    <xf numFmtId="0" fontId="24" fillId="34" borderId="0" xfId="0" applyFont="1" applyFill="1" applyBorder="1" applyAlignment="1">
      <alignment horizontal="left" vertical="center"/>
    </xf>
    <xf numFmtId="0" fontId="15" fillId="0" borderId="0" xfId="0" applyFont="1" applyAlignment="1"/>
    <xf numFmtId="0" fontId="14" fillId="0" borderId="4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41" fillId="35" borderId="0" xfId="0" applyFont="1" applyFill="1" applyBorder="1" applyAlignment="1">
      <alignment horizontal="left" vertical="center"/>
    </xf>
    <xf numFmtId="2" fontId="14" fillId="35" borderId="0" xfId="0" applyNumberFormat="1" applyFont="1" applyFill="1" applyBorder="1" applyAlignment="1">
      <alignment horizontal="center" vertical="center"/>
    </xf>
    <xf numFmtId="2" fontId="109" fillId="35" borderId="0" xfId="0" applyNumberFormat="1" applyFont="1" applyFill="1" applyBorder="1" applyAlignment="1">
      <alignment horizontal="center" vertical="center" wrapText="1"/>
    </xf>
    <xf numFmtId="164" fontId="16" fillId="0" borderId="0" xfId="0" applyNumberFormat="1" applyFont="1" applyBorder="1" applyAlignment="1">
      <alignment horizontal="center"/>
    </xf>
    <xf numFmtId="0" fontId="16" fillId="0" borderId="53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4" fillId="0" borderId="0" xfId="0" applyFont="1" applyFill="1" applyAlignment="1">
      <alignment horizontal="center"/>
    </xf>
    <xf numFmtId="0" fontId="16" fillId="0" borderId="34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left" vertical="top"/>
    </xf>
    <xf numFmtId="2" fontId="16" fillId="0" borderId="36" xfId="136" applyNumberFormat="1" applyFont="1" applyFill="1" applyBorder="1" applyAlignment="1">
      <alignment horizontal="right" vertical="center"/>
    </xf>
    <xf numFmtId="2" fontId="16" fillId="0" borderId="2" xfId="136" applyNumberFormat="1" applyFont="1" applyFill="1" applyBorder="1" applyAlignment="1">
      <alignment horizontal="right" vertical="center"/>
    </xf>
    <xf numFmtId="0" fontId="16" fillId="0" borderId="32" xfId="0" applyFont="1" applyFill="1" applyBorder="1" applyAlignment="1">
      <alignment horizontal="left" vertical="top"/>
    </xf>
    <xf numFmtId="2" fontId="16" fillId="0" borderId="32" xfId="136" applyNumberFormat="1" applyFont="1" applyFill="1" applyBorder="1" applyAlignment="1">
      <alignment horizontal="right" vertical="center"/>
    </xf>
    <xf numFmtId="2" fontId="16" fillId="0" borderId="76" xfId="136" applyNumberFormat="1" applyFont="1" applyFill="1" applyBorder="1" applyAlignment="1">
      <alignment horizontal="right" vertical="center"/>
    </xf>
    <xf numFmtId="2" fontId="16" fillId="0" borderId="3" xfId="0" applyNumberFormat="1" applyFont="1" applyFill="1" applyBorder="1" applyAlignment="1">
      <alignment horizontal="center" vertical="center"/>
    </xf>
    <xf numFmtId="2" fontId="16" fillId="0" borderId="77" xfId="136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center"/>
    </xf>
    <xf numFmtId="0" fontId="13" fillId="0" borderId="0" xfId="0" applyFont="1" applyFill="1"/>
    <xf numFmtId="0" fontId="16" fillId="34" borderId="32" xfId="0" applyFont="1" applyFill="1" applyBorder="1" applyAlignment="1">
      <alignment horizontal="left" vertical="top"/>
    </xf>
    <xf numFmtId="2" fontId="16" fillId="34" borderId="32" xfId="136" applyNumberFormat="1" applyFont="1" applyFill="1" applyBorder="1" applyAlignment="1">
      <alignment horizontal="right" vertical="center"/>
    </xf>
    <xf numFmtId="2" fontId="16" fillId="34" borderId="2" xfId="136" applyNumberFormat="1" applyFont="1" applyFill="1" applyBorder="1" applyAlignment="1">
      <alignment horizontal="right" vertical="center"/>
    </xf>
    <xf numFmtId="2" fontId="16" fillId="34" borderId="77" xfId="136" applyNumberFormat="1" applyFont="1" applyFill="1" applyBorder="1" applyAlignment="1">
      <alignment horizontal="right" vertical="center"/>
    </xf>
    <xf numFmtId="0" fontId="16" fillId="34" borderId="47" xfId="0" applyFont="1" applyFill="1" applyBorder="1" applyAlignment="1">
      <alignment horizontal="left" vertical="top"/>
    </xf>
    <xf numFmtId="2" fontId="16" fillId="34" borderId="47" xfId="136" applyNumberFormat="1" applyFont="1" applyFill="1" applyBorder="1" applyAlignment="1">
      <alignment horizontal="right" vertical="center"/>
    </xf>
    <xf numFmtId="2" fontId="16" fillId="34" borderId="47" xfId="136" applyNumberFormat="1" applyFont="1" applyFill="1" applyBorder="1" applyAlignment="1">
      <alignment horizontal="right" vertical="top"/>
    </xf>
    <xf numFmtId="2" fontId="16" fillId="34" borderId="78" xfId="136" applyNumberFormat="1" applyFont="1" applyFill="1" applyBorder="1" applyAlignment="1">
      <alignment horizontal="right" vertical="top"/>
    </xf>
    <xf numFmtId="0" fontId="6" fillId="0" borderId="0" xfId="0" applyFont="1" applyAlignment="1">
      <alignment horizontal="center" wrapText="1"/>
    </xf>
    <xf numFmtId="0" fontId="109" fillId="0" borderId="0" xfId="0" applyFont="1" applyAlignment="1"/>
    <xf numFmtId="0" fontId="155" fillId="0" borderId="0" xfId="0" applyFont="1" applyFill="1" applyBorder="1"/>
    <xf numFmtId="0" fontId="109" fillId="0" borderId="0" xfId="0" applyFont="1" applyAlignment="1">
      <alignment horizontal="left"/>
    </xf>
    <xf numFmtId="0" fontId="123" fillId="0" borderId="0" xfId="0" applyFont="1"/>
    <xf numFmtId="0" fontId="0" fillId="0" borderId="0" xfId="0"/>
    <xf numFmtId="0" fontId="16" fillId="0" borderId="69" xfId="0" applyFont="1" applyBorder="1" applyAlignment="1">
      <alignment horizontal="center" vertical="center" wrapText="1"/>
    </xf>
    <xf numFmtId="0" fontId="16" fillId="0" borderId="69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34" borderId="0" xfId="0" applyFont="1" applyFill="1" applyBorder="1" applyAlignment="1">
      <alignment horizontal="center" vertical="center" wrapText="1"/>
    </xf>
    <xf numFmtId="2" fontId="35" fillId="34" borderId="0" xfId="0" applyNumberFormat="1" applyFont="1" applyFill="1" applyBorder="1" applyAlignment="1">
      <alignment wrapText="1"/>
    </xf>
    <xf numFmtId="0" fontId="119" fillId="0" borderId="50" xfId="0" applyNumberFormat="1" applyFont="1" applyBorder="1" applyAlignment="1"/>
    <xf numFmtId="0" fontId="16" fillId="0" borderId="0" xfId="0" applyFont="1" applyFill="1" applyBorder="1" applyAlignment="1">
      <alignment horizontal="left" vertical="center"/>
    </xf>
    <xf numFmtId="0" fontId="0" fillId="0" borderId="0" xfId="0"/>
    <xf numFmtId="3" fontId="0" fillId="0" borderId="0" xfId="0" applyNumberFormat="1"/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Alignment="1">
      <alignment horizontal="right"/>
    </xf>
    <xf numFmtId="164" fontId="15" fillId="0" borderId="0" xfId="0" applyNumberFormat="1" applyFont="1" applyAlignment="1">
      <alignment horizontal="right"/>
    </xf>
    <xf numFmtId="164" fontId="16" fillId="0" borderId="0" xfId="0" applyNumberFormat="1" applyFont="1" applyAlignment="1">
      <alignment horizontal="right"/>
    </xf>
    <xf numFmtId="164" fontId="117" fillId="0" borderId="0" xfId="0" applyNumberFormat="1" applyFont="1" applyFill="1" applyBorder="1" applyAlignment="1">
      <alignment horizontal="right" vertical="center" wrapText="1"/>
    </xf>
    <xf numFmtId="0" fontId="82" fillId="0" borderId="0" xfId="0" applyFont="1" applyAlignment="1">
      <alignment horizontal="right" wrapText="1"/>
    </xf>
    <xf numFmtId="164" fontId="82" fillId="0" borderId="0" xfId="0" applyNumberFormat="1" applyFont="1" applyAlignment="1">
      <alignment horizontal="right" wrapText="1"/>
    </xf>
    <xf numFmtId="164" fontId="82" fillId="0" borderId="0" xfId="0" applyNumberFormat="1" applyFont="1" applyAlignment="1">
      <alignment horizontal="right"/>
    </xf>
    <xf numFmtId="165" fontId="82" fillId="0" borderId="0" xfId="0" applyNumberFormat="1" applyFont="1" applyAlignment="1">
      <alignment horizontal="right"/>
    </xf>
    <xf numFmtId="2" fontId="117" fillId="0" borderId="0" xfId="0" applyNumberFormat="1" applyFont="1" applyFill="1" applyBorder="1" applyAlignment="1">
      <alignment horizontal="right" vertical="center" wrapText="1"/>
    </xf>
    <xf numFmtId="164" fontId="109" fillId="0" borderId="0" xfId="0" applyNumberFormat="1" applyFont="1" applyFill="1" applyBorder="1" applyAlignment="1">
      <alignment horizontal="right" vertical="center" wrapText="1"/>
    </xf>
    <xf numFmtId="164" fontId="109" fillId="0" borderId="0" xfId="0" applyNumberFormat="1" applyFont="1" applyFill="1" applyBorder="1" applyAlignment="1">
      <alignment horizontal="right" vertical="center"/>
    </xf>
    <xf numFmtId="1" fontId="16" fillId="0" borderId="0" xfId="0" applyNumberFormat="1" applyFont="1" applyFill="1" applyBorder="1" applyAlignment="1">
      <alignment horizontal="right" vertical="center"/>
    </xf>
    <xf numFmtId="164" fontId="16" fillId="0" borderId="0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82" fillId="0" borderId="0" xfId="0" applyFont="1" applyBorder="1" applyAlignment="1">
      <alignment horizontal="left" vertical="center"/>
    </xf>
    <xf numFmtId="164" fontId="16" fillId="38" borderId="0" xfId="0" applyNumberFormat="1" applyFont="1" applyFill="1" applyBorder="1" applyAlignment="1">
      <alignment horizontal="center" vertical="center"/>
    </xf>
    <xf numFmtId="164" fontId="117" fillId="38" borderId="0" xfId="0" applyNumberFormat="1" applyFont="1" applyFill="1" applyBorder="1" applyAlignment="1">
      <alignment horizontal="center" vertical="center"/>
    </xf>
    <xf numFmtId="164" fontId="117" fillId="38" borderId="0" xfId="0" applyNumberFormat="1" applyFont="1" applyFill="1" applyBorder="1" applyAlignment="1">
      <alignment horizontal="right" vertical="center"/>
    </xf>
    <xf numFmtId="164" fontId="16" fillId="34" borderId="6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left" vertical="center"/>
    </xf>
    <xf numFmtId="2" fontId="15" fillId="0" borderId="0" xfId="0" applyNumberFormat="1" applyFont="1" applyFill="1" applyBorder="1" applyAlignment="1">
      <alignment horizontal="center" vertical="center"/>
    </xf>
    <xf numFmtId="0" fontId="40" fillId="0" borderId="0" xfId="0" applyFont="1" applyFill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/>
    </xf>
    <xf numFmtId="0" fontId="16" fillId="34" borderId="6" xfId="0" applyFont="1" applyFill="1" applyBorder="1" applyAlignment="1">
      <alignment horizontal="right"/>
    </xf>
    <xf numFmtId="0" fontId="16" fillId="0" borderId="0" xfId="0" applyFont="1" applyFill="1" applyBorder="1" applyAlignment="1">
      <alignment horizontal="left" vertical="center"/>
    </xf>
    <xf numFmtId="164" fontId="117" fillId="34" borderId="6" xfId="0" applyNumberFormat="1" applyFont="1" applyFill="1" applyBorder="1" applyAlignment="1">
      <alignment horizontal="center" vertical="center" wrapText="1"/>
    </xf>
    <xf numFmtId="0" fontId="6" fillId="0" borderId="0" xfId="0" applyFont="1" applyBorder="1"/>
    <xf numFmtId="4" fontId="4" fillId="0" borderId="0" xfId="0" applyNumberFormat="1" applyFont="1"/>
    <xf numFmtId="2" fontId="14" fillId="0" borderId="6" xfId="0" applyNumberFormat="1" applyFont="1" applyFill="1" applyBorder="1" applyAlignment="1">
      <alignment horizontal="center" vertical="center"/>
    </xf>
    <xf numFmtId="0" fontId="0" fillId="0" borderId="0" xfId="0"/>
    <xf numFmtId="1" fontId="6" fillId="0" borderId="0" xfId="0" applyNumberFormat="1" applyFont="1"/>
    <xf numFmtId="0" fontId="16" fillId="0" borderId="0" xfId="0" applyFont="1" applyFill="1" applyBorder="1" applyAlignment="1">
      <alignment horizontal="left" vertical="center"/>
    </xf>
    <xf numFmtId="2" fontId="0" fillId="0" borderId="0" xfId="0" applyNumberFormat="1" applyFill="1"/>
    <xf numFmtId="2" fontId="135" fillId="34" borderId="0" xfId="0" applyNumberFormat="1" applyFont="1" applyFill="1" applyBorder="1" applyAlignment="1">
      <alignment horizontal="right" vertical="center"/>
    </xf>
    <xf numFmtId="2" fontId="135" fillId="0" borderId="0" xfId="0" applyNumberFormat="1" applyFont="1" applyFill="1" applyBorder="1" applyAlignment="1">
      <alignment horizontal="right" vertical="center"/>
    </xf>
    <xf numFmtId="2" fontId="195" fillId="0" borderId="0" xfId="0" applyNumberFormat="1" applyFont="1"/>
    <xf numFmtId="0" fontId="16" fillId="0" borderId="0" xfId="0" applyFont="1" applyFill="1" applyBorder="1" applyAlignment="1">
      <alignment horizontal="left" vertical="center"/>
    </xf>
    <xf numFmtId="164" fontId="117" fillId="34" borderId="0" xfId="0" applyNumberFormat="1" applyFont="1" applyFill="1" applyBorder="1" applyAlignment="1">
      <alignment horizontal="right" vertical="center" wrapText="1"/>
    </xf>
    <xf numFmtId="2" fontId="14" fillId="35" borderId="6" xfId="0" applyNumberFormat="1" applyFont="1" applyFill="1" applyBorder="1" applyAlignment="1">
      <alignment horizontal="left" vertical="center" wrapText="1"/>
    </xf>
    <xf numFmtId="2" fontId="14" fillId="35" borderId="6" xfId="0" applyNumberFormat="1" applyFont="1" applyFill="1" applyBorder="1" applyAlignment="1">
      <alignment horizontal="center" vertical="center" wrapText="1"/>
    </xf>
    <xf numFmtId="0" fontId="109" fillId="35" borderId="0" xfId="0" applyFont="1" applyFill="1" applyBorder="1" applyAlignment="1">
      <alignment vertical="center"/>
    </xf>
    <xf numFmtId="1" fontId="109" fillId="35" borderId="0" xfId="0" applyNumberFormat="1" applyFont="1" applyFill="1" applyBorder="1" applyAlignment="1">
      <alignment horizontal="center" vertical="center"/>
    </xf>
    <xf numFmtId="2" fontId="35" fillId="0" borderId="0" xfId="0" applyNumberFormat="1" applyFont="1" applyFill="1" applyBorder="1" applyAlignment="1"/>
    <xf numFmtId="0" fontId="41" fillId="0" borderId="6" xfId="0" applyFont="1" applyFill="1" applyBorder="1" applyAlignment="1">
      <alignment horizontal="left" vertical="center"/>
    </xf>
    <xf numFmtId="0" fontId="122" fillId="0" borderId="70" xfId="0" applyFont="1" applyBorder="1" applyAlignment="1">
      <alignment horizontal="center" vertical="top" wrapText="1"/>
    </xf>
    <xf numFmtId="0" fontId="122" fillId="0" borderId="70" xfId="0" applyFont="1" applyBorder="1" applyAlignment="1">
      <alignment horizontal="center" vertical="center"/>
    </xf>
    <xf numFmtId="0" fontId="24" fillId="35" borderId="0" xfId="196" applyFont="1" applyFill="1" applyBorder="1" applyAlignment="1">
      <alignment vertical="center"/>
    </xf>
    <xf numFmtId="2" fontId="24" fillId="35" borderId="0" xfId="196" applyNumberFormat="1" applyFont="1" applyFill="1" applyBorder="1" applyAlignment="1">
      <alignment horizontal="center" vertical="center"/>
    </xf>
    <xf numFmtId="0" fontId="24" fillId="35" borderId="0" xfId="196" applyFont="1" applyFill="1" applyBorder="1" applyAlignment="1">
      <alignment horizontal="center" vertical="center"/>
    </xf>
    <xf numFmtId="164" fontId="24" fillId="35" borderId="0" xfId="196" applyNumberFormat="1" applyFont="1" applyFill="1" applyBorder="1" applyAlignment="1">
      <alignment horizontal="center" vertical="center"/>
    </xf>
    <xf numFmtId="166" fontId="24" fillId="35" borderId="0" xfId="196" applyNumberFormat="1" applyFont="1" applyFill="1" applyBorder="1" applyAlignment="1">
      <alignment horizontal="center" vertical="center"/>
    </xf>
    <xf numFmtId="0" fontId="24" fillId="35" borderId="0" xfId="196" applyFont="1" applyFill="1" applyBorder="1" applyAlignment="1">
      <alignment horizontal="right" vertical="center"/>
    </xf>
    <xf numFmtId="1" fontId="24" fillId="34" borderId="0" xfId="136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14" fillId="0" borderId="2" xfId="0" applyFont="1" applyBorder="1" applyAlignment="1">
      <alignment horizontal="center" vertical="center" wrapText="1"/>
    </xf>
    <xf numFmtId="0" fontId="16" fillId="38" borderId="0" xfId="0" applyFont="1" applyFill="1" applyBorder="1" applyAlignment="1">
      <alignment vertical="center"/>
    </xf>
    <xf numFmtId="0" fontId="109" fillId="35" borderId="6" xfId="0" applyFont="1" applyFill="1" applyBorder="1" applyAlignment="1">
      <alignment vertical="center"/>
    </xf>
    <xf numFmtId="1" fontId="109" fillId="35" borderId="6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24" fillId="34" borderId="0" xfId="0" applyFont="1" applyFill="1" applyBorder="1" applyAlignment="1">
      <alignment horizontal="left" vertical="center"/>
    </xf>
    <xf numFmtId="0" fontId="0" fillId="0" borderId="0" xfId="0"/>
    <xf numFmtId="0" fontId="16" fillId="0" borderId="0" xfId="0" applyFont="1" applyFill="1" applyBorder="1" applyAlignment="1">
      <alignment horizontal="left" vertical="center"/>
    </xf>
    <xf numFmtId="0" fontId="119" fillId="0" borderId="2" xfId="0" applyFont="1" applyBorder="1" applyAlignment="1">
      <alignment horizontal="center" vertical="top" wrapText="1"/>
    </xf>
    <xf numFmtId="0" fontId="173" fillId="0" borderId="3" xfId="0" applyFont="1" applyBorder="1" applyAlignment="1">
      <alignment horizontal="center" vertical="top" wrapText="1"/>
    </xf>
    <xf numFmtId="164" fontId="16" fillId="0" borderId="6" xfId="0" applyNumberFormat="1" applyFont="1" applyFill="1" applyBorder="1" applyAlignment="1">
      <alignment horizontal="center" vertical="center"/>
    </xf>
    <xf numFmtId="164" fontId="117" fillId="0" borderId="6" xfId="0" applyNumberFormat="1" applyFont="1" applyFill="1" applyBorder="1" applyAlignment="1">
      <alignment horizontal="center" vertical="center"/>
    </xf>
    <xf numFmtId="0" fontId="16" fillId="38" borderId="0" xfId="196" applyFont="1" applyFill="1" applyBorder="1" applyAlignment="1">
      <alignment horizontal="left" vertical="center"/>
    </xf>
    <xf numFmtId="0" fontId="16" fillId="38" borderId="0" xfId="196" applyFont="1" applyFill="1" applyBorder="1" applyAlignment="1">
      <alignment horizontal="center" vertical="center"/>
    </xf>
    <xf numFmtId="164" fontId="16" fillId="38" borderId="0" xfId="196" applyNumberFormat="1" applyFont="1" applyFill="1" applyBorder="1" applyAlignment="1">
      <alignment horizontal="center" vertical="center"/>
    </xf>
    <xf numFmtId="166" fontId="16" fillId="38" borderId="0" xfId="196" applyNumberFormat="1" applyFont="1" applyFill="1" applyBorder="1" applyAlignment="1">
      <alignment horizontal="center" vertical="center"/>
    </xf>
    <xf numFmtId="0" fontId="16" fillId="38" borderId="0" xfId="196" applyFont="1" applyFill="1" applyBorder="1" applyAlignment="1">
      <alignment horizontal="right" vertical="center"/>
    </xf>
    <xf numFmtId="2" fontId="30" fillId="0" borderId="0" xfId="0" applyNumberFormat="1" applyFont="1"/>
    <xf numFmtId="0" fontId="0" fillId="0" borderId="0" xfId="0"/>
    <xf numFmtId="0" fontId="30" fillId="0" borderId="2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right" wrapText="1"/>
    </xf>
    <xf numFmtId="0" fontId="20" fillId="0" borderId="0" xfId="0" applyFont="1" applyBorder="1" applyAlignment="1">
      <alignment horizontal="left"/>
    </xf>
    <xf numFmtId="0" fontId="22" fillId="0" borderId="0" xfId="0" applyFont="1" applyAlignment="1">
      <alignment wrapText="1"/>
    </xf>
    <xf numFmtId="0" fontId="17" fillId="0" borderId="0" xfId="0" applyFont="1" applyFill="1" applyBorder="1" applyAlignment="1">
      <alignment vertical="center" wrapText="1"/>
    </xf>
    <xf numFmtId="0" fontId="14" fillId="0" borderId="39" xfId="0" applyFont="1" applyBorder="1" applyAlignment="1">
      <alignment horizontal="right" wrapText="1"/>
    </xf>
    <xf numFmtId="0" fontId="10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/>
    </xf>
    <xf numFmtId="0" fontId="17" fillId="0" borderId="42" xfId="0" applyFont="1" applyBorder="1" applyAlignment="1">
      <alignment horizontal="center" vertical="center" wrapText="1"/>
    </xf>
    <xf numFmtId="0" fontId="119" fillId="0" borderId="2" xfId="0" applyFont="1" applyBorder="1" applyAlignment="1">
      <alignment horizontal="center" vertical="top" wrapText="1"/>
    </xf>
    <xf numFmtId="0" fontId="122" fillId="0" borderId="2" xfId="0" applyFont="1" applyBorder="1" applyAlignment="1">
      <alignment horizontal="center" vertical="top" wrapText="1"/>
    </xf>
    <xf numFmtId="0" fontId="135" fillId="0" borderId="6" xfId="0" applyFont="1" applyFill="1" applyBorder="1" applyAlignment="1">
      <alignment horizontal="left" vertical="center" wrapText="1"/>
    </xf>
    <xf numFmtId="2" fontId="135" fillId="0" borderId="6" xfId="0" applyNumberFormat="1" applyFont="1" applyFill="1" applyBorder="1" applyAlignment="1">
      <alignment horizontal="center" vertical="center"/>
    </xf>
    <xf numFmtId="2" fontId="135" fillId="0" borderId="6" xfId="0" applyNumberFormat="1" applyFont="1" applyFill="1" applyBorder="1" applyAlignment="1">
      <alignment horizontal="right" vertical="center"/>
    </xf>
    <xf numFmtId="0" fontId="135" fillId="0" borderId="6" xfId="0" applyFont="1" applyFill="1" applyBorder="1" applyAlignment="1">
      <alignment horizontal="right" vertical="center" wrapText="1"/>
    </xf>
    <xf numFmtId="0" fontId="16" fillId="0" borderId="6" xfId="0" applyFont="1" applyFill="1" applyBorder="1" applyAlignment="1">
      <alignment vertical="top" wrapText="1"/>
    </xf>
    <xf numFmtId="1" fontId="16" fillId="0" borderId="6" xfId="0" applyNumberFormat="1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right" vertical="top" wrapText="1"/>
    </xf>
    <xf numFmtId="2" fontId="35" fillId="0" borderId="0" xfId="0" applyNumberFormat="1" applyFont="1" applyBorder="1" applyAlignment="1"/>
    <xf numFmtId="4" fontId="0" fillId="0" borderId="0" xfId="0" applyNumberFormat="1"/>
    <xf numFmtId="0" fontId="123" fillId="0" borderId="6" xfId="0" applyFont="1" applyFill="1" applyBorder="1" applyAlignment="1">
      <alignment horizontal="left" vertical="center"/>
    </xf>
    <xf numFmtId="164" fontId="123" fillId="0" borderId="6" xfId="0" applyNumberFormat="1" applyFont="1" applyFill="1" applyBorder="1" applyAlignment="1">
      <alignment horizontal="center" vertical="center"/>
    </xf>
    <xf numFmtId="0" fontId="126" fillId="0" borderId="6" xfId="0" applyFont="1" applyFill="1" applyBorder="1" applyAlignment="1">
      <alignment horizontal="left" vertical="center" wrapText="1"/>
    </xf>
    <xf numFmtId="164" fontId="109" fillId="35" borderId="6" xfId="0" applyNumberFormat="1" applyFont="1" applyFill="1" applyBorder="1" applyAlignment="1">
      <alignment horizontal="center" vertical="center"/>
    </xf>
    <xf numFmtId="0" fontId="0" fillId="0" borderId="0" xfId="0"/>
    <xf numFmtId="2" fontId="109" fillId="0" borderId="6" xfId="0" applyNumberFormat="1" applyFont="1" applyFill="1" applyBorder="1" applyAlignment="1">
      <alignment horizontal="left" vertical="center"/>
    </xf>
    <xf numFmtId="0" fontId="16" fillId="0" borderId="6" xfId="0" applyFont="1" applyFill="1" applyBorder="1" applyAlignment="1">
      <alignment horizontal="right"/>
    </xf>
    <xf numFmtId="0" fontId="24" fillId="34" borderId="0" xfId="0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4" fontId="109" fillId="0" borderId="56" xfId="0" applyNumberFormat="1" applyFont="1" applyFill="1" applyBorder="1" applyAlignment="1">
      <alignment horizontal="center" vertical="center" wrapText="1"/>
    </xf>
    <xf numFmtId="2" fontId="24" fillId="0" borderId="0" xfId="0" applyNumberFormat="1" applyFont="1" applyAlignment="1">
      <alignment horizontal="center"/>
    </xf>
    <xf numFmtId="0" fontId="16" fillId="0" borderId="0" xfId="0" applyFont="1" applyFill="1" applyBorder="1" applyAlignment="1">
      <alignment horizontal="left" vertical="center"/>
    </xf>
    <xf numFmtId="1" fontId="132" fillId="34" borderId="0" xfId="0" applyNumberFormat="1" applyFont="1" applyFill="1"/>
    <xf numFmtId="164" fontId="24" fillId="34" borderId="0" xfId="0" applyNumberFormat="1" applyFont="1" applyFill="1" applyBorder="1" applyAlignment="1">
      <alignment horizontal="right" vertical="center"/>
    </xf>
    <xf numFmtId="2" fontId="40" fillId="34" borderId="0" xfId="0" applyNumberFormat="1" applyFont="1" applyFill="1" applyBorder="1" applyAlignment="1">
      <alignment horizontal="center" vertical="center"/>
    </xf>
    <xf numFmtId="164" fontId="126" fillId="34" borderId="6" xfId="196" applyNumberFormat="1" applyFont="1" applyFill="1" applyBorder="1" applyAlignment="1">
      <alignment horizontal="center" vertical="center"/>
    </xf>
    <xf numFmtId="0" fontId="109" fillId="34" borderId="6" xfId="196" applyFont="1" applyFill="1" applyBorder="1" applyAlignment="1">
      <alignment horizontal="right" vertical="center" wrapText="1"/>
    </xf>
    <xf numFmtId="0" fontId="109" fillId="34" borderId="6" xfId="196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/>
    </xf>
    <xf numFmtId="2" fontId="15" fillId="0" borderId="0" xfId="0" applyNumberFormat="1" applyFont="1" applyBorder="1"/>
    <xf numFmtId="0" fontId="16" fillId="0" borderId="0" xfId="0" applyFont="1"/>
    <xf numFmtId="0" fontId="16" fillId="0" borderId="0" xfId="0" applyFont="1" applyBorder="1"/>
    <xf numFmtId="0" fontId="26" fillId="0" borderId="0" xfId="0" applyFont="1"/>
    <xf numFmtId="0" fontId="16" fillId="0" borderId="0" xfId="0" applyFont="1" applyFill="1" applyBorder="1" applyAlignment="1">
      <alignment horizontal="center"/>
    </xf>
    <xf numFmtId="0" fontId="15" fillId="0" borderId="0" xfId="0" applyFont="1"/>
    <xf numFmtId="0" fontId="34" fillId="0" borderId="0" xfId="0" applyFont="1" applyAlignment="1"/>
    <xf numFmtId="0" fontId="34" fillId="0" borderId="0" xfId="0" applyFont="1"/>
    <xf numFmtId="0" fontId="34" fillId="0" borderId="0" xfId="0" applyFont="1" applyBorder="1"/>
    <xf numFmtId="0" fontId="15" fillId="0" borderId="0" xfId="0" applyFont="1" applyBorder="1" applyAlignment="1"/>
    <xf numFmtId="0" fontId="15" fillId="0" borderId="0" xfId="0" applyFont="1" applyBorder="1"/>
    <xf numFmtId="0" fontId="39" fillId="0" borderId="0" xfId="0" applyFont="1"/>
    <xf numFmtId="2" fontId="16" fillId="0" borderId="0" xfId="0" applyNumberFormat="1" applyFont="1"/>
    <xf numFmtId="0" fontId="1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9" fillId="0" borderId="0" xfId="0" applyFont="1" applyBorder="1" applyAlignment="1">
      <alignment horizontal="right" wrapText="1"/>
    </xf>
    <xf numFmtId="2" fontId="19" fillId="0" borderId="0" xfId="0" applyNumberFormat="1" applyFont="1" applyBorder="1" applyAlignment="1">
      <alignment horizontal="center" wrapText="1"/>
    </xf>
    <xf numFmtId="0" fontId="41" fillId="0" borderId="0" xfId="0" applyFont="1" applyBorder="1" applyAlignment="1">
      <alignment horizontal="left" wrapText="1"/>
    </xf>
    <xf numFmtId="0" fontId="41" fillId="0" borderId="0" xfId="0" applyFont="1" applyBorder="1" applyAlignment="1">
      <alignment horizontal="center" wrapText="1"/>
    </xf>
    <xf numFmtId="2" fontId="41" fillId="0" borderId="0" xfId="0" applyNumberFormat="1" applyFont="1" applyBorder="1" applyAlignment="1">
      <alignment horizontal="center" wrapText="1"/>
    </xf>
    <xf numFmtId="0" fontId="41" fillId="0" borderId="0" xfId="0" applyFont="1" applyBorder="1" applyAlignment="1">
      <alignment horizontal="right" wrapText="1"/>
    </xf>
    <xf numFmtId="0" fontId="39" fillId="0" borderId="0" xfId="0" applyFont="1" applyBorder="1"/>
    <xf numFmtId="2" fontId="16" fillId="0" borderId="0" xfId="0" applyNumberFormat="1" applyFont="1" applyBorder="1"/>
    <xf numFmtId="0" fontId="16" fillId="0" borderId="0" xfId="0" applyFont="1" applyFill="1" applyBorder="1"/>
    <xf numFmtId="0" fontId="16" fillId="0" borderId="0" xfId="0" applyFont="1" applyFill="1"/>
    <xf numFmtId="0" fontId="15" fillId="0" borderId="0" xfId="0" applyFont="1" applyFill="1" applyBorder="1"/>
    <xf numFmtId="0" fontId="19" fillId="0" borderId="0" xfId="0" applyFont="1" applyBorder="1" applyAlignment="1">
      <alignment wrapText="1"/>
    </xf>
    <xf numFmtId="0" fontId="61" fillId="0" borderId="0" xfId="0" applyFont="1"/>
    <xf numFmtId="0" fontId="57" fillId="0" borderId="0" xfId="0" applyFont="1" applyBorder="1" applyAlignment="1">
      <alignment wrapText="1"/>
    </xf>
    <xf numFmtId="0" fontId="34" fillId="0" borderId="0" xfId="0" applyFont="1" applyAlignment="1">
      <alignment vertical="center"/>
    </xf>
    <xf numFmtId="0" fontId="34" fillId="0" borderId="0" xfId="0" applyFont="1" applyBorder="1" applyAlignment="1">
      <alignment vertical="center"/>
    </xf>
    <xf numFmtId="0" fontId="61" fillId="0" borderId="0" xfId="0" applyFont="1" applyAlignment="1">
      <alignment vertical="center"/>
    </xf>
    <xf numFmtId="0" fontId="15" fillId="0" borderId="0" xfId="0" applyFont="1" applyFill="1"/>
    <xf numFmtId="0" fontId="14" fillId="0" borderId="0" xfId="0" applyFont="1" applyFill="1" applyBorder="1" applyAlignment="1">
      <alignment horizontal="center" wrapText="1"/>
    </xf>
    <xf numFmtId="2" fontId="16" fillId="0" borderId="0" xfId="0" applyNumberFormat="1" applyFont="1" applyFill="1" applyBorder="1"/>
    <xf numFmtId="0" fontId="14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wrapText="1"/>
    </xf>
    <xf numFmtId="0" fontId="16" fillId="0" borderId="0" xfId="0" applyFont="1" applyFill="1" applyAlignment="1">
      <alignment vertical="center"/>
    </xf>
    <xf numFmtId="0" fontId="20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vertical="center"/>
    </xf>
    <xf numFmtId="37" fontId="15" fillId="0" borderId="0" xfId="0" applyNumberFormat="1" applyFont="1" applyFill="1" applyBorder="1" applyAlignment="1">
      <alignment wrapText="1"/>
    </xf>
    <xf numFmtId="0" fontId="16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wrapText="1"/>
    </xf>
    <xf numFmtId="0" fontId="15" fillId="0" borderId="0" xfId="0" applyFont="1" applyFill="1" applyBorder="1" applyAlignment="1"/>
    <xf numFmtId="0" fontId="15" fillId="0" borderId="0" xfId="0" applyFont="1" applyFill="1" applyAlignment="1"/>
    <xf numFmtId="0" fontId="34" fillId="0" borderId="0" xfId="0" applyFont="1" applyFill="1"/>
    <xf numFmtId="0" fontId="16" fillId="0" borderId="0" xfId="0" applyFont="1" applyFill="1" applyAlignment="1"/>
    <xf numFmtId="0" fontId="34" fillId="0" borderId="0" xfId="0" applyFont="1" applyFill="1" applyAlignment="1">
      <alignment vertical="center"/>
    </xf>
    <xf numFmtId="0" fontId="61" fillId="0" borderId="0" xfId="0" applyFont="1" applyFill="1"/>
    <xf numFmtId="0" fontId="61" fillId="0" borderId="0" xfId="0" applyFont="1" applyFill="1" applyAlignment="1"/>
    <xf numFmtId="0" fontId="34" fillId="0" borderId="0" xfId="0" applyFont="1" applyFill="1" applyAlignment="1"/>
    <xf numFmtId="0" fontId="34" fillId="0" borderId="0" xfId="0" applyFont="1" applyFill="1" applyBorder="1" applyAlignment="1">
      <alignment vertical="center"/>
    </xf>
    <xf numFmtId="0" fontId="34" fillId="0" borderId="0" xfId="0" applyFont="1" applyFill="1" applyBorder="1" applyAlignment="1"/>
    <xf numFmtId="0" fontId="57" fillId="0" borderId="0" xfId="0" applyFont="1" applyFill="1" applyBorder="1" applyAlignment="1">
      <alignment horizontal="center" wrapText="1"/>
    </xf>
    <xf numFmtId="0" fontId="57" fillId="0" borderId="0" xfId="0" applyFont="1" applyFill="1" applyBorder="1" applyAlignment="1">
      <alignment horizontal="left" wrapText="1"/>
    </xf>
    <xf numFmtId="0" fontId="39" fillId="0" borderId="0" xfId="0" applyFont="1" applyFill="1"/>
    <xf numFmtId="0" fontId="39" fillId="0" borderId="0" xfId="0" applyFont="1" applyFill="1" applyAlignment="1"/>
    <xf numFmtId="0" fontId="39" fillId="0" borderId="0" xfId="0" applyFont="1" applyFill="1" applyBorder="1"/>
    <xf numFmtId="0" fontId="39" fillId="0" borderId="0" xfId="0" applyFont="1" applyFill="1" applyBorder="1" applyAlignment="1"/>
    <xf numFmtId="0" fontId="34" fillId="0" borderId="0" xfId="0" applyFont="1" applyFill="1" applyBorder="1"/>
    <xf numFmtId="0" fontId="15" fillId="0" borderId="0" xfId="0" applyFont="1" applyFill="1" applyBorder="1" applyAlignment="1">
      <alignment horizontal="right"/>
    </xf>
    <xf numFmtId="2" fontId="20" fillId="0" borderId="0" xfId="0" applyNumberFormat="1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right" wrapText="1"/>
    </xf>
    <xf numFmtId="0" fontId="15" fillId="0" borderId="0" xfId="0" applyFont="1" applyFill="1" applyAlignment="1">
      <alignment horizontal="center"/>
    </xf>
    <xf numFmtId="2" fontId="15" fillId="0" borderId="0" xfId="0" applyNumberFormat="1" applyFont="1" applyFill="1" applyAlignment="1">
      <alignment horizontal="center"/>
    </xf>
    <xf numFmtId="0" fontId="26" fillId="0" borderId="0" xfId="0" applyFont="1" applyFill="1"/>
    <xf numFmtId="0" fontId="26" fillId="0" borderId="0" xfId="0" applyFont="1" applyFill="1" applyAlignment="1"/>
    <xf numFmtId="0" fontId="34" fillId="0" borderId="0" xfId="0" applyFont="1" applyFill="1" applyAlignment="1">
      <alignment horizontal="center"/>
    </xf>
    <xf numFmtId="2" fontId="34" fillId="0" borderId="0" xfId="0" applyNumberFormat="1" applyFont="1" applyFill="1" applyAlignment="1">
      <alignment horizontal="center"/>
    </xf>
    <xf numFmtId="0" fontId="24" fillId="0" borderId="0" xfId="0" applyFont="1" applyFill="1" applyBorder="1" applyAlignment="1">
      <alignment horizontal="right" vertical="center"/>
    </xf>
    <xf numFmtId="2" fontId="16" fillId="0" borderId="0" xfId="0" applyNumberFormat="1" applyFont="1" applyFill="1"/>
    <xf numFmtId="2" fontId="39" fillId="0" borderId="0" xfId="0" applyNumberFormat="1" applyFont="1" applyFill="1" applyBorder="1" applyAlignment="1">
      <alignment horizontal="center" vertical="center"/>
    </xf>
    <xf numFmtId="2" fontId="39" fillId="34" borderId="0" xfId="0" applyNumberFormat="1" applyFont="1" applyFill="1" applyBorder="1" applyAlignment="1">
      <alignment horizontal="center" vertical="center"/>
    </xf>
    <xf numFmtId="2" fontId="41" fillId="0" borderId="0" xfId="0" applyNumberFormat="1" applyFont="1" applyFill="1" applyBorder="1" applyAlignment="1">
      <alignment horizontal="center" vertical="center" wrapText="1"/>
    </xf>
    <xf numFmtId="2" fontId="15" fillId="0" borderId="0" xfId="0" applyNumberFormat="1" applyFont="1" applyBorder="1" applyAlignment="1"/>
    <xf numFmtId="2" fontId="39" fillId="0" borderId="6" xfId="0" applyNumberFormat="1" applyFont="1" applyFill="1" applyBorder="1" applyAlignment="1">
      <alignment horizontal="center" vertical="center" wrapText="1"/>
    </xf>
    <xf numFmtId="2" fontId="39" fillId="34" borderId="0" xfId="0" applyNumberFormat="1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center" vertical="center"/>
    </xf>
    <xf numFmtId="2" fontId="39" fillId="0" borderId="0" xfId="0" applyNumberFormat="1" applyFont="1" applyFill="1" applyBorder="1" applyAlignment="1">
      <alignment horizontal="center" vertical="center" wrapText="1"/>
    </xf>
    <xf numFmtId="2" fontId="39" fillId="0" borderId="0" xfId="0" applyNumberFormat="1" applyFont="1" applyFill="1" applyBorder="1" applyAlignment="1">
      <alignment horizontal="center"/>
    </xf>
    <xf numFmtId="0" fontId="41" fillId="0" borderId="0" xfId="0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center"/>
    </xf>
    <xf numFmtId="0" fontId="41" fillId="34" borderId="0" xfId="0" applyFont="1" applyFill="1" applyBorder="1" applyAlignment="1">
      <alignment horizontal="center" vertical="center" wrapText="1"/>
    </xf>
    <xf numFmtId="0" fontId="39" fillId="34" borderId="0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center" vertical="center" wrapText="1"/>
    </xf>
    <xf numFmtId="2" fontId="41" fillId="34" borderId="0" xfId="0" applyNumberFormat="1" applyFont="1" applyFill="1" applyBorder="1" applyAlignment="1">
      <alignment horizontal="center" vertical="center" wrapText="1"/>
    </xf>
    <xf numFmtId="0" fontId="39" fillId="34" borderId="0" xfId="0" applyFont="1" applyFill="1" applyBorder="1" applyAlignment="1">
      <alignment horizontal="center" vertical="center" wrapText="1"/>
    </xf>
    <xf numFmtId="37" fontId="39" fillId="0" borderId="0" xfId="0" applyNumberFormat="1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vertical="center"/>
    </xf>
    <xf numFmtId="37" fontId="39" fillId="34" borderId="0" xfId="0" applyNumberFormat="1" applyFont="1" applyFill="1" applyBorder="1" applyAlignment="1">
      <alignment horizontal="center" vertical="center" wrapText="1"/>
    </xf>
    <xf numFmtId="46" fontId="39" fillId="34" borderId="0" xfId="0" applyNumberFormat="1" applyFont="1" applyFill="1" applyBorder="1" applyAlignment="1">
      <alignment horizontal="center" vertical="center"/>
    </xf>
    <xf numFmtId="46" fontId="39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 wrapText="1"/>
    </xf>
    <xf numFmtId="1" fontId="39" fillId="0" borderId="0" xfId="0" applyNumberFormat="1" applyFont="1" applyFill="1" applyBorder="1" applyAlignment="1">
      <alignment horizontal="center" vertical="center"/>
    </xf>
    <xf numFmtId="1" fontId="39" fillId="34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 wrapText="1"/>
    </xf>
    <xf numFmtId="0" fontId="11" fillId="34" borderId="0" xfId="0" applyFont="1" applyFill="1" applyBorder="1" applyAlignment="1">
      <alignment vertical="center" wrapText="1"/>
    </xf>
    <xf numFmtId="2" fontId="34" fillId="0" borderId="0" xfId="0" applyNumberFormat="1" applyFont="1"/>
    <xf numFmtId="0" fontId="14" fillId="0" borderId="0" xfId="0" applyFont="1" applyFill="1" applyBorder="1" applyAlignment="1">
      <alignment horizontal="left" wrapText="1"/>
    </xf>
    <xf numFmtId="0" fontId="35" fillId="0" borderId="0" xfId="0" applyFont="1" applyBorder="1" applyAlignment="1">
      <alignment horizontal="right"/>
    </xf>
    <xf numFmtId="2" fontId="16" fillId="0" borderId="0" xfId="0" applyNumberFormat="1" applyFont="1" applyFill="1" applyBorder="1" applyAlignment="1"/>
    <xf numFmtId="0" fontId="40" fillId="0" borderId="0" xfId="0" applyFont="1" applyFill="1" applyBorder="1" applyAlignment="1">
      <alignment horizontal="center" vertical="center"/>
    </xf>
    <xf numFmtId="2" fontId="16" fillId="0" borderId="0" xfId="0" applyNumberFormat="1" applyFont="1" applyFill="1" applyBorder="1" applyAlignment="1">
      <alignment vertical="center"/>
    </xf>
    <xf numFmtId="2" fontId="20" fillId="0" borderId="0" xfId="0" applyNumberFormat="1" applyFont="1" applyFill="1" applyBorder="1" applyAlignment="1">
      <alignment horizontal="center" vertical="center" wrapText="1"/>
    </xf>
    <xf numFmtId="2" fontId="20" fillId="34" borderId="0" xfId="0" applyNumberFormat="1" applyFont="1" applyFill="1" applyBorder="1" applyAlignment="1">
      <alignment horizontal="center" vertical="center" wrapText="1"/>
    </xf>
    <xf numFmtId="2" fontId="16" fillId="0" borderId="0" xfId="0" applyNumberFormat="1" applyFont="1" applyFill="1" applyAlignment="1"/>
    <xf numFmtId="2" fontId="15" fillId="0" borderId="0" xfId="0" applyNumberFormat="1" applyFont="1" applyFill="1" applyBorder="1"/>
    <xf numFmtId="2" fontId="126" fillId="34" borderId="0" xfId="0" applyNumberFormat="1" applyFont="1" applyFill="1" applyBorder="1" applyAlignment="1">
      <alignment horizontal="center" vertical="center"/>
    </xf>
    <xf numFmtId="0" fontId="126" fillId="34" borderId="0" xfId="0" applyFont="1" applyFill="1" applyBorder="1" applyAlignment="1">
      <alignment horizontal="center" vertical="center"/>
    </xf>
    <xf numFmtId="0" fontId="39" fillId="34" borderId="0" xfId="0" applyFont="1" applyFill="1" applyBorder="1" applyAlignment="1">
      <alignment horizontal="left" vertical="center"/>
    </xf>
    <xf numFmtId="0" fontId="39" fillId="34" borderId="0" xfId="0" applyFont="1" applyFill="1" applyBorder="1" applyAlignment="1">
      <alignment horizontal="left" vertical="top"/>
    </xf>
    <xf numFmtId="37" fontId="39" fillId="0" borderId="0" xfId="0" applyNumberFormat="1" applyFont="1" applyFill="1" applyBorder="1" applyAlignment="1">
      <alignment horizontal="left" vertical="top" wrapText="1"/>
    </xf>
    <xf numFmtId="0" fontId="41" fillId="0" borderId="0" xfId="0" applyFont="1" applyFill="1" applyBorder="1" applyAlignment="1">
      <alignment horizontal="center" vertical="center"/>
    </xf>
    <xf numFmtId="0" fontId="41" fillId="34" borderId="0" xfId="0" applyFont="1" applyFill="1" applyBorder="1" applyAlignment="1">
      <alignment horizontal="center" vertical="center"/>
    </xf>
    <xf numFmtId="0" fontId="39" fillId="0" borderId="6" xfId="0" applyFont="1" applyFill="1" applyBorder="1" applyAlignment="1">
      <alignment horizontal="center" vertical="center"/>
    </xf>
    <xf numFmtId="2" fontId="39" fillId="0" borderId="6" xfId="0" applyNumberFormat="1" applyFont="1" applyFill="1" applyBorder="1" applyAlignment="1">
      <alignment horizontal="center" vertical="center"/>
    </xf>
    <xf numFmtId="0" fontId="41" fillId="0" borderId="6" xfId="0" applyFont="1" applyFill="1" applyBorder="1" applyAlignment="1">
      <alignment horizontal="center" vertical="center" wrapText="1"/>
    </xf>
    <xf numFmtId="2" fontId="41" fillId="0" borderId="6" xfId="0" applyNumberFormat="1" applyFont="1" applyFill="1" applyBorder="1" applyAlignment="1">
      <alignment horizontal="center" vertical="center" wrapText="1"/>
    </xf>
    <xf numFmtId="2" fontId="20" fillId="0" borderId="0" xfId="0" applyNumberFormat="1" applyFont="1" applyFill="1" applyBorder="1" applyAlignment="1">
      <alignment horizontal="center" vertical="center"/>
    </xf>
    <xf numFmtId="2" fontId="20" fillId="34" borderId="0" xfId="0" applyNumberFormat="1" applyFont="1" applyFill="1" applyBorder="1" applyAlignment="1">
      <alignment horizontal="center" vertical="center"/>
    </xf>
    <xf numFmtId="37" fontId="39" fillId="0" borderId="6" xfId="0" applyNumberFormat="1" applyFont="1" applyFill="1" applyBorder="1" applyAlignment="1">
      <alignment horizontal="left" vertical="top" wrapText="1"/>
    </xf>
    <xf numFmtId="0" fontId="39" fillId="0" borderId="0" xfId="0" applyFont="1" applyFill="1" applyBorder="1" applyAlignment="1">
      <alignment horizontal="left" vertical="center"/>
    </xf>
    <xf numFmtId="37" fontId="39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/>
    </xf>
    <xf numFmtId="0" fontId="9" fillId="34" borderId="0" xfId="0" applyFont="1" applyFill="1" applyBorder="1" applyAlignment="1">
      <alignment horizontal="left" vertical="center"/>
    </xf>
    <xf numFmtId="0" fontId="39" fillId="34" borderId="6" xfId="0" applyFont="1" applyFill="1" applyBorder="1" applyAlignment="1">
      <alignment horizontal="left" vertical="top"/>
    </xf>
    <xf numFmtId="1" fontId="39" fillId="34" borderId="6" xfId="0" applyNumberFormat="1" applyFont="1" applyFill="1" applyBorder="1" applyAlignment="1">
      <alignment horizontal="center" vertical="center"/>
    </xf>
    <xf numFmtId="46" fontId="39" fillId="34" borderId="6" xfId="0" applyNumberFormat="1" applyFont="1" applyFill="1" applyBorder="1" applyAlignment="1">
      <alignment horizontal="center" vertical="center"/>
    </xf>
    <xf numFmtId="2" fontId="20" fillId="34" borderId="6" xfId="0" applyNumberFormat="1" applyFont="1" applyFill="1" applyBorder="1" applyAlignment="1">
      <alignment horizontal="center" vertical="center"/>
    </xf>
    <xf numFmtId="0" fontId="39" fillId="34" borderId="6" xfId="0" applyFont="1" applyFill="1" applyBorder="1" applyAlignment="1">
      <alignment horizontal="center" vertical="center"/>
    </xf>
    <xf numFmtId="2" fontId="39" fillId="34" borderId="6" xfId="0" applyNumberFormat="1" applyFont="1" applyFill="1" applyBorder="1" applyAlignment="1">
      <alignment horizontal="center" vertical="center"/>
    </xf>
    <xf numFmtId="37" fontId="39" fillId="0" borderId="6" xfId="0" applyNumberFormat="1" applyFont="1" applyFill="1" applyBorder="1" applyAlignment="1">
      <alignment horizontal="center" vertical="center" wrapText="1"/>
    </xf>
    <xf numFmtId="0" fontId="39" fillId="34" borderId="6" xfId="0" applyFont="1" applyFill="1" applyBorder="1" applyAlignment="1">
      <alignment horizontal="center" vertical="top"/>
    </xf>
    <xf numFmtId="0" fontId="16" fillId="34" borderId="0" xfId="0" applyFont="1" applyFill="1" applyBorder="1" applyAlignment="1">
      <alignment horizontal="center" vertical="center"/>
    </xf>
    <xf numFmtId="0" fontId="14" fillId="34" borderId="0" xfId="0" applyFont="1" applyFill="1" applyBorder="1" applyAlignment="1">
      <alignment horizontal="right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4" fillId="34" borderId="0" xfId="0" applyFont="1" applyFill="1" applyBorder="1" applyAlignment="1">
      <alignment horizontal="center" vertical="center" wrapText="1"/>
    </xf>
    <xf numFmtId="0" fontId="14" fillId="34" borderId="0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right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right" vertical="center" wrapText="1"/>
    </xf>
    <xf numFmtId="0" fontId="16" fillId="0" borderId="6" xfId="0" applyFont="1" applyFill="1" applyBorder="1" applyAlignment="1">
      <alignment horizontal="center" vertical="center"/>
    </xf>
    <xf numFmtId="0" fontId="4" fillId="0" borderId="0" xfId="292"/>
    <xf numFmtId="2" fontId="117" fillId="34" borderId="6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/>
    </xf>
    <xf numFmtId="0" fontId="0" fillId="0" borderId="0" xfId="0"/>
    <xf numFmtId="164" fontId="16" fillId="0" borderId="6" xfId="0" applyNumberFormat="1" applyFont="1" applyFill="1" applyBorder="1" applyAlignment="1">
      <alignment horizontal="left" vertical="center" wrapText="1"/>
    </xf>
    <xf numFmtId="2" fontId="39" fillId="0" borderId="6" xfId="0" applyNumberFormat="1" applyFont="1" applyFill="1" applyBorder="1" applyAlignment="1">
      <alignment horizontal="center"/>
    </xf>
    <xf numFmtId="0" fontId="41" fillId="0" borderId="6" xfId="0" applyFont="1" applyFill="1" applyBorder="1" applyAlignment="1">
      <alignment horizontal="left" vertical="top"/>
    </xf>
    <xf numFmtId="1" fontId="48" fillId="0" borderId="6" xfId="0" applyNumberFormat="1" applyFont="1" applyFill="1" applyBorder="1" applyAlignment="1">
      <alignment horizontal="center" vertical="center"/>
    </xf>
    <xf numFmtId="2" fontId="48" fillId="0" borderId="6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24" fillId="34" borderId="0" xfId="0" applyFont="1" applyFill="1" applyBorder="1" applyAlignment="1">
      <alignment horizontal="left" vertical="center"/>
    </xf>
    <xf numFmtId="0" fontId="14" fillId="0" borderId="6" xfId="0" applyFont="1" applyFill="1" applyBorder="1" applyAlignment="1">
      <alignment horizontal="left" vertical="center"/>
    </xf>
    <xf numFmtId="2" fontId="16" fillId="0" borderId="6" xfId="0" applyNumberFormat="1" applyFont="1" applyFill="1" applyBorder="1" applyAlignment="1">
      <alignment horizontal="right" vertical="center"/>
    </xf>
    <xf numFmtId="171" fontId="109" fillId="0" borderId="6" xfId="0" applyNumberFormat="1" applyFont="1" applyFill="1" applyBorder="1" applyAlignment="1">
      <alignment horizontal="center" vertical="center" wrapText="1"/>
    </xf>
    <xf numFmtId="2" fontId="16" fillId="0" borderId="6" xfId="0" applyNumberFormat="1" applyFont="1" applyFill="1" applyBorder="1" applyAlignment="1">
      <alignment horizontal="center"/>
    </xf>
    <xf numFmtId="2" fontId="109" fillId="0" borderId="6" xfId="0" applyNumberFormat="1" applyFont="1" applyFill="1" applyBorder="1" applyAlignment="1">
      <alignment horizontal="center"/>
    </xf>
    <xf numFmtId="0" fontId="16" fillId="34" borderId="6" xfId="196" applyFont="1" applyFill="1" applyBorder="1" applyAlignment="1">
      <alignment horizontal="left"/>
    </xf>
    <xf numFmtId="0" fontId="16" fillId="34" borderId="6" xfId="196" applyFont="1" applyFill="1" applyBorder="1" applyAlignment="1">
      <alignment horizontal="center" vertical="center"/>
    </xf>
    <xf numFmtId="164" fontId="16" fillId="34" borderId="6" xfId="196" applyNumberFormat="1" applyFont="1" applyFill="1" applyBorder="1" applyAlignment="1">
      <alignment horizontal="center" vertical="center"/>
    </xf>
    <xf numFmtId="166" fontId="16" fillId="34" borderId="6" xfId="196" applyNumberFormat="1" applyFont="1" applyFill="1" applyBorder="1" applyAlignment="1">
      <alignment horizontal="center" vertical="center"/>
    </xf>
    <xf numFmtId="0" fontId="16" fillId="34" borderId="6" xfId="196" applyFont="1" applyFill="1" applyBorder="1" applyAlignment="1">
      <alignment horizontal="right"/>
    </xf>
    <xf numFmtId="164" fontId="16" fillId="0" borderId="6" xfId="0" applyNumberFormat="1" applyFont="1" applyFill="1" applyBorder="1" applyAlignment="1">
      <alignment horizontal="right" vertical="center" wrapText="1"/>
    </xf>
    <xf numFmtId="0" fontId="0" fillId="0" borderId="0" xfId="0"/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Alignment="1">
      <alignment horizontal="left"/>
    </xf>
    <xf numFmtId="0" fontId="16" fillId="0" borderId="2" xfId="0" applyFont="1" applyBorder="1" applyAlignment="1">
      <alignment horizontal="center" vertical="center" wrapText="1"/>
    </xf>
    <xf numFmtId="0" fontId="24" fillId="34" borderId="0" xfId="0" applyFont="1" applyFill="1" applyBorder="1" applyAlignment="1">
      <alignment horizontal="left" vertical="center" wrapText="1"/>
    </xf>
    <xf numFmtId="0" fontId="24" fillId="34" borderId="0" xfId="0" applyFont="1" applyFill="1" applyBorder="1" applyAlignment="1">
      <alignment horizontal="left" vertical="center"/>
    </xf>
    <xf numFmtId="0" fontId="16" fillId="0" borderId="0" xfId="0" applyFont="1" applyBorder="1" applyAlignment="1">
      <alignment horizontal="left" wrapText="1"/>
    </xf>
    <xf numFmtId="0" fontId="28" fillId="0" borderId="0" xfId="0" applyFont="1" applyAlignment="1">
      <alignment horizontal="left" wrapText="1"/>
    </xf>
    <xf numFmtId="0" fontId="16" fillId="0" borderId="0" xfId="0" applyFont="1" applyBorder="1" applyAlignment="1">
      <alignment horizontal="right" wrapText="1"/>
    </xf>
    <xf numFmtId="0" fontId="26" fillId="0" borderId="0" xfId="0" applyFont="1" applyAlignment="1">
      <alignment horizontal="left" wrapText="1"/>
    </xf>
    <xf numFmtId="164" fontId="0" fillId="0" borderId="0" xfId="0" applyNumberFormat="1" applyFill="1"/>
    <xf numFmtId="166" fontId="117" fillId="0" borderId="0" xfId="0" applyNumberFormat="1" applyFont="1" applyFill="1" applyBorder="1" applyAlignment="1">
      <alignment horizontal="right" vertical="center" wrapText="1"/>
    </xf>
    <xf numFmtId="0" fontId="41" fillId="34" borderId="6" xfId="0" applyFont="1" applyFill="1" applyBorder="1" applyAlignment="1">
      <alignment horizontal="left" vertical="center"/>
    </xf>
    <xf numFmtId="2" fontId="14" fillId="34" borderId="6" xfId="0" applyNumberFormat="1" applyFont="1" applyFill="1" applyBorder="1" applyAlignment="1">
      <alignment horizontal="center" vertical="center"/>
    </xf>
    <xf numFmtId="2" fontId="109" fillId="34" borderId="6" xfId="0" applyNumberFormat="1" applyFont="1" applyFill="1" applyBorder="1" applyAlignment="1">
      <alignment horizontal="center" vertical="center" wrapText="1"/>
    </xf>
    <xf numFmtId="164" fontId="16" fillId="35" borderId="0" xfId="0" applyNumberFormat="1" applyFont="1" applyFill="1"/>
    <xf numFmtId="0" fontId="19" fillId="0" borderId="0" xfId="0" applyFont="1" applyBorder="1" applyAlignment="1">
      <alignment horizontal="left" wrapText="1"/>
    </xf>
    <xf numFmtId="0" fontId="19" fillId="0" borderId="0" xfId="0" applyFont="1" applyBorder="1" applyAlignment="1">
      <alignment horizontal="center" wrapText="1"/>
    </xf>
    <xf numFmtId="0" fontId="19" fillId="0" borderId="0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center" wrapText="1"/>
    </xf>
    <xf numFmtId="0" fontId="24" fillId="34" borderId="0" xfId="0" applyFont="1" applyFill="1" applyBorder="1" applyAlignment="1">
      <alignment horizontal="left" vertical="center"/>
    </xf>
    <xf numFmtId="0" fontId="14" fillId="34" borderId="6" xfId="0" applyFont="1" applyFill="1" applyBorder="1" applyAlignment="1"/>
    <xf numFmtId="0" fontId="16" fillId="0" borderId="79" xfId="0" applyFont="1" applyFill="1" applyBorder="1" applyAlignment="1">
      <alignment horizontal="center" vertical="center" wrapText="1"/>
    </xf>
    <xf numFmtId="0" fontId="11" fillId="0" borderId="39" xfId="0" applyFont="1" applyBorder="1" applyAlignment="1">
      <alignment horizontal="right" vertical="center" wrapText="1"/>
    </xf>
    <xf numFmtId="2" fontId="11" fillId="0" borderId="39" xfId="0" applyNumberFormat="1" applyFont="1" applyBorder="1" applyAlignment="1">
      <alignment horizontal="right" vertical="center" wrapText="1"/>
    </xf>
    <xf numFmtId="0" fontId="11" fillId="0" borderId="39" xfId="0" applyFont="1" applyFill="1" applyBorder="1" applyAlignment="1">
      <alignment horizontal="left" vertical="center" wrapText="1"/>
    </xf>
    <xf numFmtId="0" fontId="11" fillId="0" borderId="39" xfId="0" applyFont="1" applyFill="1" applyBorder="1" applyAlignment="1">
      <alignment vertical="center" wrapText="1"/>
    </xf>
    <xf numFmtId="0" fontId="11" fillId="0" borderId="39" xfId="0" applyFont="1" applyFill="1" applyBorder="1" applyAlignment="1">
      <alignment horizontal="center" vertical="center" wrapText="1"/>
    </xf>
    <xf numFmtId="0" fontId="14" fillId="0" borderId="39" xfId="0" applyFont="1" applyFill="1" applyBorder="1" applyAlignment="1">
      <alignment horizontal="center" vertical="center" wrapText="1"/>
    </xf>
    <xf numFmtId="0" fontId="11" fillId="0" borderId="39" xfId="0" applyFont="1" applyFill="1" applyBorder="1" applyAlignment="1">
      <alignment horizontal="right" vertical="center" wrapText="1"/>
    </xf>
    <xf numFmtId="0" fontId="10" fillId="0" borderId="39" xfId="0" applyFont="1" applyFill="1" applyBorder="1" applyAlignment="1">
      <alignment wrapText="1"/>
    </xf>
    <xf numFmtId="0" fontId="14" fillId="0" borderId="39" xfId="0" applyFont="1" applyFill="1" applyBorder="1" applyAlignment="1">
      <alignment horizontal="right" vertical="center" wrapText="1"/>
    </xf>
    <xf numFmtId="164" fontId="117" fillId="0" borderId="6" xfId="0" applyNumberFormat="1" applyFont="1" applyFill="1" applyBorder="1" applyAlignment="1">
      <alignment horizontal="left" vertical="center" wrapText="1"/>
    </xf>
    <xf numFmtId="2" fontId="117" fillId="0" borderId="6" xfId="0" applyNumberFormat="1" applyFont="1" applyFill="1" applyBorder="1" applyAlignment="1">
      <alignment horizontal="center" vertical="center" wrapText="1"/>
    </xf>
    <xf numFmtId="164" fontId="126" fillId="0" borderId="0" xfId="0" applyNumberFormat="1" applyFont="1" applyFill="1"/>
    <xf numFmtId="0" fontId="126" fillId="34" borderId="0" xfId="0" applyFont="1" applyFill="1"/>
    <xf numFmtId="164" fontId="126" fillId="34" borderId="0" xfId="0" applyNumberFormat="1" applyFont="1" applyFill="1"/>
    <xf numFmtId="0" fontId="135" fillId="34" borderId="0" xfId="0" applyFont="1" applyFill="1" applyBorder="1" applyAlignment="1">
      <alignment horizontal="left" wrapText="1"/>
    </xf>
    <xf numFmtId="0" fontId="135" fillId="0" borderId="0" xfId="0" applyFont="1" applyFill="1" applyBorder="1" applyAlignment="1">
      <alignment horizontal="left" wrapText="1"/>
    </xf>
    <xf numFmtId="2" fontId="135" fillId="0" borderId="0" xfId="0" applyNumberFormat="1" applyFont="1" applyFill="1" applyBorder="1" applyAlignment="1">
      <alignment horizontal="center"/>
    </xf>
    <xf numFmtId="0" fontId="135" fillId="0" borderId="0" xfId="0" applyFont="1" applyFill="1" applyBorder="1" applyAlignment="1">
      <alignment horizontal="right" wrapText="1"/>
    </xf>
    <xf numFmtId="2" fontId="135" fillId="34" borderId="0" xfId="0" applyNumberFormat="1" applyFont="1" applyFill="1" applyBorder="1" applyAlignment="1">
      <alignment horizontal="center"/>
    </xf>
    <xf numFmtId="0" fontId="135" fillId="34" borderId="0" xfId="0" applyFont="1" applyFill="1" applyBorder="1" applyAlignment="1">
      <alignment horizontal="right" wrapText="1"/>
    </xf>
    <xf numFmtId="1" fontId="126" fillId="0" borderId="0" xfId="0" applyNumberFormat="1" applyFont="1" applyFill="1"/>
    <xf numFmtId="0" fontId="126" fillId="0" borderId="0" xfId="0" applyFont="1" applyFill="1" applyBorder="1"/>
    <xf numFmtId="0" fontId="126" fillId="34" borderId="0" xfId="0" applyFont="1" applyFill="1" applyBorder="1"/>
    <xf numFmtId="164" fontId="126" fillId="34" borderId="0" xfId="0" applyNumberFormat="1" applyFont="1" applyFill="1" applyBorder="1"/>
    <xf numFmtId="1" fontId="126" fillId="34" borderId="0" xfId="0" applyNumberFormat="1" applyFont="1" applyFill="1" applyBorder="1"/>
    <xf numFmtId="164" fontId="126" fillId="0" borderId="0" xfId="0" applyNumberFormat="1" applyFont="1" applyFill="1" applyBorder="1"/>
    <xf numFmtId="1" fontId="126" fillId="0" borderId="0" xfId="0" applyNumberFormat="1" applyFont="1" applyFill="1" applyBorder="1"/>
    <xf numFmtId="0" fontId="132" fillId="34" borderId="0" xfId="0" applyFont="1" applyFill="1" applyBorder="1"/>
    <xf numFmtId="0" fontId="126" fillId="35" borderId="0" xfId="0" applyFont="1" applyFill="1" applyBorder="1"/>
    <xf numFmtId="164" fontId="126" fillId="35" borderId="0" xfId="0" applyNumberFormat="1" applyFont="1" applyFill="1" applyBorder="1"/>
    <xf numFmtId="1" fontId="126" fillId="35" borderId="0" xfId="0" applyNumberFormat="1" applyFont="1" applyFill="1" applyBorder="1"/>
    <xf numFmtId="0" fontId="132" fillId="0" borderId="0" xfId="0" applyFont="1" applyFill="1" applyBorder="1"/>
    <xf numFmtId="0" fontId="126" fillId="34" borderId="6" xfId="0" applyFont="1" applyFill="1" applyBorder="1"/>
    <xf numFmtId="164" fontId="126" fillId="34" borderId="6" xfId="0" applyNumberFormat="1" applyFont="1" applyFill="1" applyBorder="1"/>
    <xf numFmtId="1" fontId="126" fillId="34" borderId="6" xfId="0" applyNumberFormat="1" applyFont="1" applyFill="1" applyBorder="1"/>
    <xf numFmtId="0" fontId="132" fillId="0" borderId="0" xfId="0" applyFont="1" applyFill="1"/>
    <xf numFmtId="164" fontId="132" fillId="0" borderId="0" xfId="0" applyNumberFormat="1" applyFont="1" applyFill="1"/>
    <xf numFmtId="1" fontId="132" fillId="0" borderId="0" xfId="0" applyNumberFormat="1" applyFont="1" applyFill="1"/>
    <xf numFmtId="0" fontId="69" fillId="0" borderId="0" xfId="0" applyFont="1" applyFill="1"/>
    <xf numFmtId="1" fontId="69" fillId="0" borderId="0" xfId="0" applyNumberFormat="1" applyFont="1" applyFill="1"/>
    <xf numFmtId="164" fontId="197" fillId="0" borderId="0" xfId="0" applyNumberFormat="1" applyFont="1" applyFill="1" applyBorder="1"/>
    <xf numFmtId="1" fontId="69" fillId="0" borderId="0" xfId="0" applyNumberFormat="1" applyFont="1" applyFill="1" applyBorder="1"/>
    <xf numFmtId="0" fontId="69" fillId="0" borderId="0" xfId="0" applyFont="1" applyFill="1" applyBorder="1"/>
    <xf numFmtId="2" fontId="14" fillId="0" borderId="0" xfId="0" applyNumberFormat="1" applyFont="1" applyAlignment="1"/>
    <xf numFmtId="2" fontId="137" fillId="0" borderId="0" xfId="0" applyNumberFormat="1" applyFont="1" applyBorder="1" applyAlignment="1">
      <alignment wrapText="1"/>
    </xf>
    <xf numFmtId="0" fontId="30" fillId="34" borderId="6" xfId="0" applyFont="1" applyFill="1" applyBorder="1" applyAlignment="1">
      <alignment horizontal="center"/>
    </xf>
    <xf numFmtId="2" fontId="30" fillId="34" borderId="6" xfId="0" applyNumberFormat="1" applyFont="1" applyFill="1" applyBorder="1" applyAlignment="1">
      <alignment horizontal="center"/>
    </xf>
    <xf numFmtId="1" fontId="30" fillId="34" borderId="6" xfId="0" applyNumberFormat="1" applyFont="1" applyFill="1" applyBorder="1" applyAlignment="1">
      <alignment horizontal="center"/>
    </xf>
    <xf numFmtId="2" fontId="17" fillId="34" borderId="6" xfId="0" applyNumberFormat="1" applyFont="1" applyFill="1" applyBorder="1" applyAlignment="1">
      <alignment horizontal="center" wrapText="1"/>
    </xf>
    <xf numFmtId="0" fontId="17" fillId="34" borderId="6" xfId="0" applyFont="1" applyFill="1" applyBorder="1" applyAlignment="1">
      <alignment horizontal="center" wrapText="1"/>
    </xf>
    <xf numFmtId="0" fontId="0" fillId="0" borderId="0" xfId="0"/>
    <xf numFmtId="0" fontId="14" fillId="0" borderId="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/>
    </xf>
    <xf numFmtId="0" fontId="24" fillId="34" borderId="0" xfId="0" applyFont="1" applyFill="1" applyBorder="1" applyAlignment="1">
      <alignment horizontal="left" vertical="center"/>
    </xf>
    <xf numFmtId="0" fontId="134" fillId="0" borderId="0" xfId="0" applyFont="1" applyFill="1" applyBorder="1" applyAlignment="1">
      <alignment horizontal="left" vertical="center"/>
    </xf>
    <xf numFmtId="0" fontId="133" fillId="0" borderId="0" xfId="0" applyFont="1" applyFill="1" applyBorder="1" applyAlignment="1">
      <alignment horizontal="center"/>
    </xf>
    <xf numFmtId="0" fontId="153" fillId="0" borderId="10" xfId="0" applyFont="1" applyFill="1" applyBorder="1" applyAlignment="1">
      <alignment horizontal="center"/>
    </xf>
    <xf numFmtId="0" fontId="0" fillId="0" borderId="0" xfId="0"/>
    <xf numFmtId="0" fontId="0" fillId="0" borderId="11" xfId="0" applyBorder="1"/>
    <xf numFmtId="0" fontId="146" fillId="0" borderId="7" xfId="0" applyFont="1" applyBorder="1" applyAlignment="1">
      <alignment horizontal="center" vertical="top" wrapText="1"/>
    </xf>
    <xf numFmtId="0" fontId="146" fillId="0" borderId="8" xfId="0" applyFont="1" applyBorder="1" applyAlignment="1">
      <alignment horizontal="center" vertical="top" wrapText="1"/>
    </xf>
    <xf numFmtId="0" fontId="146" fillId="0" borderId="9" xfId="0" applyFont="1" applyBorder="1" applyAlignment="1">
      <alignment horizontal="center" vertical="top" wrapText="1"/>
    </xf>
    <xf numFmtId="0" fontId="146" fillId="0" borderId="10" xfId="0" applyFont="1" applyBorder="1" applyAlignment="1">
      <alignment horizontal="center" vertical="top" wrapText="1"/>
    </xf>
    <xf numFmtId="0" fontId="146" fillId="0" borderId="0" xfId="0" applyFont="1" applyBorder="1" applyAlignment="1">
      <alignment horizontal="center" vertical="top" wrapText="1"/>
    </xf>
    <xf numFmtId="0" fontId="146" fillId="0" borderId="11" xfId="0" applyFont="1" applyBorder="1" applyAlignment="1">
      <alignment horizontal="center" vertical="top" wrapText="1"/>
    </xf>
    <xf numFmtId="49" fontId="153" fillId="0" borderId="10" xfId="0" applyNumberFormat="1" applyFont="1" applyFill="1" applyBorder="1" applyAlignment="1">
      <alignment horizontal="center"/>
    </xf>
    <xf numFmtId="0" fontId="143" fillId="0" borderId="0" xfId="0" applyFont="1" applyBorder="1" applyAlignment="1">
      <alignment horizontal="center"/>
    </xf>
    <xf numFmtId="172" fontId="153" fillId="0" borderId="10" xfId="0" applyNumberFormat="1" applyFont="1" applyFill="1" applyBorder="1" applyAlignment="1">
      <alignment horizontal="center"/>
    </xf>
    <xf numFmtId="0" fontId="5" fillId="0" borderId="0" xfId="173" applyAlignment="1" applyProtection="1">
      <alignment horizontal="left"/>
    </xf>
    <xf numFmtId="0" fontId="33" fillId="0" borderId="0" xfId="0" applyFont="1" applyAlignment="1">
      <alignment horizontal="left"/>
    </xf>
    <xf numFmtId="0" fontId="151" fillId="0" borderId="0" xfId="0" applyFont="1" applyBorder="1" applyAlignment="1">
      <alignment horizontal="left" vertical="center" wrapText="1"/>
    </xf>
    <xf numFmtId="0" fontId="133" fillId="0" borderId="0" xfId="0" applyFont="1" applyFill="1" applyBorder="1" applyAlignment="1">
      <alignment horizontal="right" vertical="center"/>
    </xf>
    <xf numFmtId="0" fontId="151" fillId="2" borderId="0" xfId="0" applyFont="1" applyFill="1" applyBorder="1" applyAlignment="1">
      <alignment horizontal="left" vertical="top" wrapText="1"/>
    </xf>
    <xf numFmtId="0" fontId="151" fillId="2" borderId="0" xfId="0" applyFont="1" applyFill="1" applyBorder="1" applyAlignment="1">
      <alignment horizontal="left" vertical="center" wrapText="1"/>
    </xf>
    <xf numFmtId="0" fontId="181" fillId="0" borderId="0" xfId="0" applyFont="1" applyAlignment="1">
      <alignment horizontal="center"/>
    </xf>
    <xf numFmtId="0" fontId="147" fillId="0" borderId="0" xfId="0" applyFont="1" applyFill="1" applyBorder="1" applyAlignment="1">
      <alignment horizontal="center"/>
    </xf>
    <xf numFmtId="0" fontId="143" fillId="0" borderId="0" xfId="0" applyFont="1" applyFill="1" applyBorder="1" applyAlignment="1">
      <alignment horizontal="center"/>
    </xf>
    <xf numFmtId="0" fontId="145" fillId="0" borderId="0" xfId="0" applyFont="1" applyBorder="1" applyAlignment="1">
      <alignment horizontal="left" vertical="top" wrapText="1"/>
    </xf>
    <xf numFmtId="0" fontId="146" fillId="0" borderId="0" xfId="0" applyFont="1" applyBorder="1" applyAlignment="1">
      <alignment horizontal="left"/>
    </xf>
    <xf numFmtId="0" fontId="151" fillId="0" borderId="0" xfId="0" applyFont="1" applyFill="1" applyBorder="1" applyAlignment="1">
      <alignment horizontal="left" vertical="center" wrapText="1"/>
    </xf>
    <xf numFmtId="0" fontId="145" fillId="0" borderId="6" xfId="0" applyFont="1" applyBorder="1" applyAlignment="1">
      <alignment horizontal="left" vertical="top" wrapText="1"/>
    </xf>
    <xf numFmtId="0" fontId="145" fillId="0" borderId="0" xfId="0" applyFont="1" applyBorder="1" applyAlignment="1">
      <alignment horizontal="left" wrapText="1"/>
    </xf>
    <xf numFmtId="0" fontId="153" fillId="2" borderId="10" xfId="0" applyFont="1" applyFill="1" applyBorder="1" applyAlignment="1">
      <alignment horizontal="center"/>
    </xf>
    <xf numFmtId="0" fontId="153" fillId="2" borderId="0" xfId="0" applyFont="1" applyFill="1" applyBorder="1" applyAlignment="1">
      <alignment horizontal="center"/>
    </xf>
    <xf numFmtId="0" fontId="153" fillId="2" borderId="11" xfId="0" applyFont="1" applyFill="1" applyBorder="1" applyAlignment="1">
      <alignment horizontal="center"/>
    </xf>
    <xf numFmtId="0" fontId="22" fillId="0" borderId="0" xfId="0" applyFont="1" applyAlignment="1">
      <alignment horizontal="left"/>
    </xf>
    <xf numFmtId="0" fontId="30" fillId="0" borderId="2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0" fontId="8" fillId="0" borderId="5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0" fillId="0" borderId="53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39" xfId="0" applyFont="1" applyBorder="1" applyAlignment="1">
      <alignment horizontal="right" wrapText="1"/>
    </xf>
    <xf numFmtId="0" fontId="22" fillId="0" borderId="0" xfId="0" applyFont="1" applyAlignment="1">
      <alignment horizontal="right"/>
    </xf>
    <xf numFmtId="0" fontId="82" fillId="0" borderId="0" xfId="0" applyFont="1" applyBorder="1" applyAlignment="1">
      <alignment horizontal="left" wrapText="1"/>
    </xf>
    <xf numFmtId="0" fontId="82" fillId="0" borderId="0" xfId="0" applyFont="1" applyBorder="1" applyAlignment="1">
      <alignment horizontal="left" vertical="justify" wrapText="1"/>
    </xf>
    <xf numFmtId="0" fontId="22" fillId="0" borderId="0" xfId="0" applyFont="1" applyBorder="1" applyAlignment="1">
      <alignment horizontal="right" wrapText="1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30" fillId="0" borderId="18" xfId="0" applyFont="1" applyFill="1" applyBorder="1" applyAlignment="1">
      <alignment horizontal="center" vertical="center" wrapText="1"/>
    </xf>
    <xf numFmtId="0" fontId="0" fillId="0" borderId="18" xfId="0" applyFill="1" applyBorder="1"/>
    <xf numFmtId="0" fontId="0" fillId="0" borderId="3" xfId="0" applyFill="1" applyBorder="1"/>
    <xf numFmtId="0" fontId="9" fillId="0" borderId="42" xfId="0" applyFont="1" applyFill="1" applyBorder="1" applyAlignment="1">
      <alignment horizontal="center" vertical="center"/>
    </xf>
    <xf numFmtId="0" fontId="9" fillId="0" borderId="54" xfId="0" applyFont="1" applyFill="1" applyBorder="1" applyAlignment="1">
      <alignment horizontal="center" vertical="center"/>
    </xf>
    <xf numFmtId="0" fontId="9" fillId="0" borderId="55" xfId="0" applyFont="1" applyFill="1" applyBorder="1" applyAlignment="1">
      <alignment horizontal="center" vertical="center"/>
    </xf>
    <xf numFmtId="0" fontId="30" fillId="0" borderId="48" xfId="0" applyFont="1" applyFill="1" applyBorder="1" applyAlignment="1">
      <alignment horizontal="center" vertical="center" wrapText="1"/>
    </xf>
    <xf numFmtId="0" fontId="8" fillId="0" borderId="5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54" xfId="0" applyFont="1" applyFill="1" applyBorder="1" applyAlignment="1">
      <alignment horizontal="center" vertical="center" wrapText="1"/>
    </xf>
    <xf numFmtId="0" fontId="9" fillId="0" borderId="55" xfId="0" applyFont="1" applyFill="1" applyBorder="1" applyAlignment="1">
      <alignment horizontal="center" vertical="center" wrapText="1"/>
    </xf>
    <xf numFmtId="0" fontId="82" fillId="0" borderId="0" xfId="0" applyFont="1" applyFill="1" applyAlignment="1">
      <alignment horizontal="left" wrapText="1"/>
    </xf>
    <xf numFmtId="0" fontId="82" fillId="0" borderId="0" xfId="0" applyFont="1" applyBorder="1" applyAlignment="1">
      <alignment horizontal="left" vertical="center"/>
    </xf>
    <xf numFmtId="0" fontId="9" fillId="0" borderId="42" xfId="0" applyFont="1" applyFill="1" applyBorder="1" applyAlignment="1">
      <alignment horizontal="right" vertical="center"/>
    </xf>
    <xf numFmtId="0" fontId="9" fillId="0" borderId="54" xfId="0" applyFont="1" applyFill="1" applyBorder="1" applyAlignment="1">
      <alignment horizontal="right" vertical="center"/>
    </xf>
    <xf numFmtId="0" fontId="9" fillId="0" borderId="44" xfId="0" applyFont="1" applyFill="1" applyBorder="1" applyAlignment="1">
      <alignment horizontal="right" vertical="center"/>
    </xf>
    <xf numFmtId="0" fontId="9" fillId="0" borderId="44" xfId="0" applyFont="1" applyFill="1" applyBorder="1" applyAlignment="1">
      <alignment horizontal="left" vertical="center"/>
    </xf>
    <xf numFmtId="0" fontId="9" fillId="0" borderId="55" xfId="0" applyFont="1" applyFill="1" applyBorder="1" applyAlignment="1">
      <alignment horizontal="left" vertical="center"/>
    </xf>
    <xf numFmtId="0" fontId="28" fillId="0" borderId="0" xfId="0" applyFont="1" applyAlignment="1">
      <alignment horizontal="right" wrapText="1"/>
    </xf>
    <xf numFmtId="0" fontId="16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  <xf numFmtId="0" fontId="22" fillId="0" borderId="0" xfId="0" applyNumberFormat="1" applyFont="1" applyBorder="1" applyAlignment="1">
      <alignment horizontal="right" wrapText="1"/>
    </xf>
    <xf numFmtId="0" fontId="22" fillId="0" borderId="0" xfId="0" applyFont="1" applyAlignment="1">
      <alignment horizontal="center" wrapText="1"/>
    </xf>
    <xf numFmtId="0" fontId="30" fillId="0" borderId="0" xfId="0" applyFont="1" applyBorder="1" applyAlignment="1">
      <alignment horizontal="center" wrapText="1"/>
    </xf>
    <xf numFmtId="0" fontId="30" fillId="0" borderId="0" xfId="0" applyFont="1" applyAlignment="1">
      <alignment horizontal="left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39" fillId="0" borderId="3" xfId="0" applyFont="1" applyFill="1" applyBorder="1" applyAlignment="1">
      <alignment horizontal="center" vertical="center" wrapText="1"/>
    </xf>
    <xf numFmtId="0" fontId="39" fillId="0" borderId="2" xfId="0" applyFont="1" applyFill="1" applyBorder="1" applyAlignment="1">
      <alignment horizontal="center" vertical="center" wrapText="1"/>
    </xf>
    <xf numFmtId="0" fontId="35" fillId="0" borderId="42" xfId="0" applyFont="1" applyFill="1" applyBorder="1" applyAlignment="1">
      <alignment horizontal="center" vertical="center" wrapText="1"/>
    </xf>
    <xf numFmtId="0" fontId="35" fillId="0" borderId="54" xfId="0" applyFont="1" applyFill="1" applyBorder="1" applyAlignment="1">
      <alignment horizontal="center" vertical="center" wrapText="1"/>
    </xf>
    <xf numFmtId="0" fontId="35" fillId="0" borderId="55" xfId="0" applyFont="1" applyFill="1" applyBorder="1" applyAlignment="1">
      <alignment horizontal="center" vertical="center" wrapText="1"/>
    </xf>
    <xf numFmtId="0" fontId="39" fillId="0" borderId="53" xfId="0" applyFont="1" applyFill="1" applyBorder="1" applyAlignment="1">
      <alignment horizontal="center" vertical="center" wrapText="1"/>
    </xf>
    <xf numFmtId="0" fontId="9" fillId="0" borderId="53" xfId="0" applyFont="1" applyFill="1" applyBorder="1" applyAlignment="1">
      <alignment horizontal="center" vertical="center" wrapText="1"/>
    </xf>
    <xf numFmtId="0" fontId="82" fillId="0" borderId="0" xfId="0" applyFont="1" applyFill="1" applyBorder="1" applyAlignment="1">
      <alignment horizontal="left" wrapText="1"/>
    </xf>
    <xf numFmtId="49" fontId="82" fillId="0" borderId="0" xfId="0" applyNumberFormat="1" applyFont="1" applyBorder="1" applyAlignment="1">
      <alignment horizontal="left" vertical="center" wrapText="1"/>
    </xf>
    <xf numFmtId="0" fontId="82" fillId="0" borderId="0" xfId="0" applyFont="1" applyAlignment="1">
      <alignment horizontal="left"/>
    </xf>
    <xf numFmtId="0" fontId="16" fillId="0" borderId="5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/>
    </xf>
    <xf numFmtId="0" fontId="194" fillId="0" borderId="0" xfId="0" applyFont="1" applyAlignment="1">
      <alignment horizontal="right" vertical="center"/>
    </xf>
    <xf numFmtId="0" fontId="82" fillId="0" borderId="0" xfId="0" applyFont="1" applyBorder="1" applyAlignment="1">
      <alignment horizontal="left" vertical="center" wrapText="1"/>
    </xf>
    <xf numFmtId="0" fontId="82" fillId="0" borderId="0" xfId="0" applyFont="1" applyFill="1" applyBorder="1" applyAlignment="1">
      <alignment horizontal="left" vertical="center" wrapText="1"/>
    </xf>
    <xf numFmtId="0" fontId="30" fillId="0" borderId="42" xfId="0" applyFont="1" applyFill="1" applyBorder="1" applyAlignment="1">
      <alignment horizontal="center" vertical="center" wrapText="1"/>
    </xf>
    <xf numFmtId="0" fontId="28" fillId="0" borderId="42" xfId="0" applyFont="1" applyFill="1" applyBorder="1" applyAlignment="1">
      <alignment horizontal="center" vertical="center" wrapText="1"/>
    </xf>
    <xf numFmtId="0" fontId="30" fillId="0" borderId="54" xfId="0" applyFont="1" applyFill="1" applyBorder="1" applyAlignment="1">
      <alignment horizontal="center" vertical="center" wrapText="1"/>
    </xf>
    <xf numFmtId="0" fontId="30" fillId="0" borderId="55" xfId="0" applyFont="1" applyFill="1" applyBorder="1" applyAlignment="1">
      <alignment horizontal="center" vertical="center" wrapText="1"/>
    </xf>
    <xf numFmtId="0" fontId="22" fillId="0" borderId="0" xfId="196" applyFont="1" applyBorder="1" applyAlignment="1">
      <alignment horizontal="right"/>
    </xf>
    <xf numFmtId="0" fontId="30" fillId="0" borderId="2" xfId="196" applyFont="1" applyBorder="1" applyAlignment="1">
      <alignment horizontal="center" vertical="center" wrapText="1"/>
    </xf>
    <xf numFmtId="0" fontId="30" fillId="0" borderId="53" xfId="196" applyFont="1" applyFill="1" applyBorder="1" applyAlignment="1">
      <alignment horizontal="center" vertical="center" wrapText="1"/>
    </xf>
    <xf numFmtId="0" fontId="30" fillId="0" borderId="3" xfId="196" applyFont="1" applyFill="1" applyBorder="1" applyAlignment="1">
      <alignment horizontal="center" vertical="center" wrapText="1"/>
    </xf>
    <xf numFmtId="0" fontId="30" fillId="0" borderId="59" xfId="196" applyFont="1" applyFill="1" applyBorder="1" applyAlignment="1">
      <alignment horizontal="center" vertical="center"/>
    </xf>
    <xf numFmtId="0" fontId="30" fillId="0" borderId="55" xfId="196" applyFont="1" applyFill="1" applyBorder="1" applyAlignment="1">
      <alignment horizontal="center" vertical="center"/>
    </xf>
    <xf numFmtId="0" fontId="8" fillId="0" borderId="0" xfId="196" applyFont="1" applyBorder="1" applyAlignment="1">
      <alignment horizontal="right" wrapText="1"/>
    </xf>
    <xf numFmtId="0" fontId="28" fillId="0" borderId="42" xfId="196" applyFont="1" applyFill="1" applyBorder="1" applyAlignment="1">
      <alignment horizontal="center" vertical="center" wrapText="1"/>
    </xf>
    <xf numFmtId="0" fontId="28" fillId="0" borderId="55" xfId="196" applyFont="1" applyFill="1" applyBorder="1" applyAlignment="1">
      <alignment horizontal="center" vertical="center" wrapText="1"/>
    </xf>
    <xf numFmtId="0" fontId="28" fillId="0" borderId="54" xfId="196" applyFont="1" applyFill="1" applyBorder="1" applyAlignment="1">
      <alignment horizontal="center" vertical="center" wrapText="1"/>
    </xf>
    <xf numFmtId="0" fontId="30" fillId="0" borderId="53" xfId="196" applyFont="1" applyBorder="1" applyAlignment="1">
      <alignment horizontal="center" vertical="center" wrapText="1"/>
    </xf>
    <xf numFmtId="0" fontId="30" fillId="0" borderId="18" xfId="196" applyFont="1" applyBorder="1" applyAlignment="1">
      <alignment horizontal="center" vertical="center" wrapText="1"/>
    </xf>
    <xf numFmtId="0" fontId="30" fillId="0" borderId="3" xfId="196" applyFont="1" applyBorder="1" applyAlignment="1">
      <alignment horizontal="center" vertical="center" wrapText="1"/>
    </xf>
    <xf numFmtId="0" fontId="28" fillId="0" borderId="59" xfId="196" applyFont="1" applyFill="1" applyBorder="1" applyAlignment="1">
      <alignment horizontal="center" vertical="center"/>
    </xf>
    <xf numFmtId="0" fontId="28" fillId="0" borderId="46" xfId="196" applyFont="1" applyFill="1" applyBorder="1" applyAlignment="1">
      <alignment horizontal="center" vertical="center"/>
    </xf>
    <xf numFmtId="0" fontId="186" fillId="0" borderId="42" xfId="196" applyFont="1" applyFill="1" applyBorder="1" applyAlignment="1">
      <alignment horizontal="center" vertical="center" wrapText="1"/>
    </xf>
    <xf numFmtId="0" fontId="187" fillId="0" borderId="54" xfId="196" applyFont="1" applyBorder="1"/>
    <xf numFmtId="0" fontId="187" fillId="0" borderId="55" xfId="196" applyFont="1" applyBorder="1"/>
    <xf numFmtId="0" fontId="16" fillId="0" borderId="53" xfId="196" applyFont="1" applyFill="1" applyBorder="1" applyAlignment="1">
      <alignment horizontal="center" vertical="center" wrapText="1"/>
    </xf>
    <xf numFmtId="0" fontId="16" fillId="0" borderId="3" xfId="196" applyFont="1" applyFill="1" applyBorder="1" applyAlignment="1">
      <alignment horizontal="center" vertical="center" wrapText="1"/>
    </xf>
    <xf numFmtId="0" fontId="8" fillId="0" borderId="0" xfId="196" applyFont="1" applyAlignment="1">
      <alignment horizontal="right"/>
    </xf>
    <xf numFmtId="0" fontId="28" fillId="0" borderId="42" xfId="196" applyFont="1" applyFill="1" applyBorder="1" applyAlignment="1">
      <alignment horizontal="center" vertical="center"/>
    </xf>
    <xf numFmtId="0" fontId="28" fillId="0" borderId="54" xfId="196" applyFont="1" applyFill="1" applyBorder="1" applyAlignment="1">
      <alignment horizontal="center" vertical="center"/>
    </xf>
    <xf numFmtId="0" fontId="28" fillId="0" borderId="55" xfId="196" applyFont="1" applyFill="1" applyBorder="1" applyAlignment="1">
      <alignment horizontal="center" vertical="center"/>
    </xf>
    <xf numFmtId="0" fontId="15" fillId="0" borderId="53" xfId="196" applyFont="1" applyFill="1" applyBorder="1" applyAlignment="1">
      <alignment horizontal="center" vertical="center" wrapText="1"/>
    </xf>
    <xf numFmtId="0" fontId="15" fillId="0" borderId="3" xfId="196" applyFont="1" applyFill="1" applyBorder="1" applyAlignment="1">
      <alignment horizontal="center" vertical="center" wrapText="1"/>
    </xf>
    <xf numFmtId="0" fontId="15" fillId="0" borderId="46" xfId="196" applyFont="1" applyFill="1" applyBorder="1" applyAlignment="1">
      <alignment horizontal="center" vertical="center" wrapText="1"/>
    </xf>
    <xf numFmtId="0" fontId="15" fillId="0" borderId="48" xfId="196" applyFont="1" applyFill="1" applyBorder="1" applyAlignment="1">
      <alignment horizontal="center" vertical="center" wrapText="1"/>
    </xf>
    <xf numFmtId="0" fontId="22" fillId="0" borderId="0" xfId="196" applyFont="1" applyAlignment="1">
      <alignment horizontal="right"/>
    </xf>
    <xf numFmtId="0" fontId="34" fillId="0" borderId="0" xfId="196" applyFont="1" applyBorder="1" applyAlignment="1">
      <alignment horizontal="left" vertical="center" wrapText="1"/>
    </xf>
    <xf numFmtId="0" fontId="34" fillId="0" borderId="0" xfId="196" applyFont="1" applyBorder="1" applyAlignment="1">
      <alignment horizontal="left" vertical="top" wrapText="1"/>
    </xf>
    <xf numFmtId="0" fontId="34" fillId="0" borderId="0" xfId="196" applyFont="1" applyBorder="1" applyAlignment="1">
      <alignment horizontal="left" wrapText="1"/>
    </xf>
    <xf numFmtId="0" fontId="61" fillId="0" borderId="0" xfId="196" applyFont="1" applyBorder="1" applyAlignment="1">
      <alignment horizontal="left" vertical="center"/>
    </xf>
    <xf numFmtId="0" fontId="82" fillId="0" borderId="0" xfId="196" applyFont="1" applyBorder="1" applyAlignment="1">
      <alignment horizontal="left" wrapText="1"/>
    </xf>
    <xf numFmtId="0" fontId="48" fillId="0" borderId="53" xfId="196" applyFont="1" applyFill="1" applyBorder="1" applyAlignment="1">
      <alignment horizontal="center" vertical="center" wrapText="1"/>
    </xf>
    <xf numFmtId="0" fontId="48" fillId="0" borderId="3" xfId="196" applyFont="1" applyFill="1" applyBorder="1" applyAlignment="1">
      <alignment horizontal="center" vertical="center" wrapText="1"/>
    </xf>
    <xf numFmtId="0" fontId="82" fillId="0" borderId="0" xfId="196" applyFont="1" applyBorder="1" applyAlignment="1">
      <alignment horizontal="left" vertical="top" wrapText="1"/>
    </xf>
    <xf numFmtId="0" fontId="28" fillId="0" borderId="44" xfId="196" applyFont="1" applyFill="1" applyBorder="1" applyAlignment="1">
      <alignment horizontal="center" vertical="center" wrapText="1"/>
    </xf>
    <xf numFmtId="0" fontId="28" fillId="0" borderId="46" xfId="196" applyFont="1" applyFill="1" applyBorder="1" applyAlignment="1">
      <alignment horizontal="center" vertical="center" wrapText="1"/>
    </xf>
    <xf numFmtId="0" fontId="28" fillId="0" borderId="39" xfId="196" applyFont="1" applyFill="1" applyBorder="1" applyAlignment="1">
      <alignment horizontal="center" vertical="center" wrapText="1"/>
    </xf>
    <xf numFmtId="0" fontId="28" fillId="0" borderId="48" xfId="196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right"/>
    </xf>
    <xf numFmtId="0" fontId="30" fillId="0" borderId="52" xfId="0" applyFont="1" applyBorder="1" applyAlignment="1">
      <alignment horizontal="right" wrapText="1"/>
    </xf>
    <xf numFmtId="0" fontId="30" fillId="0" borderId="52" xfId="0" applyFont="1" applyBorder="1" applyAlignment="1"/>
    <xf numFmtId="0" fontId="30" fillId="0" borderId="64" xfId="0" applyFont="1" applyFill="1" applyBorder="1" applyAlignment="1">
      <alignment horizontal="center" vertical="center" wrapText="1"/>
    </xf>
    <xf numFmtId="0" fontId="30" fillId="0" borderId="19" xfId="0" applyFont="1" applyFill="1" applyBorder="1" applyAlignment="1">
      <alignment horizontal="center" vertical="center" wrapText="1"/>
    </xf>
    <xf numFmtId="0" fontId="30" fillId="0" borderId="63" xfId="0" applyFont="1" applyFill="1" applyBorder="1" applyAlignment="1">
      <alignment horizontal="center" vertical="center" wrapText="1"/>
    </xf>
    <xf numFmtId="0" fontId="30" fillId="0" borderId="16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/>
    </xf>
    <xf numFmtId="0" fontId="28" fillId="0" borderId="63" xfId="0" applyFont="1" applyFill="1" applyBorder="1" applyAlignment="1">
      <alignment horizontal="center" vertical="center" wrapText="1"/>
    </xf>
    <xf numFmtId="0" fontId="28" fillId="0" borderId="16" xfId="0" applyFont="1" applyFill="1" applyBorder="1" applyAlignment="1">
      <alignment horizontal="center" vertical="center" wrapText="1"/>
    </xf>
    <xf numFmtId="0" fontId="28" fillId="0" borderId="62" xfId="0" applyFont="1" applyFill="1" applyBorder="1" applyAlignment="1">
      <alignment horizontal="center" wrapText="1"/>
    </xf>
    <xf numFmtId="0" fontId="28" fillId="0" borderId="60" xfId="0" applyFont="1" applyFill="1" applyBorder="1" applyAlignment="1">
      <alignment horizontal="center" wrapText="1"/>
    </xf>
    <xf numFmtId="0" fontId="22" fillId="0" borderId="0" xfId="0" applyFont="1" applyBorder="1" applyAlignment="1">
      <alignment horizontal="center"/>
    </xf>
    <xf numFmtId="0" fontId="28" fillId="0" borderId="62" xfId="0" applyFont="1" applyFill="1" applyBorder="1" applyAlignment="1">
      <alignment horizontal="center" vertical="center" wrapText="1"/>
    </xf>
    <xf numFmtId="0" fontId="8" fillId="0" borderId="60" xfId="0" applyFont="1" applyFill="1" applyBorder="1"/>
    <xf numFmtId="0" fontId="8" fillId="0" borderId="61" xfId="0" applyFont="1" applyFill="1" applyBorder="1"/>
    <xf numFmtId="0" fontId="30" fillId="0" borderId="31" xfId="0" applyFont="1" applyFill="1" applyBorder="1" applyAlignment="1">
      <alignment horizontal="center" vertical="center" wrapText="1"/>
    </xf>
    <xf numFmtId="0" fontId="30" fillId="0" borderId="62" xfId="0" applyFont="1" applyFill="1" applyBorder="1" applyAlignment="1">
      <alignment horizontal="center" vertical="center" wrapText="1"/>
    </xf>
    <xf numFmtId="0" fontId="30" fillId="0" borderId="60" xfId="0" applyFont="1" applyFill="1" applyBorder="1" applyAlignment="1">
      <alignment horizontal="center" vertical="center" wrapText="1"/>
    </xf>
    <xf numFmtId="0" fontId="30" fillId="0" borderId="61" xfId="0" applyFont="1" applyFill="1" applyBorder="1" applyAlignment="1">
      <alignment horizontal="center" vertical="center" wrapText="1"/>
    </xf>
    <xf numFmtId="0" fontId="28" fillId="0" borderId="61" xfId="0" applyFont="1" applyFill="1" applyBorder="1" applyAlignment="1">
      <alignment horizontal="center" wrapText="1"/>
    </xf>
    <xf numFmtId="0" fontId="30" fillId="0" borderId="65" xfId="0" applyFont="1" applyFill="1" applyBorder="1" applyAlignment="1">
      <alignment horizontal="center" vertical="center" wrapText="1"/>
    </xf>
    <xf numFmtId="0" fontId="30" fillId="0" borderId="20" xfId="0" applyFont="1" applyFill="1" applyBorder="1" applyAlignment="1">
      <alignment horizontal="center" vertical="center" wrapText="1"/>
    </xf>
    <xf numFmtId="0" fontId="30" fillId="0" borderId="66" xfId="0" applyFont="1" applyFill="1" applyBorder="1" applyAlignment="1">
      <alignment horizontal="center" vertical="center" wrapText="1"/>
    </xf>
    <xf numFmtId="0" fontId="0" fillId="0" borderId="67" xfId="0" applyBorder="1"/>
    <xf numFmtId="0" fontId="0" fillId="0" borderId="65" xfId="0" applyBorder="1"/>
    <xf numFmtId="0" fontId="30" fillId="0" borderId="68" xfId="0" applyFont="1" applyFill="1" applyBorder="1" applyAlignment="1">
      <alignment horizontal="center" vertical="center" wrapText="1"/>
    </xf>
    <xf numFmtId="0" fontId="30" fillId="0" borderId="21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justify" wrapText="1"/>
    </xf>
    <xf numFmtId="0" fontId="15" fillId="0" borderId="0" xfId="0" applyFont="1" applyAlignment="1">
      <alignment horizontal="left"/>
    </xf>
    <xf numFmtId="0" fontId="15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Fill="1" applyAlignment="1">
      <alignment horizontal="left"/>
    </xf>
    <xf numFmtId="0" fontId="15" fillId="0" borderId="0" xfId="0" applyFont="1" applyFill="1" applyBorder="1" applyAlignment="1">
      <alignment horizontal="left" wrapText="1"/>
    </xf>
    <xf numFmtId="0" fontId="15" fillId="0" borderId="0" xfId="0" applyFont="1" applyFill="1" applyAlignment="1">
      <alignment horizontal="left" vertical="center"/>
    </xf>
    <xf numFmtId="0" fontId="8" fillId="0" borderId="71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30" fillId="0" borderId="71" xfId="0" applyFont="1" applyFill="1" applyBorder="1" applyAlignment="1">
      <alignment horizontal="center" vertical="center" wrapText="1"/>
    </xf>
    <xf numFmtId="0" fontId="30" fillId="0" borderId="46" xfId="0" applyFont="1" applyFill="1" applyBorder="1" applyAlignment="1">
      <alignment horizontal="center" vertical="center" wrapText="1"/>
    </xf>
    <xf numFmtId="0" fontId="30" fillId="0" borderId="57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right"/>
    </xf>
    <xf numFmtId="0" fontId="30" fillId="0" borderId="42" xfId="0" applyFont="1" applyFill="1" applyBorder="1" applyAlignment="1">
      <alignment horizontal="center" vertical="center"/>
    </xf>
    <xf numFmtId="0" fontId="30" fillId="0" borderId="69" xfId="0" applyFont="1" applyFill="1" applyBorder="1" applyAlignment="1">
      <alignment horizontal="center" vertical="center"/>
    </xf>
    <xf numFmtId="0" fontId="30" fillId="0" borderId="70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/>
    </xf>
    <xf numFmtId="0" fontId="30" fillId="0" borderId="0" xfId="0" applyFont="1" applyFill="1" applyAlignment="1">
      <alignment horizontal="right"/>
    </xf>
    <xf numFmtId="0" fontId="9" fillId="0" borderId="69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30" fillId="0" borderId="0" xfId="0" applyFont="1" applyBorder="1" applyAlignment="1"/>
    <xf numFmtId="0" fontId="16" fillId="0" borderId="71" xfId="0" applyFont="1" applyFill="1" applyBorder="1" applyAlignment="1">
      <alignment horizontal="center" vertical="center" wrapText="1"/>
    </xf>
    <xf numFmtId="0" fontId="16" fillId="0" borderId="18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/>
    </xf>
    <xf numFmtId="0" fontId="30" fillId="0" borderId="15" xfId="0" applyFont="1" applyFill="1" applyBorder="1" applyAlignment="1">
      <alignment horizontal="center" vertical="center" wrapText="1"/>
    </xf>
    <xf numFmtId="0" fontId="28" fillId="0" borderId="42" xfId="0" applyFont="1" applyFill="1" applyBorder="1" applyAlignment="1">
      <alignment horizontal="center" vertical="center"/>
    </xf>
    <xf numFmtId="0" fontId="28" fillId="0" borderId="69" xfId="0" applyFont="1" applyFill="1" applyBorder="1" applyAlignment="1">
      <alignment horizontal="center" vertical="center"/>
    </xf>
    <xf numFmtId="0" fontId="28" fillId="0" borderId="7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right"/>
    </xf>
    <xf numFmtId="0" fontId="30" fillId="0" borderId="39" xfId="0" applyFont="1" applyFill="1" applyBorder="1" applyAlignment="1">
      <alignment horizontal="right"/>
    </xf>
    <xf numFmtId="0" fontId="17" fillId="0" borderId="71" xfId="0" applyFon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72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29" fillId="0" borderId="42" xfId="0" applyFont="1" applyFill="1" applyBorder="1" applyAlignment="1">
      <alignment horizontal="center" vertical="center"/>
    </xf>
    <xf numFmtId="0" fontId="17" fillId="0" borderId="54" xfId="0" applyFont="1" applyFill="1" applyBorder="1" applyAlignment="1">
      <alignment horizontal="center" vertical="center"/>
    </xf>
    <xf numFmtId="0" fontId="17" fillId="0" borderId="55" xfId="0" applyFont="1" applyFill="1" applyBorder="1" applyAlignment="1">
      <alignment horizontal="center" vertical="center"/>
    </xf>
    <xf numFmtId="0" fontId="29" fillId="0" borderId="42" xfId="0" applyFont="1" applyFill="1" applyBorder="1" applyAlignment="1">
      <alignment horizontal="center" vertical="center" wrapText="1"/>
    </xf>
    <xf numFmtId="0" fontId="29" fillId="0" borderId="54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right" vertical="center" wrapText="1"/>
    </xf>
    <xf numFmtId="164" fontId="15" fillId="0" borderId="0" xfId="0" applyNumberFormat="1" applyFont="1" applyFill="1" applyBorder="1" applyAlignment="1">
      <alignment horizontal="left"/>
    </xf>
    <xf numFmtId="0" fontId="14" fillId="0" borderId="2" xfId="0" applyFont="1" applyFill="1" applyBorder="1" applyAlignment="1">
      <alignment horizontal="center" vertical="center" wrapText="1"/>
    </xf>
    <xf numFmtId="0" fontId="17" fillId="0" borderId="42" xfId="0" applyFont="1" applyFill="1" applyBorder="1" applyAlignment="1">
      <alignment horizontal="center" vertical="center" wrapText="1"/>
    </xf>
    <xf numFmtId="0" fontId="17" fillId="0" borderId="56" xfId="0" applyFont="1" applyFill="1" applyBorder="1" applyAlignment="1">
      <alignment horizontal="right" vertical="top" wrapText="1"/>
    </xf>
    <xf numFmtId="0" fontId="15" fillId="0" borderId="0" xfId="0" applyFont="1" applyFill="1" applyBorder="1" applyAlignment="1">
      <alignment horizontal="left"/>
    </xf>
    <xf numFmtId="0" fontId="31" fillId="0" borderId="0" xfId="0" applyFont="1" applyFill="1" applyBorder="1" applyAlignment="1">
      <alignment horizontal="right" vertical="center" wrapText="1"/>
    </xf>
    <xf numFmtId="0" fontId="31" fillId="0" borderId="0" xfId="0" applyFont="1" applyFill="1" applyAlignment="1">
      <alignment horizontal="left" vertical="center" wrapText="1"/>
    </xf>
    <xf numFmtId="0" fontId="30" fillId="0" borderId="43" xfId="0" applyFont="1" applyFill="1" applyBorder="1" applyAlignment="1">
      <alignment horizontal="center" vertical="center" wrapText="1"/>
    </xf>
    <xf numFmtId="0" fontId="28" fillId="0" borderId="50" xfId="0" applyFont="1" applyFill="1" applyBorder="1" applyAlignment="1">
      <alignment horizontal="center" vertical="center" wrapText="1"/>
    </xf>
    <xf numFmtId="0" fontId="28" fillId="0" borderId="51" xfId="0" applyFont="1" applyFill="1" applyBorder="1" applyAlignment="1">
      <alignment horizontal="center" vertical="center" wrapText="1"/>
    </xf>
    <xf numFmtId="0" fontId="30" fillId="0" borderId="45" xfId="0" applyFont="1" applyFill="1" applyBorder="1" applyAlignment="1">
      <alignment horizontal="center" vertical="center" wrapText="1"/>
    </xf>
    <xf numFmtId="1" fontId="127" fillId="0" borderId="42" xfId="0" applyNumberFormat="1" applyFont="1" applyFill="1" applyBorder="1" applyAlignment="1">
      <alignment horizontal="center" vertical="center"/>
    </xf>
    <xf numFmtId="1" fontId="127" fillId="0" borderId="70" xfId="0" applyNumberFormat="1" applyFont="1" applyFill="1" applyBorder="1" applyAlignment="1">
      <alignment horizontal="center" vertical="center"/>
    </xf>
    <xf numFmtId="1" fontId="127" fillId="0" borderId="69" xfId="0" applyNumberFormat="1" applyFont="1" applyFill="1" applyBorder="1" applyAlignment="1">
      <alignment horizontal="center" vertical="center"/>
    </xf>
    <xf numFmtId="0" fontId="0" fillId="0" borderId="70" xfId="0" applyBorder="1"/>
    <xf numFmtId="0" fontId="163" fillId="0" borderId="0" xfId="0" applyFont="1" applyFill="1" applyBorder="1" applyAlignment="1">
      <alignment horizontal="center" wrapText="1"/>
    </xf>
    <xf numFmtId="0" fontId="0" fillId="0" borderId="0" xfId="0" applyAlignment="1"/>
    <xf numFmtId="0" fontId="120" fillId="0" borderId="0" xfId="0" applyFont="1" applyFill="1" applyBorder="1" applyAlignment="1">
      <alignment horizontal="center" vertical="center"/>
    </xf>
    <xf numFmtId="0" fontId="120" fillId="0" borderId="0" xfId="0" applyFont="1" applyFill="1" applyBorder="1" applyAlignment="1">
      <alignment horizontal="right" vertical="center" wrapText="1"/>
    </xf>
    <xf numFmtId="0" fontId="120" fillId="0" borderId="0" xfId="0" applyFont="1" applyFill="1" applyBorder="1" applyAlignment="1">
      <alignment horizontal="left" vertical="center" wrapText="1"/>
    </xf>
    <xf numFmtId="49" fontId="135" fillId="0" borderId="71" xfId="0" applyNumberFormat="1" applyFont="1" applyFill="1" applyBorder="1" applyAlignment="1">
      <alignment horizontal="center" vertical="center" wrapText="1"/>
    </xf>
    <xf numFmtId="49" fontId="135" fillId="0" borderId="3" xfId="0" applyNumberFormat="1" applyFont="1" applyFill="1" applyBorder="1" applyAlignment="1">
      <alignment horizontal="center" vertical="center" wrapText="1"/>
    </xf>
    <xf numFmtId="49" fontId="109" fillId="0" borderId="59" xfId="0" applyNumberFormat="1" applyFont="1" applyFill="1" applyBorder="1" applyAlignment="1">
      <alignment horizontal="center" vertical="center" wrapText="1"/>
    </xf>
    <xf numFmtId="49" fontId="109" fillId="0" borderId="46" xfId="0" applyNumberFormat="1" applyFont="1" applyFill="1" applyBorder="1" applyAlignment="1">
      <alignment horizontal="center" vertical="center" wrapText="1"/>
    </xf>
    <xf numFmtId="49" fontId="109" fillId="0" borderId="4" xfId="0" applyNumberFormat="1" applyFont="1" applyFill="1" applyBorder="1" applyAlignment="1">
      <alignment horizontal="center" vertical="center" wrapText="1"/>
    </xf>
    <xf numFmtId="49" fontId="109" fillId="0" borderId="57" xfId="0" applyNumberFormat="1" applyFont="1" applyFill="1" applyBorder="1" applyAlignment="1">
      <alignment horizontal="center" vertical="center" wrapText="1"/>
    </xf>
    <xf numFmtId="1" fontId="123" fillId="0" borderId="42" xfId="0" applyNumberFormat="1" applyFont="1" applyFill="1" applyBorder="1" applyAlignment="1">
      <alignment horizontal="center" vertical="center" wrapText="1"/>
    </xf>
    <xf numFmtId="1" fontId="123" fillId="0" borderId="70" xfId="0" applyNumberFormat="1" applyFont="1" applyFill="1" applyBorder="1" applyAlignment="1">
      <alignment horizontal="center" vertical="center" wrapText="1"/>
    </xf>
    <xf numFmtId="49" fontId="123" fillId="0" borderId="42" xfId="0" applyNumberFormat="1" applyFont="1" applyFill="1" applyBorder="1" applyAlignment="1">
      <alignment horizontal="center" vertical="center" wrapText="1"/>
    </xf>
    <xf numFmtId="49" fontId="123" fillId="0" borderId="70" xfId="0" applyNumberFormat="1" applyFont="1" applyFill="1" applyBorder="1" applyAlignment="1">
      <alignment horizontal="center" vertical="center" wrapText="1"/>
    </xf>
    <xf numFmtId="49" fontId="135" fillId="0" borderId="71" xfId="0" applyNumberFormat="1" applyFont="1" applyFill="1" applyBorder="1" applyAlignment="1">
      <alignment horizontal="center" wrapText="1"/>
    </xf>
    <xf numFmtId="49" fontId="135" fillId="0" borderId="3" xfId="0" applyNumberFormat="1" applyFont="1" applyFill="1" applyBorder="1" applyAlignment="1">
      <alignment horizontal="center" wrapText="1"/>
    </xf>
    <xf numFmtId="49" fontId="109" fillId="0" borderId="71" xfId="0" applyNumberFormat="1" applyFont="1" applyFill="1" applyBorder="1" applyAlignment="1">
      <alignment horizontal="center" vertical="center" wrapText="1"/>
    </xf>
    <xf numFmtId="49" fontId="109" fillId="0" borderId="3" xfId="0" applyNumberFormat="1" applyFont="1" applyFill="1" applyBorder="1" applyAlignment="1">
      <alignment horizontal="center" vertical="center" wrapText="1"/>
    </xf>
    <xf numFmtId="0" fontId="121" fillId="0" borderId="59" xfId="0" applyFont="1" applyFill="1" applyBorder="1" applyAlignment="1">
      <alignment horizontal="center" vertical="center"/>
    </xf>
    <xf numFmtId="0" fontId="121" fillId="0" borderId="44" xfId="0" applyFont="1" applyFill="1" applyBorder="1" applyAlignment="1">
      <alignment horizontal="center" vertical="center"/>
    </xf>
    <xf numFmtId="0" fontId="121" fillId="0" borderId="46" xfId="0" applyFont="1" applyFill="1" applyBorder="1" applyAlignment="1">
      <alignment horizontal="center" vertical="center"/>
    </xf>
    <xf numFmtId="0" fontId="121" fillId="0" borderId="4" xfId="0" applyFont="1" applyFill="1" applyBorder="1" applyAlignment="1">
      <alignment horizontal="center" vertical="center"/>
    </xf>
    <xf numFmtId="0" fontId="121" fillId="0" borderId="39" xfId="0" applyFont="1" applyFill="1" applyBorder="1" applyAlignment="1">
      <alignment horizontal="center" vertical="center"/>
    </xf>
    <xf numFmtId="0" fontId="121" fillId="0" borderId="57" xfId="0" applyFont="1" applyFill="1" applyBorder="1" applyAlignment="1">
      <alignment horizontal="center" vertical="center"/>
    </xf>
    <xf numFmtId="49" fontId="109" fillId="0" borderId="18" xfId="0" applyNumberFormat="1" applyFont="1" applyFill="1" applyBorder="1" applyAlignment="1">
      <alignment horizontal="center" vertical="center" wrapText="1"/>
    </xf>
    <xf numFmtId="49" fontId="119" fillId="0" borderId="59" xfId="0" applyNumberFormat="1" applyFont="1" applyFill="1" applyBorder="1" applyAlignment="1">
      <alignment horizontal="center" vertical="center" wrapText="1"/>
    </xf>
    <xf numFmtId="49" fontId="119" fillId="0" borderId="44" xfId="0" applyNumberFormat="1" applyFont="1" applyFill="1" applyBorder="1" applyAlignment="1">
      <alignment horizontal="center" vertical="center" wrapText="1"/>
    </xf>
    <xf numFmtId="49" fontId="119" fillId="0" borderId="46" xfId="0" applyNumberFormat="1" applyFont="1" applyFill="1" applyBorder="1" applyAlignment="1">
      <alignment horizontal="center" vertical="center" wrapText="1"/>
    </xf>
    <xf numFmtId="49" fontId="119" fillId="0" borderId="4" xfId="0" applyNumberFormat="1" applyFont="1" applyFill="1" applyBorder="1" applyAlignment="1">
      <alignment horizontal="center" vertical="center" wrapText="1"/>
    </xf>
    <xf numFmtId="49" fontId="119" fillId="0" borderId="39" xfId="0" applyNumberFormat="1" applyFont="1" applyFill="1" applyBorder="1" applyAlignment="1">
      <alignment horizontal="center" vertical="center" wrapText="1"/>
    </xf>
    <xf numFmtId="49" fontId="119" fillId="0" borderId="57" xfId="0" applyNumberFormat="1" applyFont="1" applyFill="1" applyBorder="1" applyAlignment="1">
      <alignment horizontal="center" vertical="center" wrapText="1"/>
    </xf>
    <xf numFmtId="0" fontId="121" fillId="0" borderId="14" xfId="0" applyFont="1" applyFill="1" applyBorder="1" applyAlignment="1">
      <alignment horizontal="center" vertical="center" wrapText="1"/>
    </xf>
    <xf numFmtId="0" fontId="121" fillId="0" borderId="0" xfId="0" applyFont="1" applyFill="1" applyBorder="1" applyAlignment="1">
      <alignment horizontal="center" vertical="center" wrapText="1"/>
    </xf>
    <xf numFmtId="0" fontId="121" fillId="0" borderId="15" xfId="0" applyFont="1" applyFill="1" applyBorder="1" applyAlignment="1">
      <alignment horizontal="center" vertical="center" wrapText="1"/>
    </xf>
    <xf numFmtId="0" fontId="121" fillId="0" borderId="4" xfId="0" applyFont="1" applyFill="1" applyBorder="1" applyAlignment="1">
      <alignment horizontal="center" vertical="center" wrapText="1"/>
    </xf>
    <xf numFmtId="0" fontId="121" fillId="0" borderId="39" xfId="0" applyFont="1" applyFill="1" applyBorder="1" applyAlignment="1">
      <alignment horizontal="center" vertical="center" wrapText="1"/>
    </xf>
    <xf numFmtId="0" fontId="121" fillId="0" borderId="57" xfId="0" applyFont="1" applyFill="1" applyBorder="1" applyAlignment="1">
      <alignment horizontal="center" vertical="center" wrapText="1"/>
    </xf>
    <xf numFmtId="0" fontId="124" fillId="0" borderId="59" xfId="0" applyFont="1" applyFill="1" applyBorder="1" applyAlignment="1">
      <alignment horizontal="center" vertical="center" wrapText="1"/>
    </xf>
    <xf numFmtId="0" fontId="124" fillId="0" borderId="46" xfId="0" applyFont="1" applyFill="1" applyBorder="1" applyAlignment="1">
      <alignment horizontal="center" vertical="center" wrapText="1"/>
    </xf>
    <xf numFmtId="0" fontId="124" fillId="0" borderId="4" xfId="0" applyFont="1" applyFill="1" applyBorder="1" applyAlignment="1">
      <alignment horizontal="center" vertical="center" wrapText="1"/>
    </xf>
    <xf numFmtId="0" fontId="124" fillId="0" borderId="57" xfId="0" applyFont="1" applyFill="1" applyBorder="1" applyAlignment="1">
      <alignment horizontal="center" vertical="center" wrapText="1"/>
    </xf>
    <xf numFmtId="49" fontId="129" fillId="0" borderId="71" xfId="0" applyNumberFormat="1" applyFont="1" applyFill="1" applyBorder="1" applyAlignment="1">
      <alignment horizontal="center" vertical="center" wrapText="1"/>
    </xf>
    <xf numFmtId="49" fontId="129" fillId="0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123" fillId="0" borderId="71" xfId="0" applyFont="1" applyBorder="1" applyAlignment="1">
      <alignment vertical="center"/>
    </xf>
    <xf numFmtId="0" fontId="123" fillId="0" borderId="18" xfId="0" applyFont="1" applyBorder="1" applyAlignment="1">
      <alignment vertical="center"/>
    </xf>
    <xf numFmtId="0" fontId="123" fillId="0" borderId="3" xfId="0" applyFont="1" applyBorder="1" applyAlignment="1">
      <alignment vertical="center"/>
    </xf>
    <xf numFmtId="49" fontId="123" fillId="0" borderId="59" xfId="0" applyNumberFormat="1" applyFont="1" applyFill="1" applyBorder="1" applyAlignment="1">
      <alignment horizontal="center" vertical="center" wrapText="1"/>
    </xf>
    <xf numFmtId="49" fontId="123" fillId="0" borderId="46" xfId="0" applyNumberFormat="1" applyFont="1" applyFill="1" applyBorder="1" applyAlignment="1">
      <alignment horizontal="center" vertical="center" wrapText="1"/>
    </xf>
    <xf numFmtId="49" fontId="123" fillId="0" borderId="14" xfId="0" applyNumberFormat="1" applyFont="1" applyFill="1" applyBorder="1" applyAlignment="1">
      <alignment horizontal="center" vertical="center" wrapText="1"/>
    </xf>
    <xf numFmtId="49" fontId="123" fillId="0" borderId="15" xfId="0" applyNumberFormat="1" applyFont="1" applyFill="1" applyBorder="1" applyAlignment="1">
      <alignment horizontal="center" vertical="center" wrapText="1"/>
    </xf>
    <xf numFmtId="49" fontId="123" fillId="0" borderId="4" xfId="0" applyNumberFormat="1" applyFont="1" applyFill="1" applyBorder="1" applyAlignment="1">
      <alignment horizontal="center" vertical="center" wrapText="1"/>
    </xf>
    <xf numFmtId="49" fontId="123" fillId="0" borderId="57" xfId="0" applyNumberFormat="1" applyFont="1" applyFill="1" applyBorder="1" applyAlignment="1">
      <alignment horizontal="center" vertical="center" wrapText="1"/>
    </xf>
    <xf numFmtId="0" fontId="121" fillId="0" borderId="42" xfId="0" applyFont="1" applyFill="1" applyBorder="1" applyAlignment="1">
      <alignment vertical="center"/>
    </xf>
    <xf numFmtId="0" fontId="0" fillId="0" borderId="69" xfId="0" applyBorder="1"/>
    <xf numFmtId="0" fontId="123" fillId="0" borderId="59" xfId="0" applyFont="1" applyFill="1" applyBorder="1" applyAlignment="1">
      <alignment horizontal="center" vertical="center" wrapText="1"/>
    </xf>
    <xf numFmtId="0" fontId="0" fillId="0" borderId="14" xfId="0" applyBorder="1"/>
    <xf numFmtId="0" fontId="0" fillId="0" borderId="4" xfId="0" applyBorder="1"/>
    <xf numFmtId="49" fontId="122" fillId="0" borderId="42" xfId="0" applyNumberFormat="1" applyFont="1" applyFill="1" applyBorder="1" applyAlignment="1">
      <alignment horizontal="center" vertical="center" wrapText="1"/>
    </xf>
    <xf numFmtId="49" fontId="122" fillId="0" borderId="69" xfId="0" applyNumberFormat="1" applyFont="1" applyFill="1" applyBorder="1" applyAlignment="1">
      <alignment horizontal="center" vertical="center" wrapText="1"/>
    </xf>
    <xf numFmtId="49" fontId="122" fillId="0" borderId="70" xfId="0" applyNumberFormat="1" applyFont="1" applyFill="1" applyBorder="1" applyAlignment="1">
      <alignment horizontal="center" vertical="center" wrapText="1"/>
    </xf>
    <xf numFmtId="49" fontId="122" fillId="0" borderId="59" xfId="0" applyNumberFormat="1" applyFont="1" applyFill="1" applyBorder="1" applyAlignment="1">
      <alignment horizontal="center" vertical="center" wrapText="1"/>
    </xf>
    <xf numFmtId="49" fontId="122" fillId="0" borderId="46" xfId="0" applyNumberFormat="1" applyFont="1" applyFill="1" applyBorder="1" applyAlignment="1">
      <alignment horizontal="center" vertical="center" wrapText="1"/>
    </xf>
    <xf numFmtId="49" fontId="122" fillId="0" borderId="4" xfId="0" applyNumberFormat="1" applyFont="1" applyFill="1" applyBorder="1" applyAlignment="1">
      <alignment horizontal="center" vertical="center" wrapText="1"/>
    </xf>
    <xf numFmtId="49" fontId="122" fillId="0" borderId="57" xfId="0" applyNumberFormat="1" applyFont="1" applyFill="1" applyBorder="1" applyAlignment="1">
      <alignment horizontal="center" vertical="center" wrapText="1"/>
    </xf>
    <xf numFmtId="49" fontId="127" fillId="0" borderId="71" xfId="0" applyNumberFormat="1" applyFont="1" applyFill="1" applyBorder="1" applyAlignment="1">
      <alignment horizontal="center" vertical="center" wrapText="1"/>
    </xf>
    <xf numFmtId="49" fontId="127" fillId="0" borderId="3" xfId="0" applyNumberFormat="1" applyFont="1" applyFill="1" applyBorder="1" applyAlignment="1">
      <alignment horizontal="center" vertical="center" wrapText="1"/>
    </xf>
    <xf numFmtId="0" fontId="121" fillId="0" borderId="42" xfId="0" applyFont="1" applyFill="1" applyBorder="1" applyAlignment="1">
      <alignment horizontal="center" vertical="center"/>
    </xf>
    <xf numFmtId="0" fontId="121" fillId="0" borderId="69" xfId="0" applyFont="1" applyFill="1" applyBorder="1" applyAlignment="1">
      <alignment horizontal="center" vertical="center"/>
    </xf>
    <xf numFmtId="0" fontId="121" fillId="0" borderId="70" xfId="0" applyFont="1" applyFill="1" applyBorder="1" applyAlignment="1">
      <alignment horizontal="center" vertical="center"/>
    </xf>
    <xf numFmtId="164" fontId="15" fillId="0" borderId="0" xfId="0" applyNumberFormat="1" applyFont="1" applyAlignment="1">
      <alignment horizontal="left"/>
    </xf>
    <xf numFmtId="0" fontId="123" fillId="0" borderId="71" xfId="0" applyFont="1" applyFill="1" applyBorder="1" applyAlignment="1">
      <alignment horizontal="center" vertical="center" wrapText="1"/>
    </xf>
    <xf numFmtId="0" fontId="123" fillId="0" borderId="18" xfId="0" applyFont="1" applyFill="1" applyBorder="1" applyAlignment="1">
      <alignment horizontal="center" vertical="center" wrapText="1"/>
    </xf>
    <xf numFmtId="0" fontId="123" fillId="0" borderId="3" xfId="0" applyFont="1" applyFill="1" applyBorder="1" applyAlignment="1">
      <alignment horizontal="center" vertical="center" wrapText="1"/>
    </xf>
    <xf numFmtId="0" fontId="121" fillId="0" borderId="2" xfId="0" applyFont="1" applyFill="1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57" xfId="0" applyBorder="1" applyAlignment="1">
      <alignment horizontal="center"/>
    </xf>
    <xf numFmtId="1" fontId="127" fillId="0" borderId="42" xfId="0" applyNumberFormat="1" applyFont="1" applyFill="1" applyBorder="1" applyAlignment="1">
      <alignment horizontal="center" vertical="center" wrapText="1"/>
    </xf>
    <xf numFmtId="1" fontId="164" fillId="0" borderId="42" xfId="0" applyNumberFormat="1" applyFont="1" applyFill="1" applyBorder="1" applyAlignment="1">
      <alignment horizontal="center" vertical="center" wrapText="1"/>
    </xf>
    <xf numFmtId="49" fontId="126" fillId="0" borderId="71" xfId="0" applyNumberFormat="1" applyFont="1" applyFill="1" applyBorder="1" applyAlignment="1">
      <alignment horizontal="center" vertical="center" wrapText="1"/>
    </xf>
    <xf numFmtId="49" fontId="126" fillId="0" borderId="3" xfId="0" applyNumberFormat="1" applyFont="1" applyFill="1" applyBorder="1" applyAlignment="1">
      <alignment horizontal="center" vertical="center" wrapText="1"/>
    </xf>
    <xf numFmtId="0" fontId="121" fillId="0" borderId="14" xfId="0" applyFont="1" applyFill="1" applyBorder="1" applyAlignment="1">
      <alignment horizontal="center" vertical="center"/>
    </xf>
    <xf numFmtId="0" fontId="121" fillId="0" borderId="15" xfId="0" applyFont="1" applyFill="1" applyBorder="1" applyAlignment="1">
      <alignment horizontal="center" vertical="center"/>
    </xf>
    <xf numFmtId="0" fontId="163" fillId="0" borderId="39" xfId="0" applyFont="1" applyFill="1" applyBorder="1" applyAlignment="1">
      <alignment horizontal="center" wrapText="1"/>
    </xf>
    <xf numFmtId="0" fontId="120" fillId="0" borderId="0" xfId="0" applyFont="1" applyFill="1" applyBorder="1" applyAlignment="1">
      <alignment horizontal="right" vertical="center"/>
    </xf>
    <xf numFmtId="49" fontId="119" fillId="0" borderId="42" xfId="0" applyNumberFormat="1" applyFont="1" applyFill="1" applyBorder="1" applyAlignment="1">
      <alignment horizontal="left" vertical="center" wrapText="1"/>
    </xf>
    <xf numFmtId="0" fontId="8" fillId="0" borderId="59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3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/>
    </xf>
    <xf numFmtId="0" fontId="28" fillId="0" borderId="53" xfId="0" applyFont="1" applyFill="1" applyBorder="1" applyAlignment="1">
      <alignment horizontal="center" wrapText="1"/>
    </xf>
    <xf numFmtId="0" fontId="28" fillId="0" borderId="3" xfId="0" applyFont="1" applyFill="1" applyBorder="1" applyAlignment="1">
      <alignment horizontal="center" wrapText="1"/>
    </xf>
    <xf numFmtId="0" fontId="16" fillId="0" borderId="0" xfId="0" applyFont="1" applyFill="1" applyAlignment="1">
      <alignment horizontal="left"/>
    </xf>
    <xf numFmtId="0" fontId="22" fillId="0" borderId="0" xfId="0" applyFont="1" applyFill="1" applyBorder="1" applyAlignment="1">
      <alignment horizontal="left" wrapText="1"/>
    </xf>
    <xf numFmtId="0" fontId="28" fillId="0" borderId="2" xfId="0" applyFont="1" applyFill="1" applyBorder="1" applyAlignment="1">
      <alignment horizontal="center" wrapText="1"/>
    </xf>
    <xf numFmtId="0" fontId="28" fillId="0" borderId="42" xfId="0" applyFont="1" applyFill="1" applyBorder="1" applyAlignment="1">
      <alignment horizontal="center" wrapText="1"/>
    </xf>
    <xf numFmtId="0" fontId="28" fillId="0" borderId="54" xfId="0" applyFont="1" applyFill="1" applyBorder="1" applyAlignment="1">
      <alignment horizontal="center" wrapText="1"/>
    </xf>
    <xf numFmtId="0" fontId="28" fillId="0" borderId="55" xfId="0" applyFont="1" applyFill="1" applyBorder="1" applyAlignment="1">
      <alignment horizontal="center" wrapText="1"/>
    </xf>
    <xf numFmtId="0" fontId="30" fillId="0" borderId="39" xfId="0" applyFont="1" applyFill="1" applyBorder="1" applyAlignment="1">
      <alignment horizontal="right" vertical="top" wrapText="1"/>
    </xf>
    <xf numFmtId="0" fontId="22" fillId="0" borderId="0" xfId="0" applyFont="1" applyFill="1" applyBorder="1" applyAlignment="1">
      <alignment horizontal="right" wrapText="1"/>
    </xf>
    <xf numFmtId="0" fontId="75" fillId="0" borderId="2" xfId="0" applyFont="1" applyFill="1" applyBorder="1" applyAlignment="1">
      <alignment horizontal="center" wrapText="1"/>
    </xf>
    <xf numFmtId="0" fontId="28" fillId="0" borderId="59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53" xfId="0" applyFont="1" applyFill="1" applyBorder="1" applyAlignment="1">
      <alignment horizontal="center" vertical="center" wrapText="1"/>
    </xf>
    <xf numFmtId="0" fontId="28" fillId="0" borderId="18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189" fillId="0" borderId="0" xfId="0" applyFont="1" applyFill="1" applyAlignment="1">
      <alignment horizontal="left"/>
    </xf>
    <xf numFmtId="0" fontId="15" fillId="0" borderId="0" xfId="196" applyFont="1" applyFill="1" applyBorder="1" applyAlignment="1">
      <alignment horizontal="left" vertical="center"/>
    </xf>
    <xf numFmtId="0" fontId="22" fillId="0" borderId="0" xfId="196" applyFont="1" applyAlignment="1">
      <alignment horizontal="center" wrapText="1"/>
    </xf>
    <xf numFmtId="0" fontId="30" fillId="0" borderId="39" xfId="196" applyFont="1" applyBorder="1" applyAlignment="1">
      <alignment horizontal="right"/>
    </xf>
    <xf numFmtId="0" fontId="8" fillId="0" borderId="71" xfId="196" applyFont="1" applyBorder="1" applyAlignment="1">
      <alignment horizontal="center" vertical="center" wrapText="1"/>
    </xf>
    <xf numFmtId="0" fontId="8" fillId="0" borderId="3" xfId="196" applyFont="1" applyBorder="1" applyAlignment="1">
      <alignment horizontal="center" vertical="center" wrapText="1"/>
    </xf>
    <xf numFmtId="0" fontId="47" fillId="0" borderId="42" xfId="196" applyFont="1" applyBorder="1" applyAlignment="1">
      <alignment horizontal="center"/>
    </xf>
    <xf numFmtId="0" fontId="47" fillId="0" borderId="69" xfId="196" applyFont="1" applyBorder="1" applyAlignment="1">
      <alignment horizontal="center"/>
    </xf>
    <xf numFmtId="0" fontId="47" fillId="0" borderId="70" xfId="196" applyFont="1" applyBorder="1" applyAlignment="1">
      <alignment horizontal="center"/>
    </xf>
    <xf numFmtId="0" fontId="27" fillId="0" borderId="0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4" fillId="0" borderId="53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41" fillId="0" borderId="53" xfId="0" applyFont="1" applyBorder="1" applyAlignment="1">
      <alignment horizontal="center" vertical="center" wrapText="1"/>
    </xf>
    <xf numFmtId="0" fontId="41" fillId="0" borderId="3" xfId="0" applyFont="1" applyBorder="1" applyAlignment="1">
      <alignment horizontal="center" vertical="center" wrapText="1"/>
    </xf>
    <xf numFmtId="0" fontId="17" fillId="0" borderId="53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right"/>
    </xf>
    <xf numFmtId="0" fontId="18" fillId="0" borderId="42" xfId="0" applyFont="1" applyBorder="1" applyAlignment="1">
      <alignment horizontal="center" vertical="center" wrapText="1"/>
    </xf>
    <xf numFmtId="0" fontId="18" fillId="0" borderId="54" xfId="0" applyFont="1" applyBorder="1" applyAlignment="1">
      <alignment horizontal="center" vertical="center" wrapText="1"/>
    </xf>
    <xf numFmtId="0" fontId="18" fillId="0" borderId="55" xfId="0" applyFont="1" applyBorder="1" applyAlignment="1">
      <alignment horizontal="center" vertical="center" wrapText="1"/>
    </xf>
    <xf numFmtId="0" fontId="20" fillId="0" borderId="53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14" fillId="0" borderId="5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/>
    </xf>
    <xf numFmtId="0" fontId="17" fillId="0" borderId="39" xfId="0" applyFont="1" applyBorder="1" applyAlignment="1">
      <alignment horizontal="right" vertical="top" wrapText="1"/>
    </xf>
    <xf numFmtId="0" fontId="29" fillId="0" borderId="42" xfId="0" applyFont="1" applyBorder="1" applyAlignment="1">
      <alignment horizontal="center" vertical="center"/>
    </xf>
    <xf numFmtId="0" fontId="29" fillId="0" borderId="54" xfId="0" applyFont="1" applyBorder="1" applyAlignment="1">
      <alignment horizontal="center" vertical="center"/>
    </xf>
    <xf numFmtId="0" fontId="19" fillId="0" borderId="0" xfId="0" applyFont="1" applyBorder="1" applyAlignment="1">
      <alignment horizontal="left" wrapText="1"/>
    </xf>
    <xf numFmtId="0" fontId="19" fillId="0" borderId="0" xfId="0" applyFont="1" applyBorder="1" applyAlignment="1">
      <alignment horizontal="center" wrapText="1"/>
    </xf>
    <xf numFmtId="0" fontId="29" fillId="0" borderId="55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/>
    </xf>
    <xf numFmtId="0" fontId="19" fillId="0" borderId="0" xfId="0" applyFont="1" applyBorder="1" applyAlignment="1">
      <alignment horizontal="left" vertical="top" wrapText="1"/>
    </xf>
    <xf numFmtId="1" fontId="19" fillId="0" borderId="0" xfId="0" applyNumberFormat="1" applyFont="1" applyBorder="1" applyAlignment="1">
      <alignment horizontal="left"/>
    </xf>
    <xf numFmtId="0" fontId="17" fillId="0" borderId="43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29" fillId="0" borderId="42" xfId="0" applyFont="1" applyBorder="1" applyAlignment="1">
      <alignment horizontal="center" vertical="center" wrapText="1"/>
    </xf>
    <xf numFmtId="0" fontId="29" fillId="0" borderId="51" xfId="0" applyFont="1" applyBorder="1" applyAlignment="1">
      <alignment horizontal="center" vertical="center" wrapText="1"/>
    </xf>
    <xf numFmtId="0" fontId="31" fillId="0" borderId="0" xfId="0" applyFont="1" applyAlignment="1">
      <alignment horizontal="right" wrapText="1"/>
    </xf>
    <xf numFmtId="0" fontId="10" fillId="0" borderId="43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right" wrapText="1"/>
    </xf>
    <xf numFmtId="0" fontId="14" fillId="0" borderId="0" xfId="0" applyFont="1" applyBorder="1" applyAlignment="1">
      <alignment horizontal="left" wrapText="1"/>
    </xf>
    <xf numFmtId="0" fontId="16" fillId="0" borderId="0" xfId="0" applyFont="1" applyBorder="1" applyAlignment="1">
      <alignment wrapText="1"/>
    </xf>
    <xf numFmtId="0" fontId="14" fillId="0" borderId="0" xfId="0" applyFont="1" applyBorder="1" applyAlignment="1">
      <alignment horizontal="center" wrapText="1"/>
    </xf>
    <xf numFmtId="0" fontId="14" fillId="0" borderId="0" xfId="292" applyFont="1" applyBorder="1" applyAlignment="1">
      <alignment horizontal="left" wrapText="1"/>
    </xf>
    <xf numFmtId="0" fontId="16" fillId="0" borderId="0" xfId="292" applyFont="1" applyBorder="1" applyAlignment="1">
      <alignment wrapText="1"/>
    </xf>
    <xf numFmtId="0" fontId="14" fillId="0" borderId="0" xfId="292" applyFont="1" applyBorder="1" applyAlignment="1">
      <alignment horizontal="center" wrapText="1"/>
    </xf>
    <xf numFmtId="0" fontId="19" fillId="0" borderId="0" xfId="0" applyFont="1" applyFill="1" applyAlignment="1">
      <alignment horizontal="left" wrapText="1"/>
    </xf>
    <xf numFmtId="0" fontId="185" fillId="0" borderId="0" xfId="0" applyFont="1" applyFill="1" applyAlignment="1">
      <alignment horizontal="left"/>
    </xf>
    <xf numFmtId="0" fontId="22" fillId="0" borderId="0" xfId="0" applyFont="1" applyFill="1" applyAlignment="1">
      <alignment horizontal="right" wrapText="1"/>
    </xf>
    <xf numFmtId="0" fontId="30" fillId="0" borderId="39" xfId="0" applyFont="1" applyFill="1" applyBorder="1" applyAlignment="1">
      <alignment horizontal="left"/>
    </xf>
    <xf numFmtId="0" fontId="8" fillId="0" borderId="71" xfId="0" applyFont="1" applyFill="1" applyBorder="1" applyAlignment="1">
      <alignment horizontal="center" vertical="center"/>
    </xf>
    <xf numFmtId="0" fontId="48" fillId="0" borderId="39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wrapText="1"/>
    </xf>
    <xf numFmtId="0" fontId="34" fillId="0" borderId="0" xfId="0" applyFont="1" applyFill="1" applyBorder="1" applyAlignment="1">
      <alignment horizontal="left"/>
    </xf>
    <xf numFmtId="0" fontId="47" fillId="0" borderId="0" xfId="0" applyFont="1" applyBorder="1" applyAlignment="1">
      <alignment horizontal="right" wrapText="1"/>
    </xf>
    <xf numFmtId="0" fontId="35" fillId="0" borderId="3" xfId="0" applyFont="1" applyFill="1" applyBorder="1" applyAlignment="1">
      <alignment horizontal="center" vertical="center" wrapText="1"/>
    </xf>
    <xf numFmtId="0" fontId="47" fillId="0" borderId="0" xfId="0" applyFont="1" applyBorder="1" applyAlignment="1">
      <alignment horizontal="left" wrapText="1"/>
    </xf>
    <xf numFmtId="49" fontId="34" fillId="0" borderId="0" xfId="0" applyNumberFormat="1" applyFont="1" applyBorder="1" applyAlignment="1">
      <alignment horizontal="left" wrapText="1"/>
    </xf>
    <xf numFmtId="0" fontId="34" fillId="0" borderId="0" xfId="0" applyFont="1" applyBorder="1" applyAlignment="1">
      <alignment horizontal="left" wrapText="1"/>
    </xf>
    <xf numFmtId="0" fontId="17" fillId="0" borderId="20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wrapText="1"/>
    </xf>
    <xf numFmtId="0" fontId="17" fillId="0" borderId="43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wrapText="1"/>
    </xf>
    <xf numFmtId="0" fontId="14" fillId="0" borderId="51" xfId="0" applyFont="1" applyBorder="1" applyAlignment="1">
      <alignment horizont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42" fillId="0" borderId="0" xfId="0" applyFont="1" applyBorder="1" applyAlignment="1">
      <alignment horizontal="right" wrapText="1"/>
    </xf>
    <xf numFmtId="0" fontId="18" fillId="0" borderId="51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right" wrapText="1"/>
    </xf>
    <xf numFmtId="0" fontId="42" fillId="0" borderId="0" xfId="0" applyFont="1" applyBorder="1" applyAlignment="1">
      <alignment horizontal="left" vertical="top" wrapText="1"/>
    </xf>
    <xf numFmtId="0" fontId="18" fillId="0" borderId="50" xfId="0" applyFont="1" applyBorder="1" applyAlignment="1">
      <alignment horizontal="center" vertical="center" wrapText="1"/>
    </xf>
    <xf numFmtId="0" fontId="41" fillId="0" borderId="16" xfId="0" applyFont="1" applyBorder="1" applyAlignment="1">
      <alignment horizontal="center" vertical="center" wrapText="1"/>
    </xf>
    <xf numFmtId="0" fontId="17" fillId="0" borderId="58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7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wrapText="1"/>
    </xf>
    <xf numFmtId="0" fontId="11" fillId="0" borderId="0" xfId="0" applyFont="1" applyBorder="1" applyAlignment="1">
      <alignment horizontal="center" wrapText="1"/>
    </xf>
    <xf numFmtId="0" fontId="18" fillId="0" borderId="70" xfId="0" applyFont="1" applyBorder="1" applyAlignment="1">
      <alignment horizontal="center" vertical="center" wrapText="1"/>
    </xf>
    <xf numFmtId="0" fontId="18" fillId="0" borderId="69" xfId="0" applyFont="1" applyBorder="1" applyAlignment="1">
      <alignment horizontal="center" vertical="center" wrapText="1"/>
    </xf>
    <xf numFmtId="0" fontId="14" fillId="0" borderId="70" xfId="0" applyFont="1" applyBorder="1" applyAlignment="1">
      <alignment horizontal="center" wrapText="1"/>
    </xf>
    <xf numFmtId="0" fontId="14" fillId="0" borderId="58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74" xfId="0" applyFont="1" applyBorder="1" applyAlignment="1">
      <alignment horizontal="center" vertical="center" wrapText="1"/>
    </xf>
    <xf numFmtId="0" fontId="14" fillId="0" borderId="73" xfId="0" applyFont="1" applyBorder="1" applyAlignment="1">
      <alignment horizontal="center" vertical="center" wrapText="1"/>
    </xf>
    <xf numFmtId="0" fontId="21" fillId="0" borderId="44" xfId="0" applyFont="1" applyFill="1" applyBorder="1" applyAlignment="1">
      <alignment horizontal="left" vertical="center" wrapText="1"/>
    </xf>
    <xf numFmtId="0" fontId="20" fillId="0" borderId="0" xfId="0" applyFont="1" applyBorder="1" applyAlignment="1">
      <alignment horizontal="left"/>
    </xf>
    <xf numFmtId="0" fontId="21" fillId="0" borderId="8" xfId="0" applyFont="1" applyBorder="1" applyAlignment="1">
      <alignment wrapText="1"/>
    </xf>
    <xf numFmtId="0" fontId="65" fillId="0" borderId="8" xfId="0" applyFont="1" applyBorder="1" applyAlignment="1"/>
    <xf numFmtId="0" fontId="15" fillId="0" borderId="8" xfId="0" applyFont="1" applyBorder="1" applyAlignment="1"/>
    <xf numFmtId="0" fontId="20" fillId="0" borderId="0" xfId="0" applyFont="1" applyAlignment="1">
      <alignment horizontal="center" wrapText="1"/>
    </xf>
    <xf numFmtId="0" fontId="31" fillId="0" borderId="0" xfId="0" applyFont="1" applyBorder="1" applyAlignment="1">
      <alignment horizontal="left" wrapText="1"/>
    </xf>
    <xf numFmtId="0" fontId="20" fillId="0" borderId="39" xfId="0" applyFont="1" applyBorder="1" applyAlignment="1">
      <alignment horizontal="right" wrapText="1"/>
    </xf>
    <xf numFmtId="0" fontId="20" fillId="0" borderId="4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41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41" fillId="0" borderId="0" xfId="0" applyFont="1" applyFill="1" applyBorder="1" applyAlignment="1">
      <alignment horizontal="left" wrapText="1"/>
    </xf>
    <xf numFmtId="0" fontId="11" fillId="0" borderId="0" xfId="0" applyFont="1" applyAlignment="1">
      <alignment horizontal="center" wrapText="1"/>
    </xf>
    <xf numFmtId="0" fontId="42" fillId="0" borderId="0" xfId="0" applyFont="1" applyAlignment="1">
      <alignment horizontal="center" wrapText="1"/>
    </xf>
    <xf numFmtId="0" fontId="30" fillId="0" borderId="39" xfId="0" applyFont="1" applyBorder="1" applyAlignment="1">
      <alignment horizontal="right"/>
    </xf>
    <xf numFmtId="0" fontId="16" fillId="0" borderId="39" xfId="0" applyFont="1" applyBorder="1" applyAlignment="1">
      <alignment horizontal="right"/>
    </xf>
    <xf numFmtId="0" fontId="18" fillId="0" borderId="44" xfId="0" applyFont="1" applyFill="1" applyBorder="1" applyAlignment="1">
      <alignment horizontal="left" vertical="center" wrapText="1"/>
    </xf>
    <xf numFmtId="0" fontId="42" fillId="0" borderId="0" xfId="0" applyFont="1" applyBorder="1" applyAlignment="1">
      <alignment horizontal="left" wrapText="1"/>
    </xf>
    <xf numFmtId="0" fontId="47" fillId="0" borderId="0" xfId="0" applyFont="1" applyAlignment="1">
      <alignment horizontal="center" wrapText="1"/>
    </xf>
    <xf numFmtId="0" fontId="30" fillId="0" borderId="42" xfId="0" applyFont="1" applyFill="1" applyBorder="1" applyAlignment="1">
      <alignment horizontal="center"/>
    </xf>
    <xf numFmtId="0" fontId="30" fillId="0" borderId="69" xfId="0" applyFont="1" applyFill="1" applyBorder="1" applyAlignment="1">
      <alignment horizontal="center"/>
    </xf>
    <xf numFmtId="0" fontId="30" fillId="0" borderId="70" xfId="0" applyFont="1" applyFill="1" applyBorder="1" applyAlignment="1">
      <alignment horizontal="center"/>
    </xf>
    <xf numFmtId="0" fontId="14" fillId="0" borderId="79" xfId="0" applyFont="1" applyFill="1" applyBorder="1" applyAlignment="1">
      <alignment horizontal="center" vertical="center" wrapText="1"/>
    </xf>
    <xf numFmtId="2" fontId="14" fillId="0" borderId="46" xfId="0" applyNumberFormat="1" applyFont="1" applyFill="1" applyBorder="1" applyAlignment="1">
      <alignment horizontal="center" vertical="center" wrapText="1"/>
    </xf>
    <xf numFmtId="2" fontId="14" fillId="0" borderId="57" xfId="0" applyNumberFormat="1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vertical="center" wrapText="1"/>
    </xf>
    <xf numFmtId="0" fontId="14" fillId="0" borderId="72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20" fillId="0" borderId="0" xfId="0" applyFont="1" applyFill="1" applyBorder="1" applyAlignment="1">
      <alignment horizontal="center" wrapText="1"/>
    </xf>
    <xf numFmtId="0" fontId="24" fillId="0" borderId="44" xfId="0" applyFont="1" applyBorder="1" applyAlignment="1">
      <alignment horizontal="left" vertical="center" wrapText="1"/>
    </xf>
    <xf numFmtId="0" fontId="191" fillId="0" borderId="44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/>
    </xf>
    <xf numFmtId="0" fontId="24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center" wrapText="1"/>
    </xf>
    <xf numFmtId="0" fontId="16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49" fontId="16" fillId="0" borderId="0" xfId="0" applyNumberFormat="1" applyFont="1" applyBorder="1" applyAlignment="1">
      <alignment horizontal="left"/>
    </xf>
    <xf numFmtId="0" fontId="30" fillId="0" borderId="53" xfId="0" applyFont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54" xfId="0" applyFont="1" applyBorder="1" applyAlignment="1">
      <alignment horizontal="center" vertical="center" wrapText="1"/>
    </xf>
    <xf numFmtId="0" fontId="24" fillId="0" borderId="55" xfId="0" applyFont="1" applyBorder="1" applyAlignment="1">
      <alignment horizontal="center" vertical="center" wrapText="1"/>
    </xf>
    <xf numFmtId="0" fontId="16" fillId="0" borderId="53" xfId="0" applyFont="1" applyBorder="1" applyAlignment="1">
      <alignment horizontal="center" vertical="center" wrapText="1"/>
    </xf>
    <xf numFmtId="0" fontId="16" fillId="0" borderId="53" xfId="0" applyFont="1" applyBorder="1" applyAlignment="1">
      <alignment vertical="center"/>
    </xf>
    <xf numFmtId="0" fontId="3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top" wrapText="1"/>
    </xf>
    <xf numFmtId="0" fontId="30" fillId="0" borderId="56" xfId="0" applyFont="1" applyBorder="1" applyAlignment="1">
      <alignment horizontal="left" vertical="center"/>
    </xf>
    <xf numFmtId="0" fontId="16" fillId="0" borderId="56" xfId="0" applyFont="1" applyBorder="1" applyAlignment="1">
      <alignment horizontal="right" wrapText="1"/>
    </xf>
    <xf numFmtId="0" fontId="22" fillId="0" borderId="0" xfId="0" applyFont="1" applyBorder="1" applyAlignment="1">
      <alignment horizontal="left" wrapText="1"/>
    </xf>
    <xf numFmtId="49" fontId="8" fillId="0" borderId="56" xfId="0" applyNumberFormat="1" applyFont="1" applyBorder="1" applyAlignment="1">
      <alignment horizontal="left" vertical="top" wrapText="1"/>
    </xf>
    <xf numFmtId="0" fontId="29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74" fillId="0" borderId="0" xfId="0" applyFont="1" applyAlignment="1">
      <alignment horizontal="left"/>
    </xf>
    <xf numFmtId="0" fontId="162" fillId="0" borderId="0" xfId="0" applyFont="1" applyAlignment="1">
      <alignment horizontal="left"/>
    </xf>
    <xf numFmtId="0" fontId="37" fillId="0" borderId="0" xfId="0" applyFont="1" applyBorder="1" applyAlignment="1">
      <alignment horizontal="left" vertical="top" wrapText="1"/>
    </xf>
    <xf numFmtId="0" fontId="37" fillId="0" borderId="0" xfId="0" applyFont="1" applyBorder="1" applyAlignment="1">
      <alignment horizontal="right" vertical="top" wrapText="1"/>
    </xf>
    <xf numFmtId="0" fontId="11" fillId="0" borderId="0" xfId="0" applyFont="1" applyBorder="1" applyAlignment="1">
      <alignment horizontal="right" vertical="top" wrapText="1"/>
    </xf>
    <xf numFmtId="0" fontId="11" fillId="0" borderId="42" xfId="0" applyFont="1" applyBorder="1" applyAlignment="1">
      <alignment horizontal="center" vertical="center" wrapText="1"/>
    </xf>
    <xf numFmtId="0" fontId="11" fillId="0" borderId="69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right" vertical="top" wrapText="1"/>
    </xf>
    <xf numFmtId="0" fontId="10" fillId="0" borderId="71" xfId="0" applyFont="1" applyBorder="1" applyAlignment="1">
      <alignment horizontal="center" vertical="center" wrapText="1"/>
    </xf>
    <xf numFmtId="0" fontId="18" fillId="0" borderId="79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79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21" fillId="0" borderId="79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29" fillId="34" borderId="44" xfId="0" applyFont="1" applyFill="1" applyBorder="1" applyAlignment="1">
      <alignment horizontal="left" vertical="center" wrapText="1"/>
    </xf>
    <xf numFmtId="0" fontId="29" fillId="34" borderId="0" xfId="0" applyFont="1" applyFill="1" applyBorder="1" applyAlignment="1">
      <alignment horizontal="left" vertical="center" wrapText="1"/>
    </xf>
    <xf numFmtId="0" fontId="14" fillId="0" borderId="39" xfId="0" applyFont="1" applyFill="1" applyBorder="1" applyAlignment="1">
      <alignment horizontal="right" vertical="center" wrapText="1"/>
    </xf>
    <xf numFmtId="0" fontId="72" fillId="34" borderId="0" xfId="0" applyFont="1" applyFill="1" applyAlignment="1">
      <alignment horizontal="left" wrapText="1"/>
    </xf>
    <xf numFmtId="0" fontId="72" fillId="0" borderId="0" xfId="0" applyFont="1" applyFill="1" applyAlignment="1">
      <alignment horizontal="left" wrapText="1"/>
    </xf>
    <xf numFmtId="10" fontId="72" fillId="34" borderId="0" xfId="0" applyNumberFormat="1" applyFont="1" applyFill="1" applyAlignment="1">
      <alignment horizontal="left" wrapText="1"/>
    </xf>
    <xf numFmtId="10" fontId="72" fillId="0" borderId="0" xfId="0" applyNumberFormat="1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vertical="center" wrapText="1"/>
    </xf>
    <xf numFmtId="49" fontId="27" fillId="0" borderId="0" xfId="0" applyNumberFormat="1" applyFont="1" applyFill="1" applyBorder="1" applyAlignment="1">
      <alignment horizontal="left" vertical="center" wrapText="1"/>
    </xf>
    <xf numFmtId="0" fontId="71" fillId="0" borderId="0" xfId="0" applyFont="1" applyFill="1" applyBorder="1" applyAlignment="1">
      <alignment horizontal="left" vertical="center" wrapText="1"/>
    </xf>
    <xf numFmtId="0" fontId="39" fillId="0" borderId="0" xfId="0" applyFont="1" applyFill="1" applyAlignment="1">
      <alignment horizontal="left"/>
    </xf>
    <xf numFmtId="0" fontId="17" fillId="0" borderId="0" xfId="0" applyFont="1" applyFill="1" applyBorder="1" applyAlignment="1">
      <alignment vertical="center" wrapText="1"/>
    </xf>
    <xf numFmtId="0" fontId="17" fillId="34" borderId="0" xfId="0" applyFont="1" applyFill="1" applyBorder="1" applyAlignment="1">
      <alignment vertical="center" wrapText="1"/>
    </xf>
    <xf numFmtId="0" fontId="16" fillId="34" borderId="0" xfId="0" applyFont="1" applyFill="1" applyBorder="1" applyAlignment="1">
      <alignment horizontal="left" vertical="center" wrapText="1" indent="2"/>
    </xf>
    <xf numFmtId="0" fontId="39" fillId="34" borderId="0" xfId="0" applyFont="1" applyFill="1" applyAlignment="1">
      <alignment horizontal="left" wrapText="1"/>
    </xf>
    <xf numFmtId="0" fontId="15" fillId="0" borderId="0" xfId="0" applyFont="1" applyFill="1" applyBorder="1" applyAlignment="1">
      <alignment horizontal="left" vertical="center" wrapText="1" indent="2"/>
    </xf>
    <xf numFmtId="0" fontId="88" fillId="0" borderId="0" xfId="0" applyFont="1" applyFill="1" applyBorder="1" applyAlignment="1">
      <alignment horizontal="left" vertical="center" wrapText="1"/>
    </xf>
    <xf numFmtId="0" fontId="17" fillId="34" borderId="0" xfId="0" applyFont="1" applyFill="1" applyBorder="1" applyAlignment="1">
      <alignment horizontal="left" vertical="center" wrapText="1"/>
    </xf>
    <xf numFmtId="0" fontId="81" fillId="34" borderId="0" xfId="0" applyFont="1" applyFill="1" applyBorder="1" applyAlignment="1">
      <alignment horizontal="left"/>
    </xf>
    <xf numFmtId="0" fontId="77" fillId="34" borderId="0" xfId="0" applyFont="1" applyFill="1" applyBorder="1" applyAlignment="1">
      <alignment horizontal="left" vertical="justify" wrapText="1"/>
    </xf>
    <xf numFmtId="0" fontId="71" fillId="34" borderId="6" xfId="0" applyFont="1" applyFill="1" applyBorder="1" applyAlignment="1">
      <alignment horizontal="left" vertical="center" wrapText="1"/>
    </xf>
    <xf numFmtId="0" fontId="39" fillId="0" borderId="0" xfId="0" applyFont="1" applyFill="1" applyAlignment="1">
      <alignment horizontal="left" wrapText="1"/>
    </xf>
    <xf numFmtId="0" fontId="14" fillId="0" borderId="0" xfId="0" applyFont="1" applyFill="1" applyBorder="1" applyAlignment="1">
      <alignment horizontal="left" vertical="center" wrapText="1"/>
    </xf>
    <xf numFmtId="0" fontId="81" fillId="34" borderId="0" xfId="0" applyFont="1" applyFill="1" applyBorder="1" applyAlignment="1">
      <alignment horizontal="left" vertical="top" wrapText="1"/>
    </xf>
    <xf numFmtId="0" fontId="14" fillId="34" borderId="0" xfId="0" applyFont="1" applyFill="1" applyBorder="1" applyAlignment="1">
      <alignment horizontal="left" vertical="center" wrapText="1"/>
    </xf>
    <xf numFmtId="0" fontId="86" fillId="0" borderId="0" xfId="0" applyFont="1" applyFill="1" applyBorder="1" applyAlignment="1">
      <alignment horizontal="left" wrapText="1"/>
    </xf>
    <xf numFmtId="0" fontId="74" fillId="0" borderId="1" xfId="0" applyFont="1" applyBorder="1" applyAlignment="1">
      <alignment horizontal="left"/>
    </xf>
    <xf numFmtId="0" fontId="74" fillId="0" borderId="1" xfId="0" applyFont="1" applyBorder="1" applyAlignment="1">
      <alignment horizontal="right"/>
    </xf>
    <xf numFmtId="0" fontId="78" fillId="0" borderId="1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72" fillId="0" borderId="0" xfId="0" applyFont="1" applyFill="1" applyBorder="1" applyAlignment="1">
      <alignment horizontal="left" vertical="center" wrapText="1" indent="2"/>
    </xf>
    <xf numFmtId="0" fontId="28" fillId="34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wrapText="1"/>
    </xf>
    <xf numFmtId="0" fontId="72" fillId="34" borderId="0" xfId="0" applyFont="1" applyFill="1" applyBorder="1" applyAlignment="1">
      <alignment horizontal="left" vertical="center" wrapText="1" indent="2"/>
    </xf>
    <xf numFmtId="0" fontId="24" fillId="34" borderId="0" xfId="0" applyFont="1" applyFill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51" fillId="34" borderId="0" xfId="0" applyFont="1" applyFill="1" applyBorder="1" applyAlignment="1">
      <alignment horizontal="left" vertical="center" wrapText="1"/>
    </xf>
    <xf numFmtId="0" fontId="26" fillId="0" borderId="8" xfId="0" applyFont="1" applyBorder="1" applyAlignment="1">
      <alignment horizontal="left" vertical="center" wrapText="1"/>
    </xf>
    <xf numFmtId="0" fontId="26" fillId="0" borderId="8" xfId="0" applyFont="1" applyBorder="1" applyAlignment="1">
      <alignment horizontal="right"/>
    </xf>
    <xf numFmtId="0" fontId="24" fillId="34" borderId="0" xfId="0" applyFont="1" applyFill="1" applyBorder="1" applyAlignment="1">
      <alignment horizontal="left" vertical="center"/>
    </xf>
    <xf numFmtId="0" fontId="28" fillId="0" borderId="42" xfId="0" applyFont="1" applyBorder="1" applyAlignment="1">
      <alignment horizontal="left" vertical="center" wrapText="1"/>
    </xf>
    <xf numFmtId="0" fontId="28" fillId="0" borderId="69" xfId="0" applyFont="1" applyBorder="1" applyAlignment="1">
      <alignment horizontal="left" vertical="center" wrapText="1"/>
    </xf>
    <xf numFmtId="0" fontId="28" fillId="0" borderId="70" xfId="0" applyFont="1" applyBorder="1" applyAlignment="1">
      <alignment horizontal="left" vertical="center" wrapText="1"/>
    </xf>
    <xf numFmtId="0" fontId="30" fillId="0" borderId="72" xfId="0" applyFont="1" applyBorder="1" applyAlignment="1">
      <alignment horizontal="center" vertical="center" wrapText="1"/>
    </xf>
    <xf numFmtId="0" fontId="30" fillId="0" borderId="46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48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28" fillId="0" borderId="42" xfId="0" applyFont="1" applyBorder="1" applyAlignment="1">
      <alignment horizontal="center" vertical="center" wrapText="1"/>
    </xf>
    <xf numFmtId="0" fontId="28" fillId="0" borderId="69" xfId="0" applyFont="1" applyBorder="1" applyAlignment="1">
      <alignment horizontal="center" vertical="center" wrapText="1"/>
    </xf>
    <xf numFmtId="0" fontId="28" fillId="0" borderId="7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40" fillId="34" borderId="0" xfId="0" applyFont="1" applyFill="1" applyBorder="1" applyAlignment="1">
      <alignment horizontal="left" vertical="center" wrapText="1"/>
    </xf>
    <xf numFmtId="0" fontId="28" fillId="0" borderId="0" xfId="0" applyFont="1" applyAlignment="1">
      <alignment horizontal="left" wrapText="1"/>
    </xf>
    <xf numFmtId="0" fontId="9" fillId="0" borderId="0" xfId="0" applyFont="1" applyAlignment="1">
      <alignment horizontal="right" wrapText="1"/>
    </xf>
    <xf numFmtId="0" fontId="157" fillId="0" borderId="0" xfId="0" applyFont="1" applyAlignment="1">
      <alignment horizontal="right" wrapText="1"/>
    </xf>
    <xf numFmtId="0" fontId="9" fillId="0" borderId="0" xfId="0" applyFont="1" applyAlignment="1">
      <alignment horizontal="center" vertical="center"/>
    </xf>
    <xf numFmtId="0" fontId="157" fillId="0" borderId="0" xfId="0" applyFont="1" applyAlignment="1">
      <alignment horizontal="left" wrapText="1"/>
    </xf>
    <xf numFmtId="0" fontId="16" fillId="0" borderId="0" xfId="0" applyFont="1" applyBorder="1" applyAlignment="1">
      <alignment horizontal="right" wrapText="1"/>
    </xf>
    <xf numFmtId="0" fontId="30" fillId="0" borderId="44" xfId="0" applyFont="1" applyBorder="1" applyAlignment="1">
      <alignment horizontal="center" vertical="center" wrapText="1"/>
    </xf>
    <xf numFmtId="0" fontId="16" fillId="0" borderId="72" xfId="0" applyFont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42" fillId="0" borderId="0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righ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34" borderId="0" xfId="0" applyFont="1" applyFill="1" applyBorder="1" applyAlignment="1">
      <alignment horizontal="left" vertical="center" wrapText="1"/>
    </xf>
    <xf numFmtId="0" fontId="27" fillId="0" borderId="39" xfId="0" applyFont="1" applyBorder="1" applyAlignment="1">
      <alignment horizontal="center"/>
    </xf>
    <xf numFmtId="0" fontId="20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/>
    </xf>
    <xf numFmtId="0" fontId="29" fillId="0" borderId="0" xfId="0" applyFont="1" applyBorder="1" applyAlignment="1">
      <alignment horizontal="left" wrapText="1"/>
    </xf>
    <xf numFmtId="0" fontId="17" fillId="0" borderId="39" xfId="0" applyFont="1" applyBorder="1" applyAlignment="1">
      <alignment horizontal="right" vertical="center" wrapText="1"/>
    </xf>
    <xf numFmtId="0" fontId="18" fillId="0" borderId="7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14" fillId="0" borderId="54" xfId="0" applyFont="1" applyBorder="1" applyAlignment="1">
      <alignment horizontal="center" vertical="center" wrapText="1"/>
    </xf>
    <xf numFmtId="0" fontId="14" fillId="0" borderId="55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top" wrapText="1"/>
    </xf>
    <xf numFmtId="0" fontId="15" fillId="0" borderId="0" xfId="0" applyFont="1" applyAlignment="1"/>
    <xf numFmtId="0" fontId="29" fillId="0" borderId="0" xfId="0" applyFont="1" applyAlignment="1">
      <alignment horizontal="right" vertical="top"/>
    </xf>
    <xf numFmtId="0" fontId="31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right" vertical="center"/>
    </xf>
    <xf numFmtId="0" fontId="18" fillId="0" borderId="0" xfId="0" applyFont="1" applyBorder="1" applyAlignment="1">
      <alignment horizontal="left" wrapText="1"/>
    </xf>
    <xf numFmtId="0" fontId="14" fillId="0" borderId="39" xfId="0" applyFont="1" applyBorder="1" applyAlignment="1">
      <alignment horizontal="right" wrapText="1"/>
    </xf>
    <xf numFmtId="0" fontId="10" fillId="0" borderId="2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left" vertical="top" wrapText="1"/>
    </xf>
    <xf numFmtId="0" fontId="29" fillId="0" borderId="40" xfId="0" applyFont="1" applyBorder="1" applyAlignment="1">
      <alignment horizontal="center" vertical="center" wrapText="1"/>
    </xf>
    <xf numFmtId="0" fontId="29" fillId="0" borderId="41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right" wrapText="1"/>
    </xf>
    <xf numFmtId="0" fontId="17" fillId="0" borderId="1" xfId="0" applyFont="1" applyBorder="1" applyAlignment="1">
      <alignment horizontal="right" wrapText="1"/>
    </xf>
    <xf numFmtId="0" fontId="17" fillId="0" borderId="45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left" vertical="top" wrapText="1"/>
    </xf>
    <xf numFmtId="0" fontId="37" fillId="0" borderId="0" xfId="0" applyFont="1" applyBorder="1" applyAlignment="1">
      <alignment horizontal="left" wrapText="1"/>
    </xf>
    <xf numFmtId="0" fontId="11" fillId="0" borderId="40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right" wrapText="1"/>
    </xf>
    <xf numFmtId="0" fontId="10" fillId="0" borderId="4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wrapText="1"/>
    </xf>
    <xf numFmtId="0" fontId="37" fillId="0" borderId="1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left" vertical="top" wrapText="1"/>
    </xf>
    <xf numFmtId="0" fontId="16" fillId="0" borderId="0" xfId="0" applyFont="1" applyBorder="1" applyAlignment="1">
      <alignment horizontal="left"/>
    </xf>
    <xf numFmtId="0" fontId="39" fillId="0" borderId="0" xfId="0" applyFont="1" applyBorder="1" applyAlignment="1">
      <alignment horizontal="left"/>
    </xf>
    <xf numFmtId="0" fontId="14" fillId="0" borderId="2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left" vertical="center" wrapText="1"/>
    </xf>
    <xf numFmtId="0" fontId="29" fillId="0" borderId="71" xfId="0" applyFont="1" applyBorder="1" applyAlignment="1">
      <alignment horizontal="left" vertical="center" wrapText="1"/>
    </xf>
    <xf numFmtId="0" fontId="29" fillId="0" borderId="3" xfId="0" applyFont="1" applyBorder="1" applyAlignment="1">
      <alignment horizontal="left" vertical="center" wrapText="1"/>
    </xf>
    <xf numFmtId="0" fontId="29" fillId="0" borderId="72" xfId="0" applyFont="1" applyFill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center" vertical="center" wrapText="1"/>
    </xf>
    <xf numFmtId="0" fontId="29" fillId="0" borderId="70" xfId="0" applyFont="1" applyFill="1" applyBorder="1" applyAlignment="1">
      <alignment horizontal="center" vertical="center" wrapText="1"/>
    </xf>
    <xf numFmtId="0" fontId="31" fillId="0" borderId="0" xfId="0" applyFont="1" applyBorder="1" applyAlignment="1">
      <alignment horizontal="left"/>
    </xf>
    <xf numFmtId="0" fontId="20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 wrapText="1"/>
    </xf>
    <xf numFmtId="0" fontId="42" fillId="0" borderId="0" xfId="0" applyFont="1" applyAlignment="1">
      <alignment horizontal="right" vertical="center" wrapText="1"/>
    </xf>
    <xf numFmtId="0" fontId="31" fillId="0" borderId="0" xfId="0" applyFont="1" applyAlignment="1">
      <alignment horizontal="right" vertical="center" wrapText="1"/>
    </xf>
    <xf numFmtId="0" fontId="31" fillId="0" borderId="0" xfId="0" applyFont="1" applyAlignment="1">
      <alignment horizontal="left" vertical="center" wrapText="1"/>
    </xf>
    <xf numFmtId="0" fontId="27" fillId="0" borderId="0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0" fontId="31" fillId="0" borderId="0" xfId="0" applyFont="1" applyBorder="1" applyAlignment="1">
      <alignment horizontal="right"/>
    </xf>
    <xf numFmtId="0" fontId="32" fillId="0" borderId="0" xfId="0" applyFont="1" applyAlignment="1">
      <alignment horizontal="left" wrapText="1"/>
    </xf>
    <xf numFmtId="0" fontId="20" fillId="0" borderId="2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20" fillId="0" borderId="42" xfId="0" applyFont="1" applyFill="1" applyBorder="1" applyAlignment="1">
      <alignment horizontal="center" vertical="center" wrapText="1"/>
    </xf>
    <xf numFmtId="0" fontId="20" fillId="0" borderId="40" xfId="0" applyFont="1" applyFill="1" applyBorder="1" applyAlignment="1">
      <alignment horizontal="center" vertical="center" wrapText="1"/>
    </xf>
    <xf numFmtId="0" fontId="20" fillId="0" borderId="41" xfId="0" applyFont="1" applyFill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17" fillId="0" borderId="55" xfId="0" applyFont="1" applyBorder="1" applyAlignment="1">
      <alignment horizontal="center" vertical="center" wrapText="1"/>
    </xf>
    <xf numFmtId="0" fontId="17" fillId="0" borderId="53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right" wrapText="1"/>
    </xf>
    <xf numFmtId="0" fontId="17" fillId="0" borderId="2" xfId="0" applyFont="1" applyBorder="1" applyAlignment="1">
      <alignment horizontal="center" wrapText="1"/>
    </xf>
    <xf numFmtId="0" fontId="11" fillId="0" borderId="54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37" fillId="0" borderId="0" xfId="0" applyFont="1" applyAlignment="1">
      <alignment horizontal="left"/>
    </xf>
    <xf numFmtId="0" fontId="14" fillId="0" borderId="56" xfId="0" applyFont="1" applyBorder="1" applyAlignment="1">
      <alignment horizontal="right"/>
    </xf>
    <xf numFmtId="0" fontId="17" fillId="0" borderId="53" xfId="0" applyFont="1" applyBorder="1" applyAlignment="1">
      <alignment horizontal="center" wrapText="1"/>
    </xf>
    <xf numFmtId="0" fontId="17" fillId="0" borderId="3" xfId="0" applyFont="1" applyBorder="1" applyAlignment="1">
      <alignment horizontal="center" wrapText="1"/>
    </xf>
    <xf numFmtId="0" fontId="122" fillId="0" borderId="2" xfId="232" applyFont="1" applyBorder="1" applyAlignment="1">
      <alignment horizontal="center" vertical="center" wrapText="1"/>
    </xf>
    <xf numFmtId="0" fontId="119" fillId="0" borderId="2" xfId="0" applyFont="1" applyBorder="1" applyAlignment="1">
      <alignment horizontal="center" vertical="top" wrapText="1"/>
    </xf>
    <xf numFmtId="0" fontId="122" fillId="0" borderId="2" xfId="0" applyFont="1" applyBorder="1" applyAlignment="1">
      <alignment horizontal="center" vertical="top" wrapText="1"/>
    </xf>
    <xf numFmtId="0" fontId="37" fillId="0" borderId="0" xfId="0" applyFont="1" applyAlignment="1">
      <alignment horizontal="center" wrapText="1"/>
    </xf>
    <xf numFmtId="0" fontId="128" fillId="0" borderId="39" xfId="232" applyFont="1" applyBorder="1" applyAlignment="1">
      <alignment horizontal="right" vertical="center"/>
    </xf>
    <xf numFmtId="0" fontId="122" fillId="0" borderId="71" xfId="0" applyFont="1" applyBorder="1" applyAlignment="1">
      <alignment horizontal="center" vertical="top" wrapText="1"/>
    </xf>
    <xf numFmtId="0" fontId="122" fillId="0" borderId="3" xfId="0" applyFont="1" applyBorder="1" applyAlignment="1">
      <alignment horizontal="center" vertical="top" wrapText="1"/>
    </xf>
    <xf numFmtId="0" fontId="122" fillId="0" borderId="2" xfId="0" applyFont="1" applyBorder="1" applyAlignment="1">
      <alignment horizontal="center"/>
    </xf>
    <xf numFmtId="0" fontId="122" fillId="0" borderId="42" xfId="0" applyFont="1" applyBorder="1" applyAlignment="1">
      <alignment horizontal="left"/>
    </xf>
    <xf numFmtId="0" fontId="122" fillId="0" borderId="69" xfId="0" applyFont="1" applyBorder="1" applyAlignment="1">
      <alignment horizontal="left"/>
    </xf>
    <xf numFmtId="0" fontId="122" fillId="0" borderId="70" xfId="0" applyFont="1" applyBorder="1" applyAlignment="1">
      <alignment horizontal="left"/>
    </xf>
    <xf numFmtId="0" fontId="158" fillId="0" borderId="0" xfId="0" applyFont="1" applyAlignment="1">
      <alignment horizontal="right"/>
    </xf>
    <xf numFmtId="0" fontId="158" fillId="0" borderId="0" xfId="0" applyFont="1" applyAlignment="1">
      <alignment horizontal="left"/>
    </xf>
    <xf numFmtId="0" fontId="158" fillId="0" borderId="0" xfId="232" applyFont="1" applyAlignment="1">
      <alignment horizontal="right" vertical="center"/>
    </xf>
    <xf numFmtId="0" fontId="37" fillId="0" borderId="0" xfId="0" applyFont="1" applyAlignment="1">
      <alignment vertical="center" wrapText="1"/>
    </xf>
    <xf numFmtId="0" fontId="128" fillId="0" borderId="0" xfId="232" applyFont="1" applyBorder="1" applyAlignment="1">
      <alignment horizontal="right"/>
    </xf>
    <xf numFmtId="0" fontId="122" fillId="0" borderId="71" xfId="232" applyFont="1" applyBorder="1" applyAlignment="1">
      <alignment horizontal="center" vertical="center" wrapText="1"/>
    </xf>
    <xf numFmtId="0" fontId="122" fillId="0" borderId="18" xfId="232" applyFont="1" applyBorder="1" applyAlignment="1">
      <alignment horizontal="center" vertical="center" wrapText="1"/>
    </xf>
    <xf numFmtId="0" fontId="122" fillId="0" borderId="3" xfId="232" applyFont="1" applyBorder="1" applyAlignment="1">
      <alignment horizontal="center" vertical="center" wrapText="1"/>
    </xf>
    <xf numFmtId="0" fontId="159" fillId="0" borderId="2" xfId="0" applyFont="1" applyBorder="1" applyAlignment="1">
      <alignment horizontal="center" vertical="top" wrapText="1"/>
    </xf>
    <xf numFmtId="0" fontId="158" fillId="0" borderId="0" xfId="232" applyFont="1" applyAlignment="1">
      <alignment horizontal="left" vertical="center"/>
    </xf>
    <xf numFmtId="0" fontId="109" fillId="0" borderId="0" xfId="0" applyFont="1" applyAlignment="1">
      <alignment horizontal="left" vertical="center" wrapText="1"/>
    </xf>
    <xf numFmtId="0" fontId="16" fillId="0" borderId="75" xfId="0" applyFont="1" applyFill="1" applyBorder="1" applyAlignment="1">
      <alignment horizontal="right" vertical="center"/>
    </xf>
    <xf numFmtId="0" fontId="16" fillId="0" borderId="32" xfId="0" applyFont="1" applyFill="1" applyBorder="1" applyAlignment="1">
      <alignment horizontal="left" vertical="center" textRotation="90"/>
    </xf>
    <xf numFmtId="0" fontId="16" fillId="0" borderId="47" xfId="0" applyFont="1" applyFill="1" applyBorder="1" applyAlignment="1">
      <alignment horizontal="left" vertical="center" textRotation="90"/>
    </xf>
    <xf numFmtId="0" fontId="24" fillId="0" borderId="0" xfId="0" applyFont="1" applyFill="1" applyAlignment="1">
      <alignment horizontal="center" vertical="top"/>
    </xf>
    <xf numFmtId="0" fontId="28" fillId="0" borderId="2" xfId="0" applyFont="1" applyFill="1" applyBorder="1" applyAlignment="1">
      <alignment horizontal="left" vertical="top"/>
    </xf>
    <xf numFmtId="0" fontId="16" fillId="0" borderId="37" xfId="0" applyFont="1" applyFill="1" applyBorder="1" applyAlignment="1">
      <alignment horizontal="left" vertical="center" textRotation="90"/>
    </xf>
    <xf numFmtId="0" fontId="16" fillId="0" borderId="37" xfId="0" applyFont="1" applyFill="1" applyBorder="1" applyAlignment="1">
      <alignment vertical="center" textRotation="90"/>
    </xf>
    <xf numFmtId="0" fontId="16" fillId="0" borderId="36" xfId="0" applyFont="1" applyFill="1" applyBorder="1" applyAlignment="1">
      <alignment vertical="center" textRotation="90"/>
    </xf>
    <xf numFmtId="0" fontId="16" fillId="0" borderId="33" xfId="0" applyFont="1" applyFill="1" applyBorder="1" applyAlignment="1">
      <alignment horizontal="center" vertical="center"/>
    </xf>
    <xf numFmtId="0" fontId="16" fillId="0" borderId="38" xfId="0" applyFont="1" applyFill="1" applyBorder="1" applyAlignment="1">
      <alignment horizontal="center" vertical="center"/>
    </xf>
    <xf numFmtId="49" fontId="109" fillId="0" borderId="2" xfId="0" applyNumberFormat="1" applyFont="1" applyBorder="1" applyAlignment="1">
      <alignment horizontal="center" vertical="center" textRotation="88"/>
    </xf>
    <xf numFmtId="49" fontId="109" fillId="0" borderId="71" xfId="0" applyNumberFormat="1" applyFont="1" applyBorder="1" applyAlignment="1">
      <alignment horizontal="center" vertical="center" textRotation="88"/>
    </xf>
    <xf numFmtId="49" fontId="109" fillId="0" borderId="18" xfId="0" applyNumberFormat="1" applyFont="1" applyBorder="1" applyAlignment="1">
      <alignment horizontal="center" vertical="center" textRotation="88"/>
    </xf>
    <xf numFmtId="49" fontId="109" fillId="0" borderId="3" xfId="0" applyNumberFormat="1" applyFont="1" applyBorder="1" applyAlignment="1">
      <alignment horizontal="center" vertical="center" textRotation="88"/>
    </xf>
    <xf numFmtId="0" fontId="122" fillId="0" borderId="0" xfId="0" applyFont="1" applyBorder="1" applyAlignment="1">
      <alignment horizontal="center"/>
    </xf>
    <xf numFmtId="0" fontId="123" fillId="0" borderId="39" xfId="0" applyFont="1" applyBorder="1" applyAlignment="1">
      <alignment horizontal="right"/>
    </xf>
    <xf numFmtId="0" fontId="109" fillId="0" borderId="40" xfId="0" applyFont="1" applyBorder="1" applyAlignment="1">
      <alignment horizontal="right"/>
    </xf>
    <xf numFmtId="0" fontId="109" fillId="0" borderId="42" xfId="0" applyFont="1" applyBorder="1" applyAlignment="1">
      <alignment horizontal="center" vertical="center" wrapText="1"/>
    </xf>
    <xf numFmtId="0" fontId="109" fillId="0" borderId="41" xfId="0" applyFont="1" applyBorder="1" applyAlignment="1">
      <alignment horizontal="center" vertical="center" wrapText="1"/>
    </xf>
    <xf numFmtId="49" fontId="119" fillId="0" borderId="69" xfId="0" applyNumberFormat="1" applyFont="1" applyBorder="1" applyAlignment="1">
      <alignment horizontal="left" vertical="center"/>
    </xf>
    <xf numFmtId="0" fontId="173" fillId="0" borderId="71" xfId="0" applyFont="1" applyBorder="1" applyAlignment="1">
      <alignment horizontal="center" vertical="top" wrapText="1"/>
    </xf>
    <xf numFmtId="0" fontId="0" fillId="0" borderId="3" xfId="0" applyBorder="1" applyAlignment="1">
      <alignment horizontal="center"/>
    </xf>
    <xf numFmtId="0" fontId="173" fillId="0" borderId="3" xfId="0" applyFont="1" applyBorder="1" applyAlignment="1">
      <alignment horizontal="center" vertical="top" wrapText="1"/>
    </xf>
    <xf numFmtId="0" fontId="119" fillId="0" borderId="71" xfId="232" applyFont="1" applyBorder="1" applyAlignment="1">
      <alignment horizontal="center" vertical="center" wrapText="1"/>
    </xf>
    <xf numFmtId="0" fontId="119" fillId="0" borderId="18" xfId="232" applyFont="1" applyBorder="1" applyAlignment="1">
      <alignment horizontal="center" vertical="center" wrapText="1"/>
    </xf>
    <xf numFmtId="0" fontId="119" fillId="0" borderId="3" xfId="232" applyFont="1" applyBorder="1" applyAlignment="1">
      <alignment horizontal="center" vertical="center" wrapText="1"/>
    </xf>
    <xf numFmtId="0" fontId="158" fillId="0" borderId="0" xfId="0" applyFont="1" applyAlignment="1">
      <alignment horizontal="right" vertical="center"/>
    </xf>
    <xf numFmtId="0" fontId="37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123" fillId="0" borderId="39" xfId="232" applyFont="1" applyBorder="1" applyAlignment="1">
      <alignment horizontal="right" vertical="center"/>
    </xf>
    <xf numFmtId="0" fontId="13" fillId="0" borderId="39" xfId="0" applyFont="1" applyBorder="1" applyAlignment="1">
      <alignment horizontal="right" vertical="center"/>
    </xf>
    <xf numFmtId="0" fontId="158" fillId="0" borderId="0" xfId="0" applyFont="1" applyAlignment="1">
      <alignment horizontal="left" vertical="center"/>
    </xf>
    <xf numFmtId="0" fontId="159" fillId="0" borderId="42" xfId="0" applyFont="1" applyBorder="1" applyAlignment="1">
      <alignment horizontal="center"/>
    </xf>
    <xf numFmtId="0" fontId="63" fillId="0" borderId="69" xfId="0" applyFont="1" applyBorder="1" applyAlignment="1">
      <alignment horizontal="center"/>
    </xf>
    <xf numFmtId="0" fontId="63" fillId="0" borderId="70" xfId="0" applyFont="1" applyBorder="1" applyAlignment="1">
      <alignment horizontal="center"/>
    </xf>
    <xf numFmtId="0" fontId="122" fillId="0" borderId="42" xfId="0" applyFont="1" applyBorder="1" applyAlignment="1">
      <alignment horizontal="center"/>
    </xf>
    <xf numFmtId="0" fontId="122" fillId="0" borderId="69" xfId="0" applyFont="1" applyBorder="1" applyAlignment="1">
      <alignment horizontal="center"/>
    </xf>
    <xf numFmtId="0" fontId="122" fillId="0" borderId="70" xfId="0" applyFont="1" applyBorder="1" applyAlignment="1">
      <alignment horizontal="center"/>
    </xf>
    <xf numFmtId="0" fontId="159" fillId="0" borderId="42" xfId="0" applyFont="1" applyBorder="1" applyAlignment="1">
      <alignment horizontal="center" vertical="top" wrapText="1"/>
    </xf>
    <xf numFmtId="0" fontId="132" fillId="0" borderId="71" xfId="0" applyFont="1" applyBorder="1" applyAlignment="1">
      <alignment horizontal="center" vertical="top" wrapText="1"/>
    </xf>
    <xf numFmtId="0" fontId="183" fillId="0" borderId="0" xfId="196" applyFont="1" applyAlignment="1">
      <alignment horizontal="right" vertical="top"/>
    </xf>
    <xf numFmtId="0" fontId="183" fillId="0" borderId="0" xfId="196" applyFont="1" applyAlignment="1">
      <alignment horizontal="left" vertical="top"/>
    </xf>
    <xf numFmtId="0" fontId="119" fillId="0" borderId="53" xfId="232" applyFont="1" applyBorder="1" applyAlignment="1">
      <alignment horizontal="center" vertical="center" wrapText="1"/>
    </xf>
    <xf numFmtId="0" fontId="159" fillId="0" borderId="0" xfId="196" applyFont="1" applyAlignment="1">
      <alignment horizontal="left"/>
    </xf>
    <xf numFmtId="0" fontId="159" fillId="0" borderId="0" xfId="196" applyFont="1" applyAlignment="1">
      <alignment horizontal="right"/>
    </xf>
    <xf numFmtId="0" fontId="122" fillId="0" borderId="53" xfId="232" applyFont="1" applyBorder="1" applyAlignment="1">
      <alignment horizontal="center" vertical="center" wrapText="1"/>
    </xf>
    <xf numFmtId="0" fontId="132" fillId="0" borderId="42" xfId="196" applyFont="1" applyBorder="1" applyAlignment="1">
      <alignment horizontal="center"/>
    </xf>
    <xf numFmtId="0" fontId="39" fillId="0" borderId="54" xfId="196" applyFont="1" applyBorder="1"/>
    <xf numFmtId="0" fontId="39" fillId="0" borderId="55" xfId="196" applyFont="1" applyBorder="1"/>
    <xf numFmtId="0" fontId="132" fillId="0" borderId="54" xfId="196" applyFont="1" applyBorder="1" applyAlignment="1">
      <alignment horizontal="center"/>
    </xf>
    <xf numFmtId="0" fontId="132" fillId="0" borderId="55" xfId="196" applyFont="1" applyBorder="1" applyAlignment="1">
      <alignment horizontal="center"/>
    </xf>
    <xf numFmtId="0" fontId="132" fillId="0" borderId="71" xfId="196" applyFont="1" applyBorder="1" applyAlignment="1">
      <alignment horizontal="left" vertical="top" wrapText="1"/>
    </xf>
    <xf numFmtId="0" fontId="39" fillId="0" borderId="3" xfId="196" applyFont="1" applyBorder="1" applyAlignment="1">
      <alignment horizontal="left" vertical="top"/>
    </xf>
    <xf numFmtId="0" fontId="132" fillId="0" borderId="42" xfId="196" applyFont="1" applyBorder="1" applyAlignment="1">
      <alignment horizontal="center" vertical="top" wrapText="1"/>
    </xf>
    <xf numFmtId="0" fontId="132" fillId="0" borderId="54" xfId="196" applyFont="1" applyBorder="1" applyAlignment="1">
      <alignment horizontal="center" vertical="top" wrapText="1"/>
    </xf>
    <xf numFmtId="0" fontId="132" fillId="0" borderId="55" xfId="196" applyFont="1" applyBorder="1" applyAlignment="1">
      <alignment horizontal="center" vertical="top" wrapText="1"/>
    </xf>
    <xf numFmtId="0" fontId="22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17" fillId="0" borderId="0" xfId="0" applyFont="1" applyAlignment="1">
      <alignment wrapText="1"/>
    </xf>
  </cellXfs>
  <cellStyles count="447">
    <cellStyle name="20% - Accent1 2" xfId="1"/>
    <cellStyle name="20% - Accent1 3" xfId="2"/>
    <cellStyle name="20% - Accent1 4" xfId="3"/>
    <cellStyle name="20% - Accent1 5" xfId="4"/>
    <cellStyle name="20% - Accent1 6" xfId="5"/>
    <cellStyle name="20% - Accent2 2" xfId="6"/>
    <cellStyle name="20% - Accent2 3" xfId="7"/>
    <cellStyle name="20% - Accent2 4" xfId="8"/>
    <cellStyle name="20% - Accent2 5" xfId="9"/>
    <cellStyle name="20% - Accent2 6" xfId="10"/>
    <cellStyle name="20% - Accent3 2" xfId="11"/>
    <cellStyle name="20% - Accent3 3" xfId="12"/>
    <cellStyle name="20% - Accent3 4" xfId="13"/>
    <cellStyle name="20% - Accent3 5" xfId="14"/>
    <cellStyle name="20% - Accent3 6" xfId="15"/>
    <cellStyle name="20% - Accent4 2" xfId="16"/>
    <cellStyle name="20% - Accent4 3" xfId="17"/>
    <cellStyle name="20% - Accent4 4" xfId="18"/>
    <cellStyle name="20% - Accent4 5" xfId="19"/>
    <cellStyle name="20% - Accent4 6" xfId="20"/>
    <cellStyle name="20% - Accent5 2" xfId="21"/>
    <cellStyle name="20% - Accent5 3" xfId="22"/>
    <cellStyle name="20% - Accent5 4" xfId="23"/>
    <cellStyle name="20% - Accent5 5" xfId="24"/>
    <cellStyle name="20% - Accent5 6" xfId="25"/>
    <cellStyle name="20% - Accent6 2" xfId="26"/>
    <cellStyle name="20% - Accent6 3" xfId="27"/>
    <cellStyle name="20% - Accent6 4" xfId="28"/>
    <cellStyle name="20% - Accent6 5" xfId="29"/>
    <cellStyle name="20% - Accent6 6" xfId="30"/>
    <cellStyle name="40% - Accent1 2" xfId="31"/>
    <cellStyle name="40% - Accent1 3" xfId="32"/>
    <cellStyle name="40% - Accent1 4" xfId="33"/>
    <cellStyle name="40% - Accent1 5" xfId="34"/>
    <cellStyle name="40% - Accent1 6" xfId="35"/>
    <cellStyle name="40% - Accent2 2" xfId="36"/>
    <cellStyle name="40% - Accent2 3" xfId="37"/>
    <cellStyle name="40% - Accent2 4" xfId="38"/>
    <cellStyle name="40% - Accent2 5" xfId="39"/>
    <cellStyle name="40% - Accent2 6" xfId="40"/>
    <cellStyle name="40% - Accent3 2" xfId="41"/>
    <cellStyle name="40% - Accent3 3" xfId="42"/>
    <cellStyle name="40% - Accent3 4" xfId="43"/>
    <cellStyle name="40% - Accent3 5" xfId="44"/>
    <cellStyle name="40% - Accent3 6" xfId="45"/>
    <cellStyle name="40% - Accent4 2" xfId="46"/>
    <cellStyle name="40% - Accent4 3" xfId="47"/>
    <cellStyle name="40% - Accent4 4" xfId="48"/>
    <cellStyle name="40% - Accent4 5" xfId="49"/>
    <cellStyle name="40% - Accent4 6" xfId="50"/>
    <cellStyle name="40% - Accent5 2" xfId="51"/>
    <cellStyle name="40% - Accent5 3" xfId="52"/>
    <cellStyle name="40% - Accent5 4" xfId="53"/>
    <cellStyle name="40% - Accent5 5" xfId="54"/>
    <cellStyle name="40% - Accent5 6" xfId="55"/>
    <cellStyle name="40% - Accent6 2" xfId="56"/>
    <cellStyle name="40% - Accent6 3" xfId="57"/>
    <cellStyle name="40% - Accent6 4" xfId="58"/>
    <cellStyle name="40% - Accent6 5" xfId="59"/>
    <cellStyle name="40% - Accent6 6" xfId="60"/>
    <cellStyle name="60% - Accent1 2" xfId="61"/>
    <cellStyle name="60% - Accent1 3" xfId="62"/>
    <cellStyle name="60% - Accent1 4" xfId="63"/>
    <cellStyle name="60% - Accent1 5" xfId="64"/>
    <cellStyle name="60% - Accent1 6" xfId="65"/>
    <cellStyle name="60% - Accent2 2" xfId="66"/>
    <cellStyle name="60% - Accent2 3" xfId="67"/>
    <cellStyle name="60% - Accent2 4" xfId="68"/>
    <cellStyle name="60% - Accent2 5" xfId="69"/>
    <cellStyle name="60% - Accent2 6" xfId="70"/>
    <cellStyle name="60% - Accent3 2" xfId="71"/>
    <cellStyle name="60% - Accent3 3" xfId="72"/>
    <cellStyle name="60% - Accent3 4" xfId="73"/>
    <cellStyle name="60% - Accent3 5" xfId="74"/>
    <cellStyle name="60% - Accent3 6" xfId="75"/>
    <cellStyle name="60% - Accent4 2" xfId="76"/>
    <cellStyle name="60% - Accent4 3" xfId="77"/>
    <cellStyle name="60% - Accent4 4" xfId="78"/>
    <cellStyle name="60% - Accent4 5" xfId="79"/>
    <cellStyle name="60% - Accent4 6" xfId="80"/>
    <cellStyle name="60% - Accent5 2" xfId="81"/>
    <cellStyle name="60% - Accent5 3" xfId="82"/>
    <cellStyle name="60% - Accent5 4" xfId="83"/>
    <cellStyle name="60% - Accent5 5" xfId="84"/>
    <cellStyle name="60% - Accent5 6" xfId="85"/>
    <cellStyle name="60% - Accent6 2" xfId="86"/>
    <cellStyle name="60% - Accent6 3" xfId="87"/>
    <cellStyle name="60% - Accent6 4" xfId="88"/>
    <cellStyle name="60% - Accent6 5" xfId="89"/>
    <cellStyle name="60% - Accent6 6" xfId="90"/>
    <cellStyle name="Accent1 2" xfId="91"/>
    <cellStyle name="Accent1 3" xfId="92"/>
    <cellStyle name="Accent1 4" xfId="93"/>
    <cellStyle name="Accent1 5" xfId="94"/>
    <cellStyle name="Accent1 6" xfId="95"/>
    <cellStyle name="Accent2 2" xfId="96"/>
    <cellStyle name="Accent2 3" xfId="97"/>
    <cellStyle name="Accent2 4" xfId="98"/>
    <cellStyle name="Accent2 5" xfId="99"/>
    <cellStyle name="Accent2 6" xfId="100"/>
    <cellStyle name="Accent3 2" xfId="101"/>
    <cellStyle name="Accent3 3" xfId="102"/>
    <cellStyle name="Accent3 4" xfId="103"/>
    <cellStyle name="Accent3 5" xfId="104"/>
    <cellStyle name="Accent3 6" xfId="105"/>
    <cellStyle name="Accent4 2" xfId="106"/>
    <cellStyle name="Accent4 3" xfId="107"/>
    <cellStyle name="Accent4 4" xfId="108"/>
    <cellStyle name="Accent4 5" xfId="109"/>
    <cellStyle name="Accent4 6" xfId="110"/>
    <cellStyle name="Accent5 2" xfId="111"/>
    <cellStyle name="Accent5 3" xfId="112"/>
    <cellStyle name="Accent5 4" xfId="113"/>
    <cellStyle name="Accent5 5" xfId="114"/>
    <cellStyle name="Accent5 6" xfId="115"/>
    <cellStyle name="Accent6 2" xfId="116"/>
    <cellStyle name="Accent6 3" xfId="117"/>
    <cellStyle name="Accent6 4" xfId="118"/>
    <cellStyle name="Accent6 5" xfId="119"/>
    <cellStyle name="Accent6 6" xfId="120"/>
    <cellStyle name="Bad 2" xfId="121"/>
    <cellStyle name="Bad 3" xfId="122"/>
    <cellStyle name="Bad 4" xfId="123"/>
    <cellStyle name="Bad 5" xfId="124"/>
    <cellStyle name="Bad 6" xfId="125"/>
    <cellStyle name="Calculation 2" xfId="126"/>
    <cellStyle name="Calculation 3" xfId="127"/>
    <cellStyle name="Calculation 4" xfId="128"/>
    <cellStyle name="Calculation 5" xfId="129"/>
    <cellStyle name="Calculation 6" xfId="130"/>
    <cellStyle name="Check Cell 2" xfId="131"/>
    <cellStyle name="Check Cell 3" xfId="132"/>
    <cellStyle name="Check Cell 4" xfId="133"/>
    <cellStyle name="Check Cell 5" xfId="134"/>
    <cellStyle name="Check Cell 6" xfId="135"/>
    <cellStyle name="Comma" xfId="136" builtinId="3"/>
    <cellStyle name="Comma 2" xfId="137"/>
    <cellStyle name="Comma 2 2" xfId="234"/>
    <cellStyle name="Comma 2 3" xfId="265"/>
    <cellStyle name="Comma 2 4" xfId="270"/>
    <cellStyle name="Comma 2 5" xfId="313"/>
    <cellStyle name="Comma 2 6" xfId="311"/>
    <cellStyle name="Comma 2 7" xfId="312"/>
    <cellStyle name="Comma 2 8" xfId="280"/>
    <cellStyle name="Comma 2 9" xfId="347"/>
    <cellStyle name="Explanatory Text 2" xfId="138"/>
    <cellStyle name="Explanatory Text 3" xfId="139"/>
    <cellStyle name="Explanatory Text 4" xfId="140"/>
    <cellStyle name="Explanatory Text 5" xfId="141"/>
    <cellStyle name="Explanatory Text 6" xfId="142"/>
    <cellStyle name="Followed Hyperlink 2" xfId="143"/>
    <cellStyle name="Followed Hyperlink 3" xfId="144"/>
    <cellStyle name="Followed Hyperlink 4" xfId="145"/>
    <cellStyle name="Followed Hyperlink 5" xfId="146"/>
    <cellStyle name="Followed Hyperlink 6" xfId="147"/>
    <cellStyle name="Good 2" xfId="148"/>
    <cellStyle name="Good 3" xfId="149"/>
    <cellStyle name="Good 4" xfId="150"/>
    <cellStyle name="Good 5" xfId="151"/>
    <cellStyle name="Good 6" xfId="152"/>
    <cellStyle name="Heading 1 2" xfId="153"/>
    <cellStyle name="Heading 1 3" xfId="154"/>
    <cellStyle name="Heading 1 4" xfId="155"/>
    <cellStyle name="Heading 1 5" xfId="156"/>
    <cellStyle name="Heading 1 6" xfId="157"/>
    <cellStyle name="Heading 2 2" xfId="158"/>
    <cellStyle name="Heading 2 3" xfId="159"/>
    <cellStyle name="Heading 2 4" xfId="160"/>
    <cellStyle name="Heading 2 5" xfId="161"/>
    <cellStyle name="Heading 2 6" xfId="162"/>
    <cellStyle name="Heading 3 2" xfId="163"/>
    <cellStyle name="Heading 3 3" xfId="164"/>
    <cellStyle name="Heading 3 4" xfId="165"/>
    <cellStyle name="Heading 3 5" xfId="166"/>
    <cellStyle name="Heading 3 6" xfId="167"/>
    <cellStyle name="Heading 4 2" xfId="168"/>
    <cellStyle name="Heading 4 3" xfId="169"/>
    <cellStyle name="Heading 4 4" xfId="170"/>
    <cellStyle name="Heading 4 5" xfId="171"/>
    <cellStyle name="Heading 4 6" xfId="172"/>
    <cellStyle name="Hyperlink" xfId="173" builtinId="8"/>
    <cellStyle name="Hyperlink 2" xfId="174"/>
    <cellStyle name="Hyperlink 3" xfId="175"/>
    <cellStyle name="Hyperlink 4" xfId="176"/>
    <cellStyle name="Hyperlink 5" xfId="177"/>
    <cellStyle name="Hyperlink 6" xfId="178"/>
    <cellStyle name="Input 2" xfId="179"/>
    <cellStyle name="Input 3" xfId="180"/>
    <cellStyle name="Input 4" xfId="181"/>
    <cellStyle name="Input 5" xfId="182"/>
    <cellStyle name="Input 6" xfId="183"/>
    <cellStyle name="Linked Cell 2" xfId="184"/>
    <cellStyle name="Linked Cell 3" xfId="185"/>
    <cellStyle name="Linked Cell 4" xfId="186"/>
    <cellStyle name="Linked Cell 5" xfId="187"/>
    <cellStyle name="Linked Cell 6" xfId="188"/>
    <cellStyle name="Millares 10" xfId="249"/>
    <cellStyle name="Millares 8" xfId="252"/>
    <cellStyle name="Millares 9" xfId="250"/>
    <cellStyle name="Neutral 2" xfId="189"/>
    <cellStyle name="Neutral 3" xfId="190"/>
    <cellStyle name="Neutral 4" xfId="191"/>
    <cellStyle name="Neutral 5" xfId="192"/>
    <cellStyle name="Neutral 6" xfId="193"/>
    <cellStyle name="Normal" xfId="0" builtinId="0"/>
    <cellStyle name="Normal 10" xfId="194"/>
    <cellStyle name="Normal 10 2" xfId="235"/>
    <cellStyle name="Normal 10 2 2" xfId="358"/>
    <cellStyle name="Normal 10 2 3" xfId="279"/>
    <cellStyle name="Normal 10 2 4" xfId="348"/>
    <cellStyle name="Normal 10 2 5" xfId="289"/>
    <cellStyle name="Normal 10 2 6" xfId="339"/>
    <cellStyle name="Normal 10 3" xfId="325"/>
    <cellStyle name="Normal 10 4" xfId="305"/>
    <cellStyle name="Normal 10 5" xfId="319"/>
    <cellStyle name="Normal 10 6" xfId="310"/>
    <cellStyle name="Normal 10 7" xfId="314"/>
    <cellStyle name="Normal 11" xfId="261"/>
    <cellStyle name="Normal 12" xfId="264"/>
    <cellStyle name="Normal 13" xfId="195"/>
    <cellStyle name="Normal 13 2" xfId="236"/>
    <cellStyle name="Normal 13 3" xfId="326"/>
    <cellStyle name="Normal 13 4" xfId="304"/>
    <cellStyle name="Normal 13 5" xfId="372"/>
    <cellStyle name="Normal 13 6" xfId="309"/>
    <cellStyle name="Normal 13 7" xfId="315"/>
    <cellStyle name="Normal 138" xfId="254"/>
    <cellStyle name="Normal 138 2" xfId="376"/>
    <cellStyle name="Normal 138 3" xfId="394"/>
    <cellStyle name="Normal 138 4" xfId="412"/>
    <cellStyle name="Normal 138 5" xfId="430"/>
    <cellStyle name="Normal 138 6" xfId="442"/>
    <cellStyle name="Normal 139" xfId="255"/>
    <cellStyle name="Normal 139 2" xfId="377"/>
    <cellStyle name="Normal 139 3" xfId="395"/>
    <cellStyle name="Normal 139 4" xfId="413"/>
    <cellStyle name="Normal 139 5" xfId="431"/>
    <cellStyle name="Normal 139 6" xfId="443"/>
    <cellStyle name="Normal 14" xfId="232"/>
    <cellStyle name="Normal 14 2" xfId="247"/>
    <cellStyle name="Normal 14 2 2" xfId="370"/>
    <cellStyle name="Normal 14 2 3" xfId="391"/>
    <cellStyle name="Normal 14 2 4" xfId="409"/>
    <cellStyle name="Normal 14 2 5" xfId="427"/>
    <cellStyle name="Normal 14 2 6" xfId="439"/>
    <cellStyle name="Normal 14 3" xfId="271"/>
    <cellStyle name="Normal 14 4" xfId="356"/>
    <cellStyle name="Normal 14 5" xfId="282"/>
    <cellStyle name="Normal 14 6" xfId="345"/>
    <cellStyle name="Normal 14 7" xfId="291"/>
    <cellStyle name="Normal 14 8" xfId="365"/>
    <cellStyle name="Normal 15" xfId="272"/>
    <cellStyle name="Normal 16" xfId="273"/>
    <cellStyle name="Normal 18" xfId="274"/>
    <cellStyle name="Normal 2" xfId="196"/>
    <cellStyle name="Normal 2 10" xfId="269"/>
    <cellStyle name="Normal 2 11" xfId="327"/>
    <cellStyle name="Normal 2 12" xfId="303"/>
    <cellStyle name="Normal 2 13" xfId="375"/>
    <cellStyle name="Normal 2 14" xfId="308"/>
    <cellStyle name="Normal 2 15" xfId="316"/>
    <cellStyle name="Normal 2 2" xfId="197"/>
    <cellStyle name="Normal 2 2 2" xfId="237"/>
    <cellStyle name="Normal 2 2 2 2" xfId="360"/>
    <cellStyle name="Normal 2 2 2 3" xfId="277"/>
    <cellStyle name="Normal 2 2 2 4" xfId="350"/>
    <cellStyle name="Normal 2 2 2 5" xfId="288"/>
    <cellStyle name="Normal 2 2 2 6" xfId="340"/>
    <cellStyle name="Normal 2 2 3" xfId="328"/>
    <cellStyle name="Normal 2 2 4" xfId="302"/>
    <cellStyle name="Normal 2 2 5" xfId="373"/>
    <cellStyle name="Normal 2 2 6" xfId="307"/>
    <cellStyle name="Normal 2 2 7" xfId="317"/>
    <cellStyle name="Normal 2 3" xfId="233"/>
    <cellStyle name="Normal 2 3 2" xfId="257"/>
    <cellStyle name="Normal 2 3 3" xfId="357"/>
    <cellStyle name="Normal 2 3 4" xfId="281"/>
    <cellStyle name="Normal 2 3 5" xfId="346"/>
    <cellStyle name="Normal 2 3 6" xfId="290"/>
    <cellStyle name="Normal 2 3 7" xfId="338"/>
    <cellStyle name="Normal 2 4" xfId="260"/>
    <cellStyle name="Normal 2 5" xfId="263"/>
    <cellStyle name="Normal 2 6" xfId="266"/>
    <cellStyle name="Normal 2 6 2" xfId="382"/>
    <cellStyle name="Normal 2 6 3" xfId="400"/>
    <cellStyle name="Normal 2 6 4" xfId="418"/>
    <cellStyle name="Normal 2 6 5" xfId="434"/>
    <cellStyle name="Normal 2 6 6" xfId="446"/>
    <cellStyle name="Normal 2 7" xfId="275"/>
    <cellStyle name="Normal 2 8" xfId="267"/>
    <cellStyle name="Normal 2 9" xfId="268"/>
    <cellStyle name="Normal 20" xfId="198"/>
    <cellStyle name="Normal 20 2" xfId="238"/>
    <cellStyle name="Normal 20 2 2" xfId="361"/>
    <cellStyle name="Normal 20 2 3" xfId="383"/>
    <cellStyle name="Normal 20 2 4" xfId="351"/>
    <cellStyle name="Normal 20 2 5" xfId="287"/>
    <cellStyle name="Normal 20 2 6" xfId="341"/>
    <cellStyle name="Normal 20 3" xfId="329"/>
    <cellStyle name="Normal 20 4" xfId="301"/>
    <cellStyle name="Normal 20 5" xfId="320"/>
    <cellStyle name="Normal 20 6" xfId="306"/>
    <cellStyle name="Normal 20 7" xfId="318"/>
    <cellStyle name="Normal 3" xfId="292"/>
    <cellStyle name="Normal 3 2" xfId="199"/>
    <cellStyle name="Normal 3 2 2" xfId="239"/>
    <cellStyle name="Normal 3 2 2 2" xfId="362"/>
    <cellStyle name="Normal 3 2 2 3" xfId="384"/>
    <cellStyle name="Normal 3 2 2 4" xfId="352"/>
    <cellStyle name="Normal 3 2 2 5" xfId="286"/>
    <cellStyle name="Normal 3 2 2 6" xfId="342"/>
    <cellStyle name="Normal 3 2 3" xfId="330"/>
    <cellStyle name="Normal 3 2 4" xfId="300"/>
    <cellStyle name="Normal 3 2 5" xfId="321"/>
    <cellStyle name="Normal 3 2 6" xfId="355"/>
    <cellStyle name="Normal 3 2 7" xfId="283"/>
    <cellStyle name="Normal 3 3" xfId="248"/>
    <cellStyle name="Normal 3 3 2" xfId="371"/>
    <cellStyle name="Normal 3 3 3" xfId="392"/>
    <cellStyle name="Normal 3 3 4" xfId="410"/>
    <cellStyle name="Normal 3 3 5" xfId="428"/>
    <cellStyle name="Normal 3 3 6" xfId="440"/>
    <cellStyle name="Normal 3 4" xfId="259"/>
    <cellStyle name="Normal 3 4 2" xfId="378"/>
    <cellStyle name="Normal 3 4 3" xfId="396"/>
    <cellStyle name="Normal 3 4 4" xfId="414"/>
    <cellStyle name="Normal 3 4 5" xfId="432"/>
    <cellStyle name="Normal 3 4 6" xfId="444"/>
    <cellStyle name="Normal 3 5" xfId="262"/>
    <cellStyle name="Normal 3 5 2" xfId="380"/>
    <cellStyle name="Normal 3 5 3" xfId="398"/>
    <cellStyle name="Normal 3 5 4" xfId="416"/>
    <cellStyle name="Normal 3 5 5" xfId="433"/>
    <cellStyle name="Normal 3 5 6" xfId="445"/>
    <cellStyle name="Normal 4" xfId="251"/>
    <cellStyle name="Normal 4 2" xfId="200"/>
    <cellStyle name="Normal 4 2 2" xfId="240"/>
    <cellStyle name="Normal 4 2 2 2" xfId="363"/>
    <cellStyle name="Normal 4 2 2 3" xfId="385"/>
    <cellStyle name="Normal 4 2 2 4" xfId="353"/>
    <cellStyle name="Normal 4 2 2 5" xfId="285"/>
    <cellStyle name="Normal 4 2 2 6" xfId="343"/>
    <cellStyle name="Normal 4 2 3" xfId="331"/>
    <cellStyle name="Normal 4 2 4" xfId="299"/>
    <cellStyle name="Normal 4 2 5" xfId="322"/>
    <cellStyle name="Normal 4 2 6" xfId="397"/>
    <cellStyle name="Normal 4 2 7" xfId="415"/>
    <cellStyle name="Normal 4 3" xfId="374"/>
    <cellStyle name="Normal 4 4" xfId="393"/>
    <cellStyle name="Normal 4 5" xfId="411"/>
    <cellStyle name="Normal 4 6" xfId="429"/>
    <cellStyle name="Normal 4 7" xfId="441"/>
    <cellStyle name="Normal 5" xfId="258"/>
    <cellStyle name="Normal 5 2" xfId="201"/>
    <cellStyle name="Normal 5 2 2" xfId="241"/>
    <cellStyle name="Normal 5 2 2 2" xfId="364"/>
    <cellStyle name="Normal 5 2 2 3" xfId="386"/>
    <cellStyle name="Normal 5 2 2 4" xfId="354"/>
    <cellStyle name="Normal 5 2 2 5" xfId="284"/>
    <cellStyle name="Normal 5 2 2 6" xfId="344"/>
    <cellStyle name="Normal 5 2 3" xfId="332"/>
    <cellStyle name="Normal 5 2 4" xfId="298"/>
    <cellStyle name="Normal 5 2 5" xfId="323"/>
    <cellStyle name="Normal 5 2 6" xfId="399"/>
    <cellStyle name="Normal 5 2 7" xfId="417"/>
    <cellStyle name="Normal 51" xfId="256"/>
    <cellStyle name="Normal 55" xfId="253"/>
    <cellStyle name="Normal 6" xfId="202"/>
    <cellStyle name="Normal 6 2" xfId="203"/>
    <cellStyle name="Normal 6 2 2" xfId="243"/>
    <cellStyle name="Normal 6 2 2 2" xfId="366"/>
    <cellStyle name="Normal 6 2 2 3" xfId="387"/>
    <cellStyle name="Normal 6 2 2 4" xfId="405"/>
    <cellStyle name="Normal 6 2 2 5" xfId="423"/>
    <cellStyle name="Normal 6 2 2 6" xfId="435"/>
    <cellStyle name="Normal 6 2 3" xfId="334"/>
    <cellStyle name="Normal 6 2 4" xfId="296"/>
    <cellStyle name="Normal 6 2 5" xfId="276"/>
    <cellStyle name="Normal 6 2 6" xfId="401"/>
    <cellStyle name="Normal 6 2 7" xfId="419"/>
    <cellStyle name="Normal 6 3" xfId="242"/>
    <cellStyle name="Normal 6 4" xfId="333"/>
    <cellStyle name="Normal 6 5" xfId="297"/>
    <cellStyle name="Normal 6 6" xfId="324"/>
    <cellStyle name="Normal 6 7" xfId="278"/>
    <cellStyle name="Normal 6 8" xfId="349"/>
    <cellStyle name="Normal 7" xfId="204"/>
    <cellStyle name="Normal 7 2" xfId="244"/>
    <cellStyle name="Normal 7 2 2" xfId="367"/>
    <cellStyle name="Normal 7 2 3" xfId="388"/>
    <cellStyle name="Normal 7 2 4" xfId="406"/>
    <cellStyle name="Normal 7 2 5" xfId="424"/>
    <cellStyle name="Normal 7 2 6" xfId="436"/>
    <cellStyle name="Normal 7 3" xfId="335"/>
    <cellStyle name="Normal 7 4" xfId="295"/>
    <cellStyle name="Normal 7 5" xfId="379"/>
    <cellStyle name="Normal 7 6" xfId="402"/>
    <cellStyle name="Normal 7 7" xfId="420"/>
    <cellStyle name="Normal 8" xfId="205"/>
    <cellStyle name="Normal 8 2" xfId="245"/>
    <cellStyle name="Normal 8 2 2" xfId="368"/>
    <cellStyle name="Normal 8 2 3" xfId="389"/>
    <cellStyle name="Normal 8 2 4" xfId="407"/>
    <cellStyle name="Normal 8 2 5" xfId="425"/>
    <cellStyle name="Normal 8 2 6" xfId="437"/>
    <cellStyle name="Normal 8 3" xfId="336"/>
    <cellStyle name="Normal 8 4" xfId="294"/>
    <cellStyle name="Normal 8 5" xfId="381"/>
    <cellStyle name="Normal 8 6" xfId="403"/>
    <cellStyle name="Normal 8 7" xfId="421"/>
    <cellStyle name="Normal 9" xfId="206"/>
    <cellStyle name="Normal 9 2" xfId="246"/>
    <cellStyle name="Normal 9 2 2" xfId="369"/>
    <cellStyle name="Normal 9 2 3" xfId="390"/>
    <cellStyle name="Normal 9 2 4" xfId="408"/>
    <cellStyle name="Normal 9 2 5" xfId="426"/>
    <cellStyle name="Normal 9 2 6" xfId="438"/>
    <cellStyle name="Normal 9 3" xfId="337"/>
    <cellStyle name="Normal 9 4" xfId="293"/>
    <cellStyle name="Normal 9 5" xfId="359"/>
    <cellStyle name="Normal 9 6" xfId="404"/>
    <cellStyle name="Normal 9 7" xfId="422"/>
    <cellStyle name="Note 2" xfId="207"/>
    <cellStyle name="Note 3" xfId="208"/>
    <cellStyle name="Note 4" xfId="209"/>
    <cellStyle name="Note 5" xfId="210"/>
    <cellStyle name="Note 6" xfId="211"/>
    <cellStyle name="Output 2" xfId="212"/>
    <cellStyle name="Output 3" xfId="213"/>
    <cellStyle name="Output 4" xfId="214"/>
    <cellStyle name="Output 5" xfId="215"/>
    <cellStyle name="Output 6" xfId="216"/>
    <cellStyle name="Title 2" xfId="217"/>
    <cellStyle name="Title 3" xfId="218"/>
    <cellStyle name="Title 4" xfId="219"/>
    <cellStyle name="Title 5" xfId="220"/>
    <cellStyle name="Title 6" xfId="221"/>
    <cellStyle name="Total 2" xfId="222"/>
    <cellStyle name="Total 3" xfId="223"/>
    <cellStyle name="Total 4" xfId="224"/>
    <cellStyle name="Total 5" xfId="225"/>
    <cellStyle name="Total 6" xfId="226"/>
    <cellStyle name="Warning Text 2" xfId="227"/>
    <cellStyle name="Warning Text 3" xfId="228"/>
    <cellStyle name="Warning Text 4" xfId="229"/>
    <cellStyle name="Warning Text 5" xfId="230"/>
    <cellStyle name="Warning Text 6" xfId="231"/>
  </cellStyles>
  <dxfs count="22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emf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639126</xdr:colOff>
      <xdr:row>53</xdr:row>
      <xdr:rowOff>59532</xdr:rowOff>
    </xdr:from>
    <xdr:to>
      <xdr:col>7</xdr:col>
      <xdr:colOff>369094</xdr:colOff>
      <xdr:row>61</xdr:row>
      <xdr:rowOff>142875</xdr:rowOff>
    </xdr:to>
    <xdr:pic>
      <xdr:nvPicPr>
        <xdr:cNvPr id="4" name="Picture 1562">
          <a:extLst>
            <a:ext uri="{FF2B5EF4-FFF2-40B4-BE49-F238E27FC236}">
              <a16:creationId xmlns:a16="http://schemas.microsoft.com/office/drawing/2014/main" xmlns="" id="{00000000-0008-0000-0000-0000022D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36970" y="14311313"/>
          <a:ext cx="1515905" cy="17383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367393</xdr:colOff>
      <xdr:row>4</xdr:row>
      <xdr:rowOff>204106</xdr:rowOff>
    </xdr:from>
    <xdr:to>
      <xdr:col>9</xdr:col>
      <xdr:colOff>716643</xdr:colOff>
      <xdr:row>31</xdr:row>
      <xdr:rowOff>21167</xdr:rowOff>
    </xdr:to>
    <xdr:grpSp>
      <xdr:nvGrpSpPr>
        <xdr:cNvPr id="1339" name="docshapegroup1"/>
        <xdr:cNvGrpSpPr>
          <a:grpSpLocks/>
        </xdr:cNvGrpSpPr>
      </xdr:nvGrpSpPr>
      <xdr:grpSpPr bwMode="auto">
        <a:xfrm>
          <a:off x="872218" y="851806"/>
          <a:ext cx="4826000" cy="6903661"/>
          <a:chOff x="0" y="0"/>
          <a:chExt cx="10944" cy="14040"/>
        </a:xfrm>
      </xdr:grpSpPr>
      <xdr:pic>
        <xdr:nvPicPr>
          <xdr:cNvPr id="1340" name="docshape2"/>
          <xdr:cNvPicPr>
            <a:picLocks noChangeAspect="1" noChangeArrowheads="1"/>
          </xdr:cNvPicPr>
        </xdr:nvPicPr>
        <xdr:blipFill>
          <a:blip xmlns:r="http://schemas.openxmlformats.org/officeDocument/2006/relationships" r:embed="rId2"/>
          <a:srcRect/>
          <a:stretch>
            <a:fillRect/>
          </a:stretch>
        </xdr:blipFill>
        <xdr:spPr bwMode="auto">
          <a:xfrm>
            <a:off x="0" y="0"/>
            <a:ext cx="10944" cy="140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341" name="docshape3"/>
          <xdr:cNvPicPr>
            <a:picLocks noChangeAspect="1" noChangeArrowheads="1"/>
          </xdr:cNvPicPr>
        </xdr:nvPicPr>
        <xdr:blipFill>
          <a:blip xmlns:r="http://schemas.openxmlformats.org/officeDocument/2006/relationships" r:embed="rId3"/>
          <a:srcRect/>
          <a:stretch>
            <a:fillRect/>
          </a:stretch>
        </xdr:blipFill>
        <xdr:spPr bwMode="auto">
          <a:xfrm>
            <a:off x="3458" y="12621"/>
            <a:ext cx="3001" cy="4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342" name="docshape4"/>
          <xdr:cNvPicPr>
            <a:picLocks noChangeAspect="1" noChangeArrowheads="1"/>
          </xdr:cNvPicPr>
        </xdr:nvPicPr>
        <xdr:blipFill>
          <a:blip xmlns:r="http://schemas.openxmlformats.org/officeDocument/2006/relationships" r:embed="rId4"/>
          <a:srcRect/>
          <a:stretch>
            <a:fillRect/>
          </a:stretch>
        </xdr:blipFill>
        <xdr:spPr bwMode="auto">
          <a:xfrm>
            <a:off x="6640" y="12621"/>
            <a:ext cx="377" cy="3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343" name="docshape5"/>
          <xdr:cNvPicPr>
            <a:picLocks noChangeAspect="1" noChangeArrowheads="1"/>
          </xdr:cNvPicPr>
        </xdr:nvPicPr>
        <xdr:blipFill>
          <a:blip xmlns:r="http://schemas.openxmlformats.org/officeDocument/2006/relationships" r:embed="rId5"/>
          <a:srcRect/>
          <a:stretch>
            <a:fillRect/>
          </a:stretch>
        </xdr:blipFill>
        <xdr:spPr bwMode="auto">
          <a:xfrm>
            <a:off x="7065" y="12726"/>
            <a:ext cx="269" cy="26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112" name="docshape6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/>
          <a:srcRect/>
          <a:stretch>
            <a:fillRect/>
          </a:stretch>
        </xdr:blipFill>
        <xdr:spPr bwMode="auto">
          <a:xfrm>
            <a:off x="7363" y="12726"/>
            <a:ext cx="304" cy="25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113" name="docshape7"/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7704" y="12621"/>
            <a:ext cx="326" cy="3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114" name="docshape8"/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/>
          <a:srcRect/>
          <a:stretch>
            <a:fillRect/>
          </a:stretch>
        </xdr:blipFill>
        <xdr:spPr bwMode="auto">
          <a:xfrm>
            <a:off x="4923" y="10825"/>
            <a:ext cx="1642" cy="1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115" name="docshape9"/>
          <xdr:cNvPicPr>
            <a:picLocks noChangeAspect="1" noChangeArrowheads="1"/>
          </xdr:cNvPicPr>
        </xdr:nvPicPr>
        <xdr:blipFill>
          <a:blip xmlns:r="http://schemas.openxmlformats.org/officeDocument/2006/relationships" r:embed="rId9" cstate="print"/>
          <a:srcRect/>
          <a:stretch>
            <a:fillRect/>
          </a:stretch>
        </xdr:blipFill>
        <xdr:spPr bwMode="auto">
          <a:xfrm>
            <a:off x="2362" y="1792"/>
            <a:ext cx="3687" cy="5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116" name="docshape10"/>
          <xdr:cNvPicPr>
            <a:picLocks noChangeAspect="1" noChangeArrowheads="1"/>
          </xdr:cNvPicPr>
        </xdr:nvPicPr>
        <xdr:blipFill>
          <a:blip xmlns:r="http://schemas.openxmlformats.org/officeDocument/2006/relationships" r:embed="rId10" cstate="print"/>
          <a:srcRect/>
          <a:stretch>
            <a:fillRect/>
          </a:stretch>
        </xdr:blipFill>
        <xdr:spPr bwMode="auto">
          <a:xfrm>
            <a:off x="6133" y="1792"/>
            <a:ext cx="2837" cy="60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2117" name="docshape11"/>
          <xdr:cNvSpPr>
            <a:spLocks/>
          </xdr:cNvSpPr>
        </xdr:nvSpPr>
        <xdr:spPr bwMode="auto">
          <a:xfrm>
            <a:off x="4381" y="1146"/>
            <a:ext cx="457" cy="357"/>
          </a:xfrm>
          <a:custGeom>
            <a:avLst/>
            <a:gdLst/>
            <a:ahLst/>
            <a:cxnLst>
              <a:cxn ang="0">
                <a:pos x="456" y="0"/>
              </a:cxn>
              <a:cxn ang="0">
                <a:pos x="312" y="0"/>
              </a:cxn>
              <a:cxn ang="0">
                <a:pos x="228" y="243"/>
              </a:cxn>
              <a:cxn ang="0">
                <a:pos x="143" y="0"/>
              </a:cxn>
              <a:cxn ang="0">
                <a:pos x="0" y="0"/>
              </a:cxn>
              <a:cxn ang="0">
                <a:pos x="0" y="356"/>
              </a:cxn>
              <a:cxn ang="0">
                <a:pos x="88" y="356"/>
              </a:cxn>
              <a:cxn ang="0">
                <a:pos x="89" y="75"/>
              </a:cxn>
              <a:cxn ang="0">
                <a:pos x="182" y="356"/>
              </a:cxn>
              <a:cxn ang="0">
                <a:pos x="274" y="356"/>
              </a:cxn>
              <a:cxn ang="0">
                <a:pos x="367" y="75"/>
              </a:cxn>
              <a:cxn ang="0">
                <a:pos x="368" y="356"/>
              </a:cxn>
              <a:cxn ang="0">
                <a:pos x="456" y="356"/>
              </a:cxn>
              <a:cxn ang="0">
                <a:pos x="456" y="0"/>
              </a:cxn>
            </a:cxnLst>
            <a:rect l="0" t="0" r="r" b="b"/>
            <a:pathLst>
              <a:path w="457" h="357">
                <a:moveTo>
                  <a:pt x="456" y="0"/>
                </a:moveTo>
                <a:lnTo>
                  <a:pt x="312" y="0"/>
                </a:lnTo>
                <a:lnTo>
                  <a:pt x="228" y="243"/>
                </a:lnTo>
                <a:lnTo>
                  <a:pt x="143" y="0"/>
                </a:lnTo>
                <a:lnTo>
                  <a:pt x="0" y="0"/>
                </a:lnTo>
                <a:lnTo>
                  <a:pt x="0" y="356"/>
                </a:lnTo>
                <a:lnTo>
                  <a:pt x="88" y="356"/>
                </a:lnTo>
                <a:lnTo>
                  <a:pt x="89" y="75"/>
                </a:lnTo>
                <a:lnTo>
                  <a:pt x="182" y="356"/>
                </a:lnTo>
                <a:lnTo>
                  <a:pt x="274" y="356"/>
                </a:lnTo>
                <a:lnTo>
                  <a:pt x="367" y="75"/>
                </a:lnTo>
                <a:lnTo>
                  <a:pt x="368" y="356"/>
                </a:lnTo>
                <a:lnTo>
                  <a:pt x="456" y="356"/>
                </a:lnTo>
                <a:lnTo>
                  <a:pt x="456" y="0"/>
                </a:lnTo>
                <a:close/>
              </a:path>
            </a:pathLst>
          </a:custGeom>
          <a:solidFill>
            <a:srgbClr val="FFE22B"/>
          </a:solidFill>
          <a:ln w="9525">
            <a:noFill/>
            <a:round/>
            <a:headEnd/>
            <a:tailEnd/>
          </a:ln>
        </xdr:spPr>
      </xdr:sp>
      <xdr:pic>
        <xdr:nvPicPr>
          <xdr:cNvPr id="2118" name="docshape12"/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/>
          <a:srcRect/>
          <a:stretch>
            <a:fillRect/>
          </a:stretch>
        </xdr:blipFill>
        <xdr:spPr bwMode="auto">
          <a:xfrm>
            <a:off x="4927" y="1239"/>
            <a:ext cx="353" cy="27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119" name="docshape13"/>
          <xdr:cNvPicPr>
            <a:picLocks noChangeAspect="1" noChangeArrowheads="1"/>
          </xdr:cNvPicPr>
        </xdr:nvPicPr>
        <xdr:blipFill>
          <a:blip xmlns:r="http://schemas.openxmlformats.org/officeDocument/2006/relationships" r:embed="rId12"/>
          <a:srcRect/>
          <a:stretch>
            <a:fillRect/>
          </a:stretch>
        </xdr:blipFill>
        <xdr:spPr bwMode="auto">
          <a:xfrm>
            <a:off x="5752" y="1153"/>
            <a:ext cx="202" cy="35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120" name="docshape14"/>
          <xdr:cNvPicPr>
            <a:picLocks noChangeAspect="1" noChangeArrowheads="1"/>
          </xdr:cNvPicPr>
        </xdr:nvPicPr>
        <xdr:blipFill>
          <a:blip xmlns:r="http://schemas.openxmlformats.org/officeDocument/2006/relationships" r:embed="rId13"/>
          <a:srcRect/>
          <a:stretch>
            <a:fillRect/>
          </a:stretch>
        </xdr:blipFill>
        <xdr:spPr bwMode="auto">
          <a:xfrm>
            <a:off x="5368" y="1239"/>
            <a:ext cx="312" cy="2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121" name="docshape15"/>
          <xdr:cNvPicPr>
            <a:picLocks noChangeAspect="1" noChangeArrowheads="1"/>
          </xdr:cNvPicPr>
        </xdr:nvPicPr>
        <xdr:blipFill>
          <a:blip xmlns:r="http://schemas.openxmlformats.org/officeDocument/2006/relationships" r:embed="rId14"/>
          <a:srcRect/>
          <a:stretch>
            <a:fillRect/>
          </a:stretch>
        </xdr:blipFill>
        <xdr:spPr bwMode="auto">
          <a:xfrm>
            <a:off x="6025" y="1146"/>
            <a:ext cx="312" cy="35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088" name="docshape16"/>
          <xdr:cNvSpPr>
            <a:spLocks noChangeArrowheads="1"/>
          </xdr:cNvSpPr>
        </xdr:nvSpPr>
        <xdr:spPr bwMode="auto">
          <a:xfrm>
            <a:off x="6447" y="1146"/>
            <a:ext cx="91" cy="357"/>
          </a:xfrm>
          <a:prstGeom prst="rect">
            <a:avLst/>
          </a:prstGeom>
          <a:solidFill>
            <a:srgbClr val="FFE22B"/>
          </a:solidFill>
          <a:ln w="9525">
            <a:noFill/>
            <a:miter lim="800000"/>
            <a:headEnd/>
            <a:tailEnd/>
          </a:ln>
        </xdr:spPr>
      </xdr:sp>
      <xdr:pic>
        <xdr:nvPicPr>
          <xdr:cNvPr id="1089" name="docshape17"/>
          <xdr:cNvPicPr>
            <a:picLocks noChangeAspect="1" noChangeArrowheads="1"/>
          </xdr:cNvPicPr>
        </xdr:nvPicPr>
        <xdr:blipFill>
          <a:blip xmlns:r="http://schemas.openxmlformats.org/officeDocument/2006/relationships" r:embed="rId15"/>
          <a:srcRect/>
          <a:stretch>
            <a:fillRect/>
          </a:stretch>
        </xdr:blipFill>
        <xdr:spPr bwMode="auto">
          <a:xfrm>
            <a:off x="6604" y="1244"/>
            <a:ext cx="353" cy="3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094" name="docshape22"/>
          <xdr:cNvSpPr>
            <a:spLocks/>
          </xdr:cNvSpPr>
        </xdr:nvSpPr>
        <xdr:spPr bwMode="auto">
          <a:xfrm>
            <a:off x="351" y="5334"/>
            <a:ext cx="34" cy="39"/>
          </a:xfrm>
          <a:custGeom>
            <a:avLst/>
            <a:gdLst/>
            <a:ahLst/>
            <a:cxnLst>
              <a:cxn ang="0">
                <a:pos x="26" y="0"/>
              </a:cxn>
              <a:cxn ang="0">
                <a:pos x="7" y="0"/>
              </a:cxn>
              <a:cxn ang="0">
                <a:pos x="0" y="7"/>
              </a:cxn>
              <a:cxn ang="0">
                <a:pos x="0" y="31"/>
              </a:cxn>
              <a:cxn ang="0">
                <a:pos x="7" y="38"/>
              </a:cxn>
              <a:cxn ang="0">
                <a:pos x="16" y="38"/>
              </a:cxn>
              <a:cxn ang="0">
                <a:pos x="26" y="38"/>
              </a:cxn>
              <a:cxn ang="0">
                <a:pos x="33" y="31"/>
              </a:cxn>
              <a:cxn ang="0">
                <a:pos x="33" y="19"/>
              </a:cxn>
              <a:cxn ang="0">
                <a:pos x="33" y="8"/>
              </a:cxn>
              <a:cxn ang="0">
                <a:pos x="26" y="0"/>
              </a:cxn>
            </a:cxnLst>
            <a:rect l="0" t="0" r="r" b="b"/>
            <a:pathLst>
              <a:path w="34" h="39">
                <a:moveTo>
                  <a:pt x="26" y="0"/>
                </a:moveTo>
                <a:lnTo>
                  <a:pt x="7" y="0"/>
                </a:lnTo>
                <a:lnTo>
                  <a:pt x="0" y="7"/>
                </a:lnTo>
                <a:lnTo>
                  <a:pt x="0" y="31"/>
                </a:lnTo>
                <a:lnTo>
                  <a:pt x="7" y="38"/>
                </a:lnTo>
                <a:lnTo>
                  <a:pt x="16" y="38"/>
                </a:lnTo>
                <a:lnTo>
                  <a:pt x="26" y="38"/>
                </a:lnTo>
                <a:lnTo>
                  <a:pt x="33" y="31"/>
                </a:lnTo>
                <a:lnTo>
                  <a:pt x="33" y="19"/>
                </a:lnTo>
                <a:lnTo>
                  <a:pt x="33" y="8"/>
                </a:lnTo>
                <a:lnTo>
                  <a:pt x="26" y="0"/>
                </a:lnTo>
                <a:close/>
              </a:path>
            </a:pathLst>
          </a:custGeom>
          <a:solidFill>
            <a:srgbClr val="0070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115" name="docshape43"/>
          <xdr:cNvSpPr>
            <a:spLocks noChangeArrowheads="1"/>
          </xdr:cNvSpPr>
        </xdr:nvSpPr>
        <xdr:spPr bwMode="auto">
          <a:xfrm>
            <a:off x="160" y="10698"/>
            <a:ext cx="27" cy="30"/>
          </a:xfrm>
          <a:prstGeom prst="rect">
            <a:avLst/>
          </a:prstGeom>
          <a:solidFill>
            <a:srgbClr val="007091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printerSettings" Target="../printerSettings/printerSettings3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6.bin"/><Relationship Id="rId1" Type="http://schemas.openxmlformats.org/officeDocument/2006/relationships/printerSettings" Target="../printerSettings/printerSettings45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8.bin"/><Relationship Id="rId1" Type="http://schemas.openxmlformats.org/officeDocument/2006/relationships/printerSettings" Target="../printerSettings/printerSettings47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2.bin"/><Relationship Id="rId1" Type="http://schemas.openxmlformats.org/officeDocument/2006/relationships/printerSettings" Target="../printerSettings/printerSettings51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6.bin"/><Relationship Id="rId1" Type="http://schemas.openxmlformats.org/officeDocument/2006/relationships/printerSettings" Target="../printerSettings/printerSettings55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8.bin"/><Relationship Id="rId1" Type="http://schemas.openxmlformats.org/officeDocument/2006/relationships/printerSettings" Target="../printerSettings/printerSettings57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0.bin"/><Relationship Id="rId1" Type="http://schemas.openxmlformats.org/officeDocument/2006/relationships/printerSettings" Target="../printerSettings/printerSettings59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2.bin"/><Relationship Id="rId1" Type="http://schemas.openxmlformats.org/officeDocument/2006/relationships/printerSettings" Target="../printerSettings/printerSettings6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4.bin"/><Relationship Id="rId1" Type="http://schemas.openxmlformats.org/officeDocument/2006/relationships/printerSettings" Target="../printerSettings/printerSettings6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6.bin"/><Relationship Id="rId1" Type="http://schemas.openxmlformats.org/officeDocument/2006/relationships/printerSettings" Target="../printerSettings/printerSettings65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8.bin"/><Relationship Id="rId1" Type="http://schemas.openxmlformats.org/officeDocument/2006/relationships/printerSettings" Target="../printerSettings/printerSettings67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0.bin"/><Relationship Id="rId1" Type="http://schemas.openxmlformats.org/officeDocument/2006/relationships/printerSettings" Target="../printerSettings/printerSettings69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2.bin"/><Relationship Id="rId1" Type="http://schemas.openxmlformats.org/officeDocument/2006/relationships/printerSettings" Target="../printerSettings/printerSettings71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4.bin"/><Relationship Id="rId1" Type="http://schemas.openxmlformats.org/officeDocument/2006/relationships/printerSettings" Target="../printerSettings/printerSettings73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6.bin"/><Relationship Id="rId1" Type="http://schemas.openxmlformats.org/officeDocument/2006/relationships/printerSettings" Target="../printerSettings/printerSettings75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8.bin"/><Relationship Id="rId1" Type="http://schemas.openxmlformats.org/officeDocument/2006/relationships/printerSettings" Target="../printerSettings/printerSettings77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0.bin"/><Relationship Id="rId1" Type="http://schemas.openxmlformats.org/officeDocument/2006/relationships/printerSettings" Target="../printerSettings/printerSettings79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2.bin"/><Relationship Id="rId1" Type="http://schemas.openxmlformats.org/officeDocument/2006/relationships/printerSettings" Target="../printerSettings/printerSettings8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4.bin"/><Relationship Id="rId1" Type="http://schemas.openxmlformats.org/officeDocument/2006/relationships/printerSettings" Target="../printerSettings/printerSettings8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6.bin"/><Relationship Id="rId1" Type="http://schemas.openxmlformats.org/officeDocument/2006/relationships/printerSettings" Target="../printerSettings/printerSettings85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8.bin"/><Relationship Id="rId1" Type="http://schemas.openxmlformats.org/officeDocument/2006/relationships/printerSettings" Target="../printerSettings/printerSettings8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CR627"/>
  <sheetViews>
    <sheetView showGridLines="0" topLeftCell="A67" workbookViewId="0">
      <selection activeCell="W62" sqref="W62"/>
    </sheetView>
  </sheetViews>
  <sheetFormatPr defaultRowHeight="12.75"/>
  <cols>
    <col min="1" max="1" width="4.28515625" style="172" customWidth="1"/>
    <col min="2" max="2" width="3.28515625" style="685" customWidth="1"/>
    <col min="3" max="3" width="6.5703125" customWidth="1"/>
    <col min="4" max="4" width="12.85546875" customWidth="1"/>
    <col min="5" max="5" width="9.5703125" customWidth="1"/>
    <col min="6" max="6" width="7.42578125" customWidth="1"/>
    <col min="7" max="7" width="9.7109375" customWidth="1"/>
    <col min="8" max="8" width="9.42578125" customWidth="1"/>
    <col min="9" max="10" width="11.5703125" customWidth="1"/>
    <col min="11" max="11" width="6.85546875" customWidth="1"/>
    <col min="12" max="12" width="3.5703125" style="181" customWidth="1"/>
    <col min="13" max="13" width="3.140625" style="181" customWidth="1"/>
    <col min="14" max="14" width="7.42578125" style="181" customWidth="1"/>
    <col min="15" max="15" width="8.5703125" style="181" customWidth="1"/>
    <col min="16" max="18" width="9.140625" style="181" customWidth="1"/>
    <col min="19" max="19" width="11" style="181" customWidth="1"/>
    <col min="20" max="20" width="12.5703125" style="181" customWidth="1"/>
    <col min="21" max="96" width="9.140625" style="181" customWidth="1"/>
  </cols>
  <sheetData>
    <row r="1" spans="1:96">
      <c r="B1" s="352"/>
      <c r="C1" s="183"/>
      <c r="D1" s="183"/>
      <c r="E1" s="183"/>
      <c r="F1" s="183"/>
      <c r="G1" s="183"/>
      <c r="H1" s="183"/>
      <c r="I1" s="183"/>
      <c r="J1" s="172"/>
      <c r="K1" s="172"/>
      <c r="L1" s="352"/>
    </row>
    <row r="2" spans="1:96">
      <c r="B2" s="353"/>
      <c r="C2" s="183"/>
      <c r="D2" s="183"/>
      <c r="E2" s="183"/>
      <c r="F2" s="183"/>
      <c r="G2" s="183"/>
      <c r="H2" s="183"/>
      <c r="I2" s="183"/>
      <c r="J2" s="172"/>
      <c r="K2" s="183"/>
    </row>
    <row r="3" spans="1:96">
      <c r="B3" s="353"/>
      <c r="C3" s="183"/>
      <c r="D3" s="183"/>
      <c r="E3" s="183"/>
      <c r="F3" s="183"/>
      <c r="G3" s="183"/>
      <c r="H3" s="183"/>
      <c r="I3" s="183"/>
      <c r="J3" s="172"/>
      <c r="K3" s="183"/>
    </row>
    <row r="4" spans="1:96">
      <c r="B4" s="353"/>
      <c r="C4" s="183"/>
      <c r="D4" s="183"/>
      <c r="E4" s="183"/>
      <c r="F4" s="183"/>
      <c r="G4" s="183"/>
      <c r="H4" s="183"/>
      <c r="I4" s="183"/>
      <c r="J4" s="172"/>
      <c r="K4" s="183"/>
      <c r="M4" s="182"/>
    </row>
    <row r="5" spans="1:96" ht="16.5" customHeight="1" thickBot="1">
      <c r="B5" s="353"/>
      <c r="C5" s="183"/>
      <c r="D5" s="183"/>
      <c r="E5" s="183"/>
      <c r="F5" s="183"/>
      <c r="G5" s="183"/>
      <c r="H5" s="183"/>
      <c r="I5" s="183"/>
      <c r="J5" s="183"/>
      <c r="K5" s="183"/>
    </row>
    <row r="6" spans="1:96" ht="11.25" customHeight="1">
      <c r="B6" s="353"/>
      <c r="C6" s="183"/>
      <c r="D6" s="183"/>
      <c r="F6" s="183"/>
      <c r="G6" s="183"/>
      <c r="H6" s="183"/>
      <c r="I6" s="183"/>
      <c r="J6" s="183"/>
      <c r="K6" s="183"/>
      <c r="M6" s="322"/>
      <c r="N6" s="323"/>
      <c r="O6" s="323"/>
      <c r="P6" s="323"/>
      <c r="Q6" s="323"/>
      <c r="R6" s="323"/>
      <c r="S6" s="323"/>
      <c r="T6" s="324"/>
    </row>
    <row r="7" spans="1:96" s="949" customFormat="1" ht="31.5" customHeight="1">
      <c r="A7" s="172"/>
      <c r="B7" s="353"/>
      <c r="C7" s="183"/>
      <c r="D7" s="183"/>
      <c r="F7" s="183"/>
      <c r="G7" s="183"/>
      <c r="H7" s="183"/>
      <c r="I7" s="183"/>
      <c r="J7" s="183"/>
      <c r="K7" s="183"/>
      <c r="L7" s="181"/>
      <c r="M7" s="325"/>
      <c r="N7" s="182"/>
      <c r="O7" s="182"/>
      <c r="P7" s="182"/>
      <c r="Q7" s="986" t="s">
        <v>2042</v>
      </c>
      <c r="R7" s="182"/>
      <c r="S7" s="182"/>
      <c r="T7" s="326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1"/>
      <c r="AI7" s="181"/>
      <c r="AJ7" s="181"/>
      <c r="AK7" s="181"/>
      <c r="AL7" s="181"/>
      <c r="AM7" s="181"/>
      <c r="AN7" s="181"/>
      <c r="AO7" s="181"/>
      <c r="AP7" s="181"/>
      <c r="AQ7" s="181"/>
      <c r="AR7" s="181"/>
      <c r="AS7" s="181"/>
      <c r="AT7" s="181"/>
      <c r="AU7" s="181"/>
      <c r="AV7" s="181"/>
      <c r="AW7" s="181"/>
      <c r="AX7" s="181"/>
      <c r="AY7" s="181"/>
      <c r="AZ7" s="181"/>
      <c r="BA7" s="181"/>
      <c r="BB7" s="181"/>
      <c r="BC7" s="181"/>
      <c r="BD7" s="181"/>
      <c r="BE7" s="181"/>
      <c r="BF7" s="181"/>
      <c r="BG7" s="181"/>
      <c r="BH7" s="181"/>
      <c r="BI7" s="181"/>
      <c r="BJ7" s="181"/>
      <c r="BK7" s="181"/>
      <c r="BL7" s="181"/>
      <c r="BM7" s="181"/>
      <c r="BN7" s="181"/>
      <c r="BO7" s="181"/>
      <c r="BP7" s="181"/>
      <c r="BQ7" s="181"/>
      <c r="BR7" s="181"/>
      <c r="BS7" s="181"/>
      <c r="BT7" s="181"/>
      <c r="BU7" s="181"/>
      <c r="BV7" s="181"/>
      <c r="BW7" s="181"/>
      <c r="BX7" s="181"/>
      <c r="BY7" s="181"/>
      <c r="BZ7" s="181"/>
      <c r="CA7" s="181"/>
      <c r="CB7" s="181"/>
      <c r="CC7" s="181"/>
      <c r="CD7" s="181"/>
      <c r="CE7" s="181"/>
      <c r="CF7" s="181"/>
      <c r="CG7" s="181"/>
      <c r="CH7" s="181"/>
      <c r="CI7" s="181"/>
      <c r="CJ7" s="181"/>
      <c r="CK7" s="181"/>
      <c r="CL7" s="181"/>
      <c r="CM7" s="181"/>
      <c r="CN7" s="181"/>
      <c r="CO7" s="181"/>
      <c r="CP7" s="181"/>
      <c r="CQ7" s="181"/>
      <c r="CR7" s="181"/>
    </row>
    <row r="8" spans="1:96" s="949" customFormat="1" ht="18" customHeight="1">
      <c r="A8" s="172"/>
      <c r="B8" s="353"/>
      <c r="C8" s="183"/>
      <c r="D8" s="183"/>
      <c r="F8" s="183"/>
      <c r="G8" s="183"/>
      <c r="H8" s="183"/>
      <c r="I8" s="183"/>
      <c r="J8" s="183"/>
      <c r="K8" s="183"/>
      <c r="L8" s="181"/>
      <c r="M8" s="325"/>
      <c r="N8" s="182"/>
      <c r="O8" s="1998" t="s">
        <v>2928</v>
      </c>
      <c r="P8" s="1998"/>
      <c r="Q8" s="1998"/>
      <c r="R8" s="1998"/>
      <c r="S8" s="1998"/>
      <c r="T8" s="326"/>
      <c r="U8" s="181"/>
      <c r="V8" s="181"/>
      <c r="W8" s="181"/>
      <c r="X8" s="181"/>
      <c r="Y8" s="181"/>
      <c r="Z8" s="181"/>
      <c r="AA8" s="181"/>
      <c r="AB8" s="181"/>
      <c r="AC8" s="181"/>
      <c r="AD8" s="181"/>
      <c r="AE8" s="181"/>
      <c r="AF8" s="181"/>
      <c r="AG8" s="181"/>
      <c r="AH8" s="181"/>
      <c r="AI8" s="181"/>
      <c r="AJ8" s="181"/>
      <c r="AK8" s="181"/>
      <c r="AL8" s="181"/>
      <c r="AM8" s="181"/>
      <c r="AN8" s="181"/>
      <c r="AO8" s="181"/>
      <c r="AP8" s="181"/>
      <c r="AQ8" s="181"/>
      <c r="AR8" s="181"/>
      <c r="AS8" s="181"/>
      <c r="AT8" s="181"/>
      <c r="AU8" s="181"/>
      <c r="AV8" s="181"/>
      <c r="AW8" s="181"/>
      <c r="AX8" s="181"/>
      <c r="AY8" s="181"/>
      <c r="AZ8" s="181"/>
      <c r="BA8" s="181"/>
      <c r="BB8" s="181"/>
      <c r="BC8" s="181"/>
      <c r="BD8" s="181"/>
      <c r="BE8" s="181"/>
      <c r="BF8" s="181"/>
      <c r="BG8" s="181"/>
      <c r="BH8" s="181"/>
      <c r="BI8" s="181"/>
      <c r="BJ8" s="181"/>
      <c r="BK8" s="181"/>
      <c r="BL8" s="181"/>
      <c r="BM8" s="181"/>
      <c r="BN8" s="181"/>
      <c r="BO8" s="181"/>
      <c r="BP8" s="181"/>
      <c r="BQ8" s="181"/>
      <c r="BR8" s="181"/>
      <c r="BS8" s="181"/>
      <c r="BT8" s="181"/>
      <c r="BU8" s="181"/>
      <c r="BV8" s="181"/>
      <c r="BW8" s="181"/>
      <c r="BX8" s="181"/>
      <c r="BY8" s="181"/>
      <c r="BZ8" s="181"/>
      <c r="CA8" s="181"/>
      <c r="CB8" s="181"/>
      <c r="CC8" s="181"/>
      <c r="CD8" s="181"/>
      <c r="CE8" s="181"/>
      <c r="CF8" s="181"/>
      <c r="CG8" s="181"/>
      <c r="CH8" s="181"/>
      <c r="CI8" s="181"/>
      <c r="CJ8" s="181"/>
      <c r="CK8" s="181"/>
      <c r="CL8" s="181"/>
      <c r="CM8" s="181"/>
      <c r="CN8" s="181"/>
      <c r="CO8" s="181"/>
      <c r="CP8" s="181"/>
      <c r="CQ8" s="181"/>
      <c r="CR8" s="181"/>
    </row>
    <row r="9" spans="1:96" s="949" customFormat="1" ht="15" customHeight="1">
      <c r="A9" s="172"/>
      <c r="B9" s="353"/>
      <c r="C9" s="183"/>
      <c r="D9" s="183"/>
      <c r="F9" s="183"/>
      <c r="G9" s="183"/>
      <c r="H9" s="183"/>
      <c r="I9" s="183"/>
      <c r="J9" s="183"/>
      <c r="K9" s="183"/>
      <c r="L9" s="181"/>
      <c r="M9" s="325"/>
      <c r="N9" s="182"/>
      <c r="O9" s="987"/>
      <c r="P9" s="988" t="s">
        <v>2043</v>
      </c>
      <c r="Q9" s="989"/>
      <c r="R9" s="989"/>
      <c r="S9" s="989"/>
      <c r="T9" s="326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  <c r="AJ9" s="181"/>
      <c r="AK9" s="181"/>
      <c r="AL9" s="181"/>
      <c r="AM9" s="181"/>
      <c r="AN9" s="181"/>
      <c r="AO9" s="181"/>
      <c r="AP9" s="181"/>
      <c r="AQ9" s="181"/>
      <c r="AR9" s="181"/>
      <c r="AS9" s="181"/>
      <c r="AT9" s="181"/>
      <c r="AU9" s="181"/>
      <c r="AV9" s="181"/>
      <c r="AW9" s="181"/>
      <c r="AX9" s="181"/>
      <c r="AY9" s="181"/>
      <c r="AZ9" s="181"/>
      <c r="BA9" s="181"/>
      <c r="BB9" s="181"/>
      <c r="BC9" s="181"/>
      <c r="BD9" s="181"/>
      <c r="BE9" s="181"/>
      <c r="BF9" s="181"/>
      <c r="BG9" s="181"/>
      <c r="BH9" s="181"/>
      <c r="BI9" s="181"/>
      <c r="BJ9" s="181"/>
      <c r="BK9" s="181"/>
      <c r="BL9" s="181"/>
      <c r="BM9" s="181"/>
      <c r="BN9" s="181"/>
      <c r="BO9" s="181"/>
      <c r="BP9" s="181"/>
      <c r="BQ9" s="181"/>
      <c r="BR9" s="181"/>
      <c r="BS9" s="181"/>
      <c r="BT9" s="181"/>
      <c r="BU9" s="181"/>
      <c r="BV9" s="181"/>
      <c r="BW9" s="181"/>
      <c r="BX9" s="181"/>
      <c r="BY9" s="181"/>
      <c r="BZ9" s="181"/>
      <c r="CA9" s="181"/>
      <c r="CB9" s="181"/>
      <c r="CC9" s="181"/>
      <c r="CD9" s="181"/>
      <c r="CE9" s="181"/>
      <c r="CF9" s="181"/>
      <c r="CG9" s="181"/>
      <c r="CH9" s="181"/>
      <c r="CI9" s="181"/>
      <c r="CJ9" s="181"/>
      <c r="CK9" s="181"/>
      <c r="CL9" s="181"/>
      <c r="CM9" s="181"/>
      <c r="CN9" s="181"/>
      <c r="CO9" s="181"/>
      <c r="CP9" s="181"/>
      <c r="CQ9" s="181"/>
      <c r="CR9" s="181"/>
    </row>
    <row r="10" spans="1:96" ht="15.75">
      <c r="A10" s="173"/>
      <c r="B10" s="353"/>
      <c r="C10" s="173"/>
      <c r="D10" s="314"/>
      <c r="E10" s="173"/>
      <c r="F10" s="173"/>
      <c r="G10" s="173"/>
      <c r="H10" s="183"/>
      <c r="I10" s="173"/>
      <c r="J10" s="173"/>
      <c r="K10" s="173"/>
      <c r="M10" s="325"/>
      <c r="N10" s="591"/>
      <c r="O10" s="591"/>
      <c r="P10" s="591"/>
      <c r="Q10" s="591"/>
      <c r="R10" s="591"/>
      <c r="S10" s="591"/>
      <c r="T10" s="326"/>
    </row>
    <row r="11" spans="1:96" ht="21">
      <c r="A11" s="173"/>
      <c r="B11" s="353"/>
      <c r="C11" s="173"/>
      <c r="D11" s="314"/>
      <c r="E11" s="173"/>
      <c r="F11" s="173"/>
      <c r="G11" s="173"/>
      <c r="H11" s="173"/>
      <c r="I11" s="173"/>
      <c r="J11" s="173"/>
      <c r="K11" s="173"/>
      <c r="M11" s="325"/>
      <c r="N11" s="591"/>
      <c r="O11" s="591"/>
      <c r="P11" s="602"/>
      <c r="Q11" s="603" t="s">
        <v>768</v>
      </c>
      <c r="R11" s="602"/>
      <c r="S11" s="591"/>
      <c r="T11" s="326"/>
    </row>
    <row r="12" spans="1:96" ht="14.25" customHeight="1">
      <c r="A12" s="173"/>
      <c r="B12" s="353"/>
      <c r="C12" s="173"/>
      <c r="D12" s="314"/>
      <c r="E12" s="173"/>
      <c r="F12" s="173"/>
      <c r="G12" s="173"/>
      <c r="H12" s="173"/>
      <c r="I12" s="173"/>
      <c r="J12" s="173"/>
      <c r="K12" s="173"/>
      <c r="M12" s="325"/>
      <c r="N12" s="591"/>
      <c r="O12" s="591"/>
      <c r="P12" s="596"/>
      <c r="Q12" s="596"/>
      <c r="R12" s="596"/>
      <c r="S12" s="591"/>
      <c r="T12" s="326"/>
    </row>
    <row r="13" spans="1:96" ht="18.75" customHeight="1">
      <c r="A13" s="173"/>
      <c r="B13" s="353"/>
      <c r="C13" s="173"/>
      <c r="D13" s="314"/>
      <c r="E13" s="173"/>
      <c r="F13" s="173"/>
      <c r="G13" s="173"/>
      <c r="H13" s="173"/>
      <c r="I13" s="173"/>
      <c r="J13" s="173"/>
      <c r="K13" s="173"/>
      <c r="M13" s="325"/>
      <c r="N13" s="591"/>
      <c r="O13" s="591"/>
      <c r="P13" s="596"/>
      <c r="Q13" s="1220" t="s">
        <v>2251</v>
      </c>
      <c r="R13" s="596"/>
      <c r="S13" s="591"/>
      <c r="T13" s="326"/>
    </row>
    <row r="14" spans="1:96" ht="16.5" customHeight="1">
      <c r="A14" s="173"/>
      <c r="B14" s="353"/>
      <c r="C14" s="173"/>
      <c r="D14" s="314"/>
      <c r="E14" s="173"/>
      <c r="F14" s="173"/>
      <c r="G14" s="173"/>
      <c r="H14" s="173"/>
      <c r="I14" s="173"/>
      <c r="J14" s="173"/>
      <c r="K14" s="173"/>
      <c r="M14" s="325"/>
      <c r="N14" s="747"/>
      <c r="O14" s="2000" t="s">
        <v>2712</v>
      </c>
      <c r="P14" s="2000"/>
      <c r="Q14" s="2000"/>
      <c r="R14" s="2000"/>
      <c r="S14" s="2000"/>
      <c r="T14" s="326"/>
    </row>
    <row r="15" spans="1:96" ht="19.5" customHeight="1">
      <c r="A15" s="173"/>
      <c r="B15" s="353"/>
      <c r="C15" s="173"/>
      <c r="D15" s="314"/>
      <c r="E15" s="173"/>
      <c r="F15" s="173"/>
      <c r="G15" s="173"/>
      <c r="H15" s="173"/>
      <c r="I15" s="173"/>
      <c r="J15" s="173"/>
      <c r="K15" s="173"/>
      <c r="M15" s="325"/>
      <c r="N15" s="1999" t="s">
        <v>1544</v>
      </c>
      <c r="O15" s="1999"/>
      <c r="P15" s="1999"/>
      <c r="Q15" s="1999"/>
      <c r="R15" s="1999"/>
      <c r="S15" s="1999"/>
      <c r="T15" s="326"/>
    </row>
    <row r="16" spans="1:96" ht="36" customHeight="1">
      <c r="A16" s="173"/>
      <c r="B16" s="353"/>
      <c r="C16" s="173"/>
      <c r="D16" s="314"/>
      <c r="E16" s="173"/>
      <c r="F16" s="1978"/>
      <c r="G16" s="1978"/>
      <c r="H16" s="1978"/>
      <c r="I16" s="1978"/>
      <c r="J16" s="1978"/>
      <c r="K16" s="173"/>
      <c r="M16" s="325"/>
      <c r="N16" s="591"/>
      <c r="O16" s="591"/>
      <c r="P16" s="1990" t="s">
        <v>2252</v>
      </c>
      <c r="Q16" s="1990"/>
      <c r="R16" s="596"/>
      <c r="S16" s="591"/>
      <c r="T16" s="326"/>
    </row>
    <row r="17" spans="1:96" ht="45.75" customHeight="1">
      <c r="A17" s="173"/>
      <c r="B17" s="353"/>
      <c r="C17" s="173"/>
      <c r="D17" s="314"/>
      <c r="E17" s="1979"/>
      <c r="F17" s="1979"/>
      <c r="G17" s="1979"/>
      <c r="H17" s="1979"/>
      <c r="I17" s="1979"/>
      <c r="J17" s="1979"/>
      <c r="K17" s="1979"/>
      <c r="M17" s="325"/>
      <c r="N17" s="591"/>
      <c r="O17" s="591"/>
      <c r="P17" s="1994" t="s">
        <v>2032</v>
      </c>
      <c r="Q17" s="1994"/>
      <c r="R17" s="1994"/>
      <c r="S17" s="1994"/>
      <c r="T17" s="326"/>
    </row>
    <row r="18" spans="1:96" s="949" customFormat="1" ht="26.25" customHeight="1">
      <c r="A18" s="173"/>
      <c r="B18" s="353"/>
      <c r="C18" s="173"/>
      <c r="D18" s="314"/>
      <c r="E18" s="1183"/>
      <c r="F18" s="1183"/>
      <c r="G18" s="1183"/>
      <c r="H18" s="1183"/>
      <c r="I18" s="1183"/>
      <c r="J18" s="1183"/>
      <c r="K18" s="1183"/>
      <c r="L18" s="181"/>
      <c r="M18" s="325"/>
      <c r="N18" s="591"/>
      <c r="O18" s="591"/>
      <c r="P18" s="1990" t="s">
        <v>2253</v>
      </c>
      <c r="Q18" s="1990"/>
      <c r="R18" s="1990"/>
      <c r="S18" s="1219"/>
      <c r="T18" s="326"/>
      <c r="U18" s="181"/>
      <c r="V18" s="181"/>
      <c r="W18" s="181"/>
      <c r="X18" s="181"/>
      <c r="Y18" s="181"/>
      <c r="Z18" s="181"/>
      <c r="AA18" s="181"/>
      <c r="AB18" s="181"/>
      <c r="AC18" s="181"/>
      <c r="AD18" s="181"/>
      <c r="AE18" s="181"/>
      <c r="AF18" s="181"/>
      <c r="AG18" s="181"/>
      <c r="AH18" s="181"/>
      <c r="AI18" s="181"/>
      <c r="AJ18" s="181"/>
      <c r="AK18" s="181"/>
      <c r="AL18" s="181"/>
      <c r="AM18" s="181"/>
      <c r="AN18" s="181"/>
      <c r="AO18" s="181"/>
      <c r="AP18" s="181"/>
      <c r="AQ18" s="181"/>
      <c r="AR18" s="181"/>
      <c r="AS18" s="181"/>
      <c r="AT18" s="181"/>
      <c r="AU18" s="181"/>
      <c r="AV18" s="181"/>
      <c r="AW18" s="181"/>
      <c r="AX18" s="181"/>
      <c r="AY18" s="181"/>
      <c r="AZ18" s="181"/>
      <c r="BA18" s="181"/>
      <c r="BB18" s="181"/>
      <c r="BC18" s="181"/>
      <c r="BD18" s="181"/>
      <c r="BE18" s="181"/>
      <c r="BF18" s="181"/>
      <c r="BG18" s="181"/>
      <c r="BH18" s="181"/>
      <c r="BI18" s="181"/>
      <c r="BJ18" s="181"/>
      <c r="BK18" s="181"/>
      <c r="BL18" s="181"/>
      <c r="BM18" s="181"/>
      <c r="BN18" s="181"/>
      <c r="BO18" s="181"/>
      <c r="BP18" s="181"/>
      <c r="BQ18" s="181"/>
      <c r="BR18" s="181"/>
      <c r="BS18" s="181"/>
      <c r="BT18" s="181"/>
      <c r="BU18" s="181"/>
      <c r="BV18" s="181"/>
      <c r="BW18" s="181"/>
      <c r="BX18" s="181"/>
      <c r="BY18" s="181"/>
      <c r="BZ18" s="181"/>
      <c r="CA18" s="181"/>
      <c r="CB18" s="181"/>
      <c r="CC18" s="181"/>
      <c r="CD18" s="181"/>
      <c r="CE18" s="181"/>
      <c r="CF18" s="181"/>
      <c r="CG18" s="181"/>
      <c r="CH18" s="181"/>
      <c r="CI18" s="181"/>
      <c r="CJ18" s="181"/>
      <c r="CK18" s="181"/>
      <c r="CL18" s="181"/>
      <c r="CM18" s="181"/>
      <c r="CN18" s="181"/>
      <c r="CO18" s="181"/>
      <c r="CP18" s="181"/>
      <c r="CQ18" s="181"/>
      <c r="CR18" s="181"/>
    </row>
    <row r="19" spans="1:96" ht="38.25" customHeight="1">
      <c r="A19" s="173"/>
      <c r="B19" s="353"/>
      <c r="C19" s="173"/>
      <c r="D19" s="314"/>
      <c r="E19" s="315"/>
      <c r="F19" s="1995"/>
      <c r="G19" s="1995"/>
      <c r="H19" s="1995"/>
      <c r="I19" s="1995"/>
      <c r="J19" s="1995"/>
      <c r="K19" s="315"/>
      <c r="M19" s="325"/>
      <c r="N19" s="591"/>
      <c r="O19" s="591"/>
      <c r="P19" s="1996" t="s">
        <v>2649</v>
      </c>
      <c r="Q19" s="1996"/>
      <c r="R19" s="1996"/>
      <c r="S19" s="1996"/>
      <c r="T19" s="326"/>
    </row>
    <row r="20" spans="1:96" s="1354" customFormat="1" ht="4.5" customHeight="1">
      <c r="A20" s="173"/>
      <c r="B20" s="353"/>
      <c r="C20" s="173"/>
      <c r="D20" s="314"/>
      <c r="E20" s="315"/>
      <c r="F20" s="1356"/>
      <c r="G20" s="1356"/>
      <c r="H20" s="1356"/>
      <c r="I20" s="1356"/>
      <c r="J20" s="1356"/>
      <c r="K20" s="315"/>
      <c r="L20" s="181"/>
      <c r="M20" s="325"/>
      <c r="N20" s="591"/>
      <c r="O20" s="591"/>
      <c r="P20" s="1997" t="s">
        <v>2555</v>
      </c>
      <c r="Q20" s="1997"/>
      <c r="R20" s="1997"/>
      <c r="S20" s="1997"/>
      <c r="T20" s="326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  <c r="AM20" s="181"/>
      <c r="AN20" s="181"/>
      <c r="AO20" s="181"/>
      <c r="AP20" s="181"/>
      <c r="AQ20" s="181"/>
      <c r="AR20" s="181"/>
      <c r="AS20" s="181"/>
      <c r="AT20" s="181"/>
      <c r="AU20" s="181"/>
      <c r="AV20" s="181"/>
      <c r="AW20" s="181"/>
      <c r="AX20" s="181"/>
      <c r="AY20" s="181"/>
      <c r="AZ20" s="181"/>
      <c r="BA20" s="181"/>
      <c r="BB20" s="181"/>
      <c r="BC20" s="181"/>
      <c r="BD20" s="181"/>
      <c r="BE20" s="181"/>
      <c r="BF20" s="181"/>
      <c r="BG20" s="181"/>
      <c r="BH20" s="181"/>
      <c r="BI20" s="181"/>
      <c r="BJ20" s="181"/>
      <c r="BK20" s="181"/>
      <c r="BL20" s="181"/>
      <c r="BM20" s="181"/>
      <c r="BN20" s="181"/>
      <c r="BO20" s="181"/>
      <c r="BP20" s="181"/>
      <c r="BQ20" s="181"/>
      <c r="BR20" s="181"/>
      <c r="BS20" s="181"/>
      <c r="BT20" s="181"/>
      <c r="BU20" s="181"/>
      <c r="BV20" s="181"/>
      <c r="BW20" s="181"/>
      <c r="BX20" s="181"/>
      <c r="BY20" s="181"/>
      <c r="BZ20" s="181"/>
      <c r="CA20" s="181"/>
      <c r="CB20" s="181"/>
      <c r="CC20" s="181"/>
      <c r="CD20" s="181"/>
      <c r="CE20" s="181"/>
      <c r="CF20" s="181"/>
      <c r="CG20" s="181"/>
      <c r="CH20" s="181"/>
      <c r="CI20" s="181"/>
      <c r="CJ20" s="181"/>
      <c r="CK20" s="181"/>
      <c r="CL20" s="181"/>
      <c r="CM20" s="181"/>
      <c r="CN20" s="181"/>
      <c r="CO20" s="181"/>
      <c r="CP20" s="181"/>
      <c r="CQ20" s="181"/>
      <c r="CR20" s="181"/>
    </row>
    <row r="21" spans="1:96" s="1354" customFormat="1" ht="40.5" customHeight="1">
      <c r="A21" s="173"/>
      <c r="B21" s="353"/>
      <c r="C21" s="173"/>
      <c r="D21" s="314"/>
      <c r="E21" s="315"/>
      <c r="F21" s="1356"/>
      <c r="G21" s="1356"/>
      <c r="H21" s="1356"/>
      <c r="I21" s="1356"/>
      <c r="J21" s="1356"/>
      <c r="K21" s="315"/>
      <c r="L21" s="181"/>
      <c r="M21" s="325"/>
      <c r="N21" s="591"/>
      <c r="O21" s="591"/>
      <c r="P21" s="1997" t="s">
        <v>2555</v>
      </c>
      <c r="Q21" s="1997"/>
      <c r="R21" s="1997"/>
      <c r="S21" s="1997"/>
      <c r="T21" s="326"/>
      <c r="U21" s="181"/>
      <c r="V21" s="181"/>
      <c r="W21" s="181"/>
      <c r="X21" s="181"/>
      <c r="Y21" s="181"/>
      <c r="Z21" s="181"/>
      <c r="AA21" s="181"/>
      <c r="AB21" s="181"/>
      <c r="AC21" s="181"/>
      <c r="AD21" s="181"/>
      <c r="AE21" s="181"/>
      <c r="AF21" s="181"/>
      <c r="AG21" s="181"/>
      <c r="AH21" s="181"/>
      <c r="AI21" s="181"/>
      <c r="AJ21" s="181"/>
      <c r="AK21" s="181"/>
      <c r="AL21" s="181"/>
      <c r="AM21" s="181"/>
      <c r="AN21" s="181"/>
      <c r="AO21" s="181"/>
      <c r="AP21" s="181"/>
      <c r="AQ21" s="181"/>
      <c r="AR21" s="181"/>
      <c r="AS21" s="181"/>
      <c r="AT21" s="181"/>
      <c r="AU21" s="181"/>
      <c r="AV21" s="181"/>
      <c r="AW21" s="181"/>
      <c r="AX21" s="181"/>
      <c r="AY21" s="181"/>
      <c r="AZ21" s="181"/>
      <c r="BA21" s="181"/>
      <c r="BB21" s="181"/>
      <c r="BC21" s="181"/>
      <c r="BD21" s="181"/>
      <c r="BE21" s="181"/>
      <c r="BF21" s="181"/>
      <c r="BG21" s="181"/>
      <c r="BH21" s="181"/>
      <c r="BI21" s="181"/>
      <c r="BJ21" s="181"/>
      <c r="BK21" s="181"/>
      <c r="BL21" s="181"/>
      <c r="BM21" s="181"/>
      <c r="BN21" s="181"/>
      <c r="BO21" s="181"/>
      <c r="BP21" s="181"/>
      <c r="BQ21" s="181"/>
      <c r="BR21" s="181"/>
      <c r="BS21" s="181"/>
      <c r="BT21" s="181"/>
      <c r="BU21" s="181"/>
      <c r="BV21" s="181"/>
      <c r="BW21" s="181"/>
      <c r="BX21" s="181"/>
      <c r="BY21" s="181"/>
      <c r="BZ21" s="181"/>
      <c r="CA21" s="181"/>
      <c r="CB21" s="181"/>
      <c r="CC21" s="181"/>
      <c r="CD21" s="181"/>
      <c r="CE21" s="181"/>
      <c r="CF21" s="181"/>
      <c r="CG21" s="181"/>
      <c r="CH21" s="181"/>
      <c r="CI21" s="181"/>
      <c r="CJ21" s="181"/>
      <c r="CK21" s="181"/>
      <c r="CL21" s="181"/>
      <c r="CM21" s="181"/>
      <c r="CN21" s="181"/>
      <c r="CO21" s="181"/>
      <c r="CP21" s="181"/>
      <c r="CQ21" s="181"/>
      <c r="CR21" s="181"/>
    </row>
    <row r="22" spans="1:96" s="1205" customFormat="1" ht="38.25" customHeight="1">
      <c r="A22" s="173"/>
      <c r="B22" s="353"/>
      <c r="C22" s="173"/>
      <c r="D22" s="314"/>
      <c r="E22" s="315"/>
      <c r="F22" s="1296"/>
      <c r="G22" s="1296"/>
      <c r="H22" s="1296"/>
      <c r="I22" s="1296"/>
      <c r="J22" s="1296"/>
      <c r="K22" s="315"/>
      <c r="L22" s="181"/>
      <c r="M22" s="325"/>
      <c r="N22" s="591"/>
      <c r="O22" s="591"/>
      <c r="P22" s="1997" t="s">
        <v>3076</v>
      </c>
      <c r="Q22" s="1997"/>
      <c r="R22" s="1997"/>
      <c r="S22" s="1997"/>
      <c r="T22" s="326"/>
      <c r="U22" s="181"/>
      <c r="V22" s="181"/>
      <c r="W22" s="181"/>
      <c r="X22" s="181"/>
      <c r="Y22" s="181"/>
      <c r="Z22" s="181"/>
      <c r="AA22" s="181"/>
      <c r="AB22" s="181"/>
      <c r="AC22" s="181"/>
      <c r="AD22" s="181"/>
      <c r="AE22" s="181"/>
      <c r="AF22" s="181"/>
      <c r="AG22" s="181"/>
      <c r="AH22" s="181"/>
      <c r="AI22" s="181"/>
      <c r="AJ22" s="181"/>
      <c r="AK22" s="181"/>
      <c r="AL22" s="181"/>
      <c r="AM22" s="181"/>
      <c r="AN22" s="181"/>
      <c r="AO22" s="181"/>
      <c r="AP22" s="181"/>
      <c r="AQ22" s="181"/>
      <c r="AR22" s="181"/>
      <c r="AS22" s="181"/>
      <c r="AT22" s="181"/>
      <c r="AU22" s="181"/>
      <c r="AV22" s="181"/>
      <c r="AW22" s="181"/>
      <c r="AX22" s="181"/>
      <c r="AY22" s="181"/>
      <c r="AZ22" s="181"/>
      <c r="BA22" s="181"/>
      <c r="BB22" s="181"/>
      <c r="BC22" s="181"/>
      <c r="BD22" s="181"/>
      <c r="BE22" s="181"/>
      <c r="BF22" s="181"/>
      <c r="BG22" s="181"/>
      <c r="BH22" s="181"/>
      <c r="BI22" s="181"/>
      <c r="BJ22" s="181"/>
      <c r="BK22" s="181"/>
      <c r="BL22" s="181"/>
      <c r="BM22" s="181"/>
      <c r="BN22" s="181"/>
      <c r="BO22" s="181"/>
      <c r="BP22" s="181"/>
      <c r="BQ22" s="181"/>
      <c r="BR22" s="181"/>
      <c r="BS22" s="181"/>
      <c r="BT22" s="181"/>
      <c r="BU22" s="181"/>
      <c r="BV22" s="181"/>
      <c r="BW22" s="181"/>
      <c r="BX22" s="181"/>
      <c r="BY22" s="181"/>
      <c r="BZ22" s="181"/>
      <c r="CA22" s="181"/>
      <c r="CB22" s="181"/>
      <c r="CC22" s="181"/>
      <c r="CD22" s="181"/>
      <c r="CE22" s="181"/>
      <c r="CF22" s="181"/>
      <c r="CG22" s="181"/>
      <c r="CH22" s="181"/>
      <c r="CI22" s="181"/>
      <c r="CJ22" s="181"/>
      <c r="CK22" s="181"/>
      <c r="CL22" s="181"/>
      <c r="CM22" s="181"/>
      <c r="CN22" s="181"/>
      <c r="CO22" s="181"/>
      <c r="CP22" s="181"/>
      <c r="CQ22" s="181"/>
      <c r="CR22" s="181"/>
    </row>
    <row r="23" spans="1:96" s="1205" customFormat="1" ht="19.5" customHeight="1">
      <c r="A23" s="173"/>
      <c r="B23" s="353"/>
      <c r="C23" s="173"/>
      <c r="D23" s="314"/>
      <c r="E23" s="315"/>
      <c r="F23" s="1296"/>
      <c r="G23" s="1296"/>
      <c r="H23" s="1296"/>
      <c r="I23" s="1296"/>
      <c r="J23" s="1296"/>
      <c r="K23" s="315"/>
      <c r="L23" s="181"/>
      <c r="M23" s="325"/>
      <c r="N23" s="591"/>
      <c r="O23" s="591"/>
      <c r="P23" s="2003" t="s">
        <v>3075</v>
      </c>
      <c r="Q23" s="2003"/>
      <c r="R23" s="2003"/>
      <c r="S23" s="1355"/>
      <c r="T23" s="326"/>
      <c r="U23" s="181"/>
      <c r="V23" s="181"/>
      <c r="W23" s="181"/>
      <c r="X23" s="181"/>
      <c r="Y23" s="181"/>
      <c r="Z23" s="181"/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  <c r="AK23" s="181"/>
      <c r="AL23" s="181"/>
      <c r="AM23" s="181"/>
      <c r="AN23" s="181"/>
      <c r="AO23" s="181"/>
      <c r="AP23" s="181"/>
      <c r="AQ23" s="181"/>
      <c r="AR23" s="181"/>
      <c r="AS23" s="181"/>
      <c r="AT23" s="181"/>
      <c r="AU23" s="181"/>
      <c r="AV23" s="181"/>
      <c r="AW23" s="181"/>
      <c r="AX23" s="181"/>
      <c r="AY23" s="181"/>
      <c r="AZ23" s="181"/>
      <c r="BA23" s="181"/>
      <c r="BB23" s="181"/>
      <c r="BC23" s="181"/>
      <c r="BD23" s="181"/>
      <c r="BE23" s="181"/>
      <c r="BF23" s="181"/>
      <c r="BG23" s="181"/>
      <c r="BH23" s="181"/>
      <c r="BI23" s="181"/>
      <c r="BJ23" s="181"/>
      <c r="BK23" s="181"/>
      <c r="BL23" s="181"/>
      <c r="BM23" s="181"/>
      <c r="BN23" s="181"/>
      <c r="BO23" s="181"/>
      <c r="BP23" s="181"/>
      <c r="BQ23" s="181"/>
      <c r="BR23" s="181"/>
      <c r="BS23" s="181"/>
      <c r="BT23" s="181"/>
      <c r="BU23" s="181"/>
      <c r="BV23" s="181"/>
      <c r="BW23" s="181"/>
      <c r="BX23" s="181"/>
      <c r="BY23" s="181"/>
      <c r="BZ23" s="181"/>
      <c r="CA23" s="181"/>
      <c r="CB23" s="181"/>
      <c r="CC23" s="181"/>
      <c r="CD23" s="181"/>
      <c r="CE23" s="181"/>
      <c r="CF23" s="181"/>
      <c r="CG23" s="181"/>
      <c r="CH23" s="181"/>
      <c r="CI23" s="181"/>
      <c r="CJ23" s="181"/>
      <c r="CK23" s="181"/>
      <c r="CL23" s="181"/>
      <c r="CM23" s="181"/>
      <c r="CN23" s="181"/>
      <c r="CO23" s="181"/>
      <c r="CP23" s="181"/>
      <c r="CQ23" s="181"/>
      <c r="CR23" s="181"/>
    </row>
    <row r="24" spans="1:96" ht="16.5" customHeight="1">
      <c r="A24" s="173"/>
      <c r="B24" s="353"/>
      <c r="C24" s="173"/>
      <c r="D24" s="314"/>
      <c r="E24" s="173"/>
      <c r="F24" s="173"/>
      <c r="G24" s="173"/>
      <c r="H24" s="173"/>
      <c r="I24" s="173"/>
      <c r="J24" s="173"/>
      <c r="K24" s="173"/>
      <c r="M24" s="325"/>
      <c r="N24" s="591"/>
      <c r="O24" s="719"/>
      <c r="P24" s="2003"/>
      <c r="Q24" s="2003"/>
      <c r="R24" s="2003"/>
      <c r="S24" s="1355"/>
      <c r="T24" s="326"/>
    </row>
    <row r="25" spans="1:96" ht="10.5" customHeight="1">
      <c r="A25" s="173"/>
      <c r="B25" s="353"/>
      <c r="C25" s="173"/>
      <c r="D25" s="314"/>
      <c r="E25" s="173"/>
      <c r="F25" s="173"/>
      <c r="G25" s="173"/>
      <c r="H25" s="173"/>
      <c r="I25" s="173"/>
      <c r="J25" s="173"/>
      <c r="K25" s="173"/>
      <c r="M25" s="325"/>
      <c r="N25" s="591"/>
      <c r="O25" s="591"/>
      <c r="P25" s="720"/>
      <c r="Q25" s="720"/>
      <c r="R25" s="718"/>
      <c r="S25" s="1221"/>
      <c r="T25" s="326"/>
      <c r="U25" s="680"/>
    </row>
    <row r="26" spans="1:96" ht="12.75" customHeight="1">
      <c r="A26" s="173"/>
      <c r="B26" s="353"/>
      <c r="C26" s="173"/>
      <c r="D26" s="314"/>
      <c r="E26" s="173"/>
      <c r="F26" s="173"/>
      <c r="G26" s="173"/>
      <c r="H26" s="173"/>
      <c r="I26" s="173"/>
      <c r="J26" s="173"/>
      <c r="K26" s="173"/>
      <c r="M26" s="325"/>
      <c r="N26" s="591"/>
      <c r="O26" s="591"/>
      <c r="P26" s="720" t="s">
        <v>2727</v>
      </c>
      <c r="Q26" s="720"/>
      <c r="R26" s="720"/>
      <c r="S26" s="591"/>
      <c r="T26" s="326"/>
    </row>
    <row r="27" spans="1:96" ht="16.5" customHeight="1">
      <c r="A27" s="173"/>
      <c r="B27" s="353"/>
      <c r="C27" s="173"/>
      <c r="D27" s="314"/>
      <c r="E27" s="173"/>
      <c r="F27" s="173"/>
      <c r="G27" s="173"/>
      <c r="H27" s="173"/>
      <c r="I27" s="173"/>
      <c r="J27" s="173"/>
      <c r="K27" s="173"/>
      <c r="M27" s="325"/>
      <c r="N27" s="591"/>
      <c r="O27" s="591"/>
      <c r="P27" s="721" t="s">
        <v>2760</v>
      </c>
      <c r="Q27" s="721"/>
      <c r="R27" s="721"/>
      <c r="T27" s="326"/>
    </row>
    <row r="28" spans="1:96" s="1354" customFormat="1" ht="8.25" customHeight="1">
      <c r="A28" s="173"/>
      <c r="B28" s="353"/>
      <c r="C28" s="173"/>
      <c r="D28" s="314"/>
      <c r="E28" s="173"/>
      <c r="F28" s="173"/>
      <c r="G28" s="173"/>
      <c r="H28" s="173"/>
      <c r="I28" s="173"/>
      <c r="J28" s="173"/>
      <c r="K28" s="173"/>
      <c r="L28" s="181"/>
      <c r="M28" s="325"/>
      <c r="N28" s="591"/>
      <c r="O28" s="591"/>
      <c r="P28" s="721"/>
      <c r="Q28" s="721"/>
      <c r="R28" s="721"/>
      <c r="S28" s="181"/>
      <c r="T28" s="326"/>
      <c r="U28" s="181"/>
      <c r="V28" s="181"/>
      <c r="W28" s="181"/>
      <c r="X28" s="181"/>
      <c r="Y28" s="181"/>
      <c r="Z28" s="181"/>
      <c r="AA28" s="181"/>
      <c r="AB28" s="181"/>
      <c r="AC28" s="181"/>
      <c r="AD28" s="181"/>
      <c r="AE28" s="181"/>
      <c r="AF28" s="181"/>
      <c r="AG28" s="181"/>
      <c r="AH28" s="181"/>
      <c r="AI28" s="181"/>
      <c r="AJ28" s="181"/>
      <c r="AK28" s="181"/>
      <c r="AL28" s="181"/>
      <c r="AM28" s="181"/>
      <c r="AN28" s="181"/>
      <c r="AO28" s="181"/>
      <c r="AP28" s="181"/>
      <c r="AQ28" s="181"/>
      <c r="AR28" s="181"/>
      <c r="AS28" s="181"/>
      <c r="AT28" s="181"/>
      <c r="AU28" s="181"/>
      <c r="AV28" s="181"/>
      <c r="AW28" s="181"/>
      <c r="AX28" s="181"/>
      <c r="AY28" s="181"/>
      <c r="AZ28" s="181"/>
      <c r="BA28" s="181"/>
      <c r="BB28" s="181"/>
      <c r="BC28" s="181"/>
      <c r="BD28" s="181"/>
      <c r="BE28" s="181"/>
      <c r="BF28" s="181"/>
      <c r="BG28" s="181"/>
      <c r="BH28" s="181"/>
      <c r="BI28" s="181"/>
      <c r="BJ28" s="181"/>
      <c r="BK28" s="181"/>
      <c r="BL28" s="181"/>
      <c r="BM28" s="181"/>
      <c r="BN28" s="181"/>
      <c r="BO28" s="181"/>
      <c r="BP28" s="181"/>
      <c r="BQ28" s="181"/>
      <c r="BR28" s="181"/>
      <c r="BS28" s="181"/>
      <c r="BT28" s="181"/>
      <c r="BU28" s="181"/>
      <c r="BV28" s="181"/>
      <c r="BW28" s="181"/>
      <c r="BX28" s="181"/>
      <c r="BY28" s="181"/>
      <c r="BZ28" s="181"/>
      <c r="CA28" s="181"/>
      <c r="CB28" s="181"/>
      <c r="CC28" s="181"/>
      <c r="CD28" s="181"/>
      <c r="CE28" s="181"/>
      <c r="CF28" s="181"/>
      <c r="CG28" s="181"/>
      <c r="CH28" s="181"/>
      <c r="CI28" s="181"/>
      <c r="CJ28" s="181"/>
      <c r="CK28" s="181"/>
      <c r="CL28" s="181"/>
      <c r="CM28" s="181"/>
      <c r="CN28" s="181"/>
      <c r="CO28" s="181"/>
      <c r="CP28" s="181"/>
      <c r="CQ28" s="181"/>
      <c r="CR28" s="181"/>
    </row>
    <row r="29" spans="1:96" s="1526" customFormat="1" ht="12.75" customHeight="1">
      <c r="A29" s="173"/>
      <c r="B29" s="353"/>
      <c r="C29" s="173"/>
      <c r="D29" s="314"/>
      <c r="E29" s="173"/>
      <c r="F29" s="173"/>
      <c r="G29" s="173"/>
      <c r="H29" s="173"/>
      <c r="I29" s="173"/>
      <c r="J29" s="173"/>
      <c r="K29" s="173"/>
      <c r="L29" s="181"/>
      <c r="M29" s="325"/>
      <c r="N29" s="591"/>
      <c r="O29" s="591"/>
      <c r="P29" s="720" t="s">
        <v>3074</v>
      </c>
      <c r="Q29" s="720"/>
      <c r="R29" s="720"/>
      <c r="S29" s="591"/>
      <c r="T29" s="326"/>
      <c r="U29" s="181"/>
      <c r="V29" s="181"/>
      <c r="W29" s="181"/>
      <c r="X29" s="181"/>
      <c r="Y29" s="181"/>
      <c r="Z29" s="181"/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  <c r="AM29" s="181"/>
      <c r="AN29" s="181"/>
      <c r="AO29" s="181"/>
      <c r="AP29" s="181"/>
      <c r="AQ29" s="181"/>
      <c r="AR29" s="181"/>
      <c r="AS29" s="181"/>
      <c r="AT29" s="181"/>
      <c r="AU29" s="181"/>
      <c r="AV29" s="181"/>
      <c r="AW29" s="181"/>
      <c r="AX29" s="181"/>
      <c r="AY29" s="181"/>
      <c r="AZ29" s="181"/>
      <c r="BA29" s="181"/>
      <c r="BB29" s="181"/>
      <c r="BC29" s="181"/>
      <c r="BD29" s="181"/>
      <c r="BE29" s="181"/>
      <c r="BF29" s="181"/>
      <c r="BG29" s="181"/>
      <c r="BH29" s="181"/>
      <c r="BI29" s="181"/>
      <c r="BJ29" s="181"/>
      <c r="BK29" s="181"/>
      <c r="BL29" s="181"/>
      <c r="BM29" s="181"/>
      <c r="BN29" s="181"/>
      <c r="BO29" s="181"/>
      <c r="BP29" s="181"/>
      <c r="BQ29" s="181"/>
      <c r="BR29" s="181"/>
      <c r="BS29" s="181"/>
      <c r="BT29" s="181"/>
      <c r="BU29" s="181"/>
      <c r="BV29" s="181"/>
      <c r="BW29" s="181"/>
      <c r="BX29" s="181"/>
      <c r="BY29" s="181"/>
      <c r="BZ29" s="181"/>
      <c r="CA29" s="181"/>
      <c r="CB29" s="181"/>
      <c r="CC29" s="181"/>
      <c r="CD29" s="181"/>
      <c r="CE29" s="181"/>
      <c r="CF29" s="181"/>
      <c r="CG29" s="181"/>
      <c r="CH29" s="181"/>
      <c r="CI29" s="181"/>
      <c r="CJ29" s="181"/>
      <c r="CK29" s="181"/>
      <c r="CL29" s="181"/>
      <c r="CM29" s="181"/>
      <c r="CN29" s="181"/>
      <c r="CO29" s="181"/>
      <c r="CP29" s="181"/>
      <c r="CQ29" s="181"/>
      <c r="CR29" s="181"/>
    </row>
    <row r="30" spans="1:96" s="1526" customFormat="1" ht="16.5" customHeight="1">
      <c r="A30" s="173"/>
      <c r="B30" s="353"/>
      <c r="C30" s="173"/>
      <c r="D30" s="314"/>
      <c r="E30" s="173"/>
      <c r="F30" s="173"/>
      <c r="G30" s="173"/>
      <c r="H30" s="173"/>
      <c r="I30" s="173"/>
      <c r="J30" s="173"/>
      <c r="K30" s="173"/>
      <c r="L30" s="181"/>
      <c r="M30" s="325"/>
      <c r="N30" s="591"/>
      <c r="O30" s="591"/>
      <c r="P30" s="721" t="s">
        <v>2831</v>
      </c>
      <c r="Q30" s="721"/>
      <c r="R30" s="721"/>
      <c r="S30" s="181"/>
      <c r="T30" s="326"/>
      <c r="U30" s="181"/>
      <c r="V30" s="181"/>
      <c r="W30" s="181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  <c r="AM30" s="181"/>
      <c r="AN30" s="181"/>
      <c r="AO30" s="181"/>
      <c r="AP30" s="181"/>
      <c r="AQ30" s="181"/>
      <c r="AR30" s="181"/>
      <c r="AS30" s="181"/>
      <c r="AT30" s="181"/>
      <c r="AU30" s="181"/>
      <c r="AV30" s="181"/>
      <c r="AW30" s="181"/>
      <c r="AX30" s="181"/>
      <c r="AY30" s="181"/>
      <c r="AZ30" s="181"/>
      <c r="BA30" s="181"/>
      <c r="BB30" s="181"/>
      <c r="BC30" s="181"/>
      <c r="BD30" s="181"/>
      <c r="BE30" s="181"/>
      <c r="BF30" s="181"/>
      <c r="BG30" s="181"/>
      <c r="BH30" s="181"/>
      <c r="BI30" s="181"/>
      <c r="BJ30" s="181"/>
      <c r="BK30" s="181"/>
      <c r="BL30" s="181"/>
      <c r="BM30" s="181"/>
      <c r="BN30" s="181"/>
      <c r="BO30" s="181"/>
      <c r="BP30" s="181"/>
      <c r="BQ30" s="181"/>
      <c r="BR30" s="181"/>
      <c r="BS30" s="181"/>
      <c r="BT30" s="181"/>
      <c r="BU30" s="181"/>
      <c r="BV30" s="181"/>
      <c r="BW30" s="181"/>
      <c r="BX30" s="181"/>
      <c r="BY30" s="181"/>
      <c r="BZ30" s="181"/>
      <c r="CA30" s="181"/>
      <c r="CB30" s="181"/>
      <c r="CC30" s="181"/>
      <c r="CD30" s="181"/>
      <c r="CE30" s="181"/>
      <c r="CF30" s="181"/>
      <c r="CG30" s="181"/>
      <c r="CH30" s="181"/>
      <c r="CI30" s="181"/>
      <c r="CJ30" s="181"/>
      <c r="CK30" s="181"/>
      <c r="CL30" s="181"/>
      <c r="CM30" s="181"/>
      <c r="CN30" s="181"/>
      <c r="CO30" s="181"/>
      <c r="CP30" s="181"/>
      <c r="CQ30" s="181"/>
      <c r="CR30" s="181"/>
    </row>
    <row r="31" spans="1:96" s="949" customFormat="1" ht="17.25" customHeight="1" thickBot="1">
      <c r="A31" s="173"/>
      <c r="B31" s="353"/>
      <c r="C31" s="173"/>
      <c r="D31" s="314"/>
      <c r="E31" s="173"/>
      <c r="F31" s="173"/>
      <c r="G31" s="173"/>
      <c r="H31" s="173"/>
      <c r="I31" s="173"/>
      <c r="J31" s="173"/>
      <c r="K31" s="173"/>
      <c r="L31" s="181"/>
      <c r="M31" s="327"/>
      <c r="N31" s="1222"/>
      <c r="O31" s="1222"/>
      <c r="P31" s="1222"/>
      <c r="Q31" s="1222"/>
      <c r="R31" s="1222"/>
      <c r="S31" s="1222"/>
      <c r="T31" s="328"/>
      <c r="U31" s="181"/>
      <c r="V31" s="181"/>
      <c r="W31" s="181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  <c r="AI31" s="181"/>
      <c r="AJ31" s="181"/>
      <c r="AK31" s="181"/>
      <c r="AL31" s="181"/>
      <c r="AM31" s="181"/>
      <c r="AN31" s="181"/>
      <c r="AO31" s="181"/>
      <c r="AP31" s="181"/>
      <c r="AQ31" s="181"/>
      <c r="AR31" s="181"/>
      <c r="AS31" s="181"/>
      <c r="AT31" s="181"/>
      <c r="AU31" s="181"/>
      <c r="AV31" s="181"/>
      <c r="AW31" s="181"/>
      <c r="AX31" s="181"/>
      <c r="AY31" s="181"/>
      <c r="AZ31" s="181"/>
      <c r="BA31" s="181"/>
      <c r="BB31" s="181"/>
      <c r="BC31" s="181"/>
      <c r="BD31" s="181"/>
      <c r="BE31" s="181"/>
      <c r="BF31" s="181"/>
      <c r="BG31" s="181"/>
      <c r="BH31" s="181"/>
      <c r="BI31" s="181"/>
      <c r="BJ31" s="181"/>
      <c r="BK31" s="181"/>
      <c r="BL31" s="181"/>
      <c r="BM31" s="181"/>
      <c r="BN31" s="181"/>
      <c r="BO31" s="181"/>
      <c r="BP31" s="181"/>
      <c r="BQ31" s="181"/>
      <c r="BR31" s="181"/>
      <c r="BS31" s="181"/>
      <c r="BT31" s="181"/>
      <c r="BU31" s="181"/>
      <c r="BV31" s="181"/>
      <c r="BW31" s="181"/>
      <c r="BX31" s="181"/>
      <c r="BY31" s="181"/>
      <c r="BZ31" s="181"/>
      <c r="CA31" s="181"/>
      <c r="CB31" s="181"/>
      <c r="CC31" s="181"/>
      <c r="CD31" s="181"/>
      <c r="CE31" s="181"/>
      <c r="CF31" s="181"/>
      <c r="CG31" s="181"/>
      <c r="CH31" s="181"/>
      <c r="CI31" s="181"/>
      <c r="CJ31" s="181"/>
      <c r="CK31" s="181"/>
      <c r="CL31" s="181"/>
      <c r="CM31" s="181"/>
      <c r="CN31" s="181"/>
      <c r="CO31" s="181"/>
      <c r="CP31" s="181"/>
      <c r="CQ31" s="181"/>
      <c r="CR31" s="181"/>
    </row>
    <row r="32" spans="1:96" s="949" customFormat="1" ht="17.25" customHeight="1">
      <c r="A32" s="173"/>
      <c r="B32" s="353"/>
      <c r="C32" s="173"/>
      <c r="D32" s="314"/>
      <c r="E32" s="173"/>
      <c r="F32" s="173"/>
      <c r="G32" s="173"/>
      <c r="H32" s="173"/>
      <c r="I32" s="173"/>
      <c r="J32" s="173"/>
      <c r="K32" s="173"/>
      <c r="L32" s="181"/>
      <c r="M32" s="181"/>
      <c r="N32" s="181"/>
      <c r="O32" s="181"/>
      <c r="P32" s="181"/>
      <c r="Q32" s="181"/>
      <c r="R32" s="181"/>
      <c r="S32" s="181"/>
      <c r="T32" s="181"/>
      <c r="U32" s="181"/>
      <c r="V32" s="181"/>
      <c r="W32" s="181"/>
      <c r="X32" s="181"/>
      <c r="Y32" s="181"/>
      <c r="Z32" s="181"/>
      <c r="AA32" s="181"/>
      <c r="AB32" s="181"/>
      <c r="AC32" s="181"/>
      <c r="AD32" s="181"/>
      <c r="AE32" s="181"/>
      <c r="AF32" s="181"/>
      <c r="AG32" s="181"/>
      <c r="AH32" s="181"/>
      <c r="AI32" s="181"/>
      <c r="AJ32" s="181"/>
      <c r="AK32" s="181"/>
      <c r="AL32" s="181"/>
      <c r="AM32" s="181"/>
      <c r="AN32" s="181"/>
      <c r="AO32" s="181"/>
      <c r="AP32" s="181"/>
      <c r="AQ32" s="181"/>
      <c r="AR32" s="181"/>
      <c r="AS32" s="181"/>
      <c r="AT32" s="181"/>
      <c r="AU32" s="181"/>
      <c r="AV32" s="181"/>
      <c r="AW32" s="181"/>
      <c r="AX32" s="181"/>
      <c r="AY32" s="181"/>
      <c r="AZ32" s="181"/>
      <c r="BA32" s="181"/>
      <c r="BB32" s="181"/>
      <c r="BC32" s="181"/>
      <c r="BD32" s="181"/>
      <c r="BE32" s="181"/>
      <c r="BF32" s="181"/>
      <c r="BG32" s="181"/>
      <c r="BH32" s="181"/>
      <c r="BI32" s="181"/>
      <c r="BJ32" s="181"/>
      <c r="BK32" s="181"/>
      <c r="BL32" s="181"/>
      <c r="BM32" s="181"/>
      <c r="BN32" s="181"/>
      <c r="BO32" s="181"/>
      <c r="BP32" s="181"/>
      <c r="BQ32" s="181"/>
      <c r="BR32" s="181"/>
      <c r="BS32" s="181"/>
      <c r="BT32" s="181"/>
      <c r="BU32" s="181"/>
      <c r="BV32" s="181"/>
      <c r="BW32" s="181"/>
      <c r="BX32" s="181"/>
      <c r="BY32" s="181"/>
      <c r="BZ32" s="181"/>
      <c r="CA32" s="181"/>
      <c r="CB32" s="181"/>
      <c r="CC32" s="181"/>
      <c r="CD32" s="181"/>
      <c r="CE32" s="181"/>
      <c r="CF32" s="181"/>
      <c r="CG32" s="181"/>
      <c r="CH32" s="181"/>
      <c r="CI32" s="181"/>
      <c r="CJ32" s="181"/>
      <c r="CK32" s="181"/>
      <c r="CL32" s="181"/>
      <c r="CM32" s="181"/>
      <c r="CN32" s="181"/>
      <c r="CO32" s="181"/>
      <c r="CP32" s="181"/>
      <c r="CQ32" s="181"/>
      <c r="CR32" s="181"/>
    </row>
    <row r="33" spans="1:96" s="949" customFormat="1" ht="17.25" customHeight="1">
      <c r="A33" s="173"/>
      <c r="B33" s="353"/>
      <c r="C33" s="173"/>
      <c r="D33" s="314"/>
      <c r="E33" s="173"/>
      <c r="F33" s="173"/>
      <c r="G33" s="173"/>
      <c r="H33" s="173"/>
      <c r="I33" s="173"/>
      <c r="J33" s="173"/>
      <c r="K33" s="173"/>
      <c r="L33" s="181"/>
      <c r="M33" s="181"/>
      <c r="N33" s="181"/>
      <c r="O33" s="181"/>
      <c r="P33" s="181"/>
      <c r="Q33" s="181"/>
      <c r="R33" s="181"/>
      <c r="S33" s="181"/>
      <c r="T33" s="181"/>
      <c r="U33" s="181"/>
      <c r="V33" s="181"/>
      <c r="W33" s="181"/>
      <c r="X33" s="181"/>
      <c r="Y33" s="181"/>
      <c r="Z33" s="181"/>
      <c r="AA33" s="181"/>
      <c r="AB33" s="181"/>
      <c r="AC33" s="181"/>
      <c r="AD33" s="181"/>
      <c r="AE33" s="181"/>
      <c r="AF33" s="181"/>
      <c r="AG33" s="181"/>
      <c r="AH33" s="181"/>
      <c r="AI33" s="181"/>
      <c r="AJ33" s="181"/>
      <c r="AK33" s="181"/>
      <c r="AL33" s="181"/>
      <c r="AM33" s="181"/>
      <c r="AN33" s="181"/>
      <c r="AO33" s="181"/>
      <c r="AP33" s="181"/>
      <c r="AQ33" s="181"/>
      <c r="AR33" s="181"/>
      <c r="AS33" s="181"/>
      <c r="AT33" s="181"/>
      <c r="AU33" s="181"/>
      <c r="AV33" s="181"/>
      <c r="AW33" s="181"/>
      <c r="AX33" s="181"/>
      <c r="AY33" s="181"/>
      <c r="AZ33" s="181"/>
      <c r="BA33" s="181"/>
      <c r="BB33" s="181"/>
      <c r="BC33" s="181"/>
      <c r="BD33" s="181"/>
      <c r="BE33" s="181"/>
      <c r="BF33" s="181"/>
      <c r="BG33" s="181"/>
      <c r="BH33" s="181"/>
      <c r="BI33" s="181"/>
      <c r="BJ33" s="181"/>
      <c r="BK33" s="181"/>
      <c r="BL33" s="181"/>
      <c r="BM33" s="181"/>
      <c r="BN33" s="181"/>
      <c r="BO33" s="181"/>
      <c r="BP33" s="181"/>
      <c r="BQ33" s="181"/>
      <c r="BR33" s="181"/>
      <c r="BS33" s="181"/>
      <c r="BT33" s="181"/>
      <c r="BU33" s="181"/>
      <c r="BV33" s="181"/>
      <c r="BW33" s="181"/>
      <c r="BX33" s="181"/>
      <c r="BY33" s="181"/>
      <c r="BZ33" s="181"/>
      <c r="CA33" s="181"/>
      <c r="CB33" s="181"/>
      <c r="CC33" s="181"/>
      <c r="CD33" s="181"/>
      <c r="CE33" s="181"/>
      <c r="CF33" s="181"/>
      <c r="CG33" s="181"/>
      <c r="CH33" s="181"/>
      <c r="CI33" s="181"/>
      <c r="CJ33" s="181"/>
      <c r="CK33" s="181"/>
      <c r="CL33" s="181"/>
      <c r="CM33" s="181"/>
      <c r="CN33" s="181"/>
      <c r="CO33" s="181"/>
      <c r="CP33" s="181"/>
      <c r="CQ33" s="181"/>
      <c r="CR33" s="181"/>
    </row>
    <row r="34" spans="1:96" s="949" customFormat="1" ht="17.25" customHeight="1">
      <c r="A34" s="173"/>
      <c r="B34" s="353"/>
      <c r="C34" s="173"/>
      <c r="D34" s="314"/>
      <c r="E34" s="173"/>
      <c r="F34" s="173"/>
      <c r="G34" s="173"/>
      <c r="H34" s="173"/>
      <c r="I34" s="173"/>
      <c r="J34" s="173"/>
      <c r="K34" s="173"/>
      <c r="L34" s="181"/>
      <c r="M34" s="181"/>
      <c r="N34" s="181"/>
      <c r="O34" s="181"/>
      <c r="P34" s="181"/>
      <c r="Q34" s="181"/>
      <c r="R34" s="181"/>
      <c r="S34" s="181"/>
      <c r="T34" s="181"/>
      <c r="U34" s="181"/>
      <c r="V34" s="181"/>
      <c r="W34" s="181"/>
      <c r="X34" s="181"/>
      <c r="Y34" s="181"/>
      <c r="Z34" s="181"/>
      <c r="AA34" s="181"/>
      <c r="AB34" s="181"/>
      <c r="AC34" s="181"/>
      <c r="AD34" s="181"/>
      <c r="AE34" s="181"/>
      <c r="AF34" s="181"/>
      <c r="AG34" s="181"/>
      <c r="AH34" s="181"/>
      <c r="AI34" s="181"/>
      <c r="AJ34" s="181"/>
      <c r="AK34" s="181"/>
      <c r="AL34" s="181"/>
      <c r="AM34" s="181"/>
      <c r="AN34" s="181"/>
      <c r="AO34" s="181"/>
      <c r="AP34" s="181"/>
      <c r="AQ34" s="181"/>
      <c r="AR34" s="181"/>
      <c r="AS34" s="181"/>
      <c r="AT34" s="181"/>
      <c r="AU34" s="181"/>
      <c r="AV34" s="181"/>
      <c r="AW34" s="181"/>
      <c r="AX34" s="181"/>
      <c r="AY34" s="181"/>
      <c r="AZ34" s="181"/>
      <c r="BA34" s="181"/>
      <c r="BB34" s="181"/>
      <c r="BC34" s="181"/>
      <c r="BD34" s="181"/>
      <c r="BE34" s="181"/>
      <c r="BF34" s="181"/>
      <c r="BG34" s="181"/>
      <c r="BH34" s="181"/>
      <c r="BI34" s="181"/>
      <c r="BJ34" s="181"/>
      <c r="BK34" s="181"/>
      <c r="BL34" s="181"/>
      <c r="BM34" s="181"/>
      <c r="BN34" s="181"/>
      <c r="BO34" s="181"/>
      <c r="BP34" s="181"/>
      <c r="BQ34" s="181"/>
      <c r="BR34" s="181"/>
      <c r="BS34" s="181"/>
      <c r="BT34" s="181"/>
      <c r="BU34" s="181"/>
      <c r="BV34" s="181"/>
      <c r="BW34" s="181"/>
      <c r="BX34" s="181"/>
      <c r="BY34" s="181"/>
      <c r="BZ34" s="181"/>
      <c r="CA34" s="181"/>
      <c r="CB34" s="181"/>
      <c r="CC34" s="181"/>
      <c r="CD34" s="181"/>
      <c r="CE34" s="181"/>
      <c r="CF34" s="181"/>
      <c r="CG34" s="181"/>
      <c r="CH34" s="181"/>
      <c r="CI34" s="181"/>
      <c r="CJ34" s="181"/>
      <c r="CK34" s="181"/>
      <c r="CL34" s="181"/>
      <c r="CM34" s="181"/>
      <c r="CN34" s="181"/>
      <c r="CO34" s="181"/>
      <c r="CP34" s="181"/>
      <c r="CQ34" s="181"/>
      <c r="CR34" s="181"/>
    </row>
    <row r="35" spans="1:96" s="949" customFormat="1" ht="17.25" customHeight="1">
      <c r="A35" s="173"/>
      <c r="B35" s="353"/>
      <c r="C35" s="173"/>
      <c r="D35" s="314"/>
      <c r="E35" s="173"/>
      <c r="F35" s="173"/>
      <c r="G35" s="173"/>
      <c r="H35" s="173"/>
      <c r="I35" s="173"/>
      <c r="J35" s="173"/>
      <c r="K35" s="173"/>
      <c r="L35" s="181"/>
      <c r="M35" s="181"/>
      <c r="N35" s="181"/>
      <c r="O35" s="181"/>
      <c r="P35" s="181"/>
      <c r="Q35" s="181"/>
      <c r="R35" s="181"/>
      <c r="S35" s="181"/>
      <c r="T35" s="181"/>
      <c r="U35" s="181"/>
      <c r="V35" s="181"/>
      <c r="W35" s="181"/>
      <c r="X35" s="181"/>
      <c r="Y35" s="181"/>
      <c r="Z35" s="181"/>
      <c r="AA35" s="181"/>
      <c r="AB35" s="181"/>
      <c r="AC35" s="181"/>
      <c r="AD35" s="181"/>
      <c r="AE35" s="181"/>
      <c r="AF35" s="181"/>
      <c r="AG35" s="181"/>
      <c r="AH35" s="181"/>
      <c r="AI35" s="181"/>
      <c r="AJ35" s="181"/>
      <c r="AK35" s="181"/>
      <c r="AL35" s="181"/>
      <c r="AM35" s="181"/>
      <c r="AN35" s="181"/>
      <c r="AO35" s="181"/>
      <c r="AP35" s="181"/>
      <c r="AQ35" s="181"/>
      <c r="AR35" s="181"/>
      <c r="AS35" s="181"/>
      <c r="AT35" s="181"/>
      <c r="AU35" s="181"/>
      <c r="AV35" s="181"/>
      <c r="AW35" s="181"/>
      <c r="AX35" s="181"/>
      <c r="AY35" s="181"/>
      <c r="AZ35" s="181"/>
      <c r="BA35" s="181"/>
      <c r="BB35" s="181"/>
      <c r="BC35" s="181"/>
      <c r="BD35" s="181"/>
      <c r="BE35" s="181"/>
      <c r="BF35" s="181"/>
      <c r="BG35" s="181"/>
      <c r="BH35" s="181"/>
      <c r="BI35" s="181"/>
      <c r="BJ35" s="181"/>
      <c r="BK35" s="181"/>
      <c r="BL35" s="181"/>
      <c r="BM35" s="181"/>
      <c r="BN35" s="181"/>
      <c r="BO35" s="181"/>
      <c r="BP35" s="181"/>
      <c r="BQ35" s="181"/>
      <c r="BR35" s="181"/>
      <c r="BS35" s="181"/>
      <c r="BT35" s="181"/>
      <c r="BU35" s="181"/>
      <c r="BV35" s="181"/>
      <c r="BW35" s="181"/>
      <c r="BX35" s="181"/>
      <c r="BY35" s="181"/>
      <c r="BZ35" s="181"/>
      <c r="CA35" s="181"/>
      <c r="CB35" s="181"/>
      <c r="CC35" s="181"/>
      <c r="CD35" s="181"/>
      <c r="CE35" s="181"/>
      <c r="CF35" s="181"/>
      <c r="CG35" s="181"/>
      <c r="CH35" s="181"/>
      <c r="CI35" s="181"/>
      <c r="CJ35" s="181"/>
      <c r="CK35" s="181"/>
      <c r="CL35" s="181"/>
      <c r="CM35" s="181"/>
      <c r="CN35" s="181"/>
      <c r="CO35" s="181"/>
      <c r="CP35" s="181"/>
      <c r="CQ35" s="181"/>
      <c r="CR35" s="181"/>
    </row>
    <row r="36" spans="1:96" ht="15" customHeight="1">
      <c r="A36" s="173"/>
      <c r="B36" s="353"/>
      <c r="C36" s="173"/>
      <c r="D36" s="314"/>
      <c r="E36" s="173"/>
      <c r="F36" s="173"/>
      <c r="G36" s="173"/>
      <c r="H36" s="173"/>
      <c r="I36" s="173"/>
      <c r="J36" s="173"/>
      <c r="K36" s="173"/>
    </row>
    <row r="37" spans="1:96" ht="15" customHeight="1">
      <c r="A37" s="173"/>
      <c r="B37" s="353"/>
      <c r="C37" s="173"/>
      <c r="D37" s="314"/>
      <c r="E37" s="173"/>
      <c r="F37" s="173"/>
      <c r="G37" s="173"/>
      <c r="H37" s="173"/>
      <c r="I37" s="173"/>
      <c r="J37" s="173"/>
      <c r="K37" s="173"/>
    </row>
    <row r="38" spans="1:96" ht="15" customHeight="1">
      <c r="A38" s="173"/>
      <c r="B38" s="353"/>
      <c r="C38" s="173"/>
      <c r="D38" s="314"/>
      <c r="E38" s="173"/>
      <c r="F38" s="173"/>
      <c r="G38" s="173"/>
      <c r="H38" s="173"/>
      <c r="I38" s="173"/>
      <c r="J38" s="173"/>
      <c r="K38" s="173"/>
    </row>
    <row r="39" spans="1:96" ht="12.75" customHeight="1">
      <c r="A39" s="173"/>
      <c r="B39" s="353"/>
      <c r="C39" s="173"/>
      <c r="D39" s="314"/>
      <c r="E39" s="173"/>
      <c r="F39" s="173"/>
      <c r="G39" s="173"/>
      <c r="H39" s="173"/>
      <c r="I39" s="173"/>
      <c r="J39" s="173"/>
      <c r="K39" s="173"/>
      <c r="N39" s="182"/>
      <c r="O39" s="182"/>
      <c r="P39" s="193"/>
      <c r="Q39" s="1992"/>
      <c r="R39" s="1993"/>
      <c r="S39" s="1993"/>
      <c r="T39" s="182"/>
    </row>
    <row r="40" spans="1:96" ht="21.75" customHeight="1" thickBot="1">
      <c r="A40" s="173"/>
      <c r="B40" s="353"/>
      <c r="C40" s="173"/>
      <c r="D40" s="314"/>
      <c r="E40" s="173"/>
      <c r="F40" s="173"/>
      <c r="G40" s="173"/>
      <c r="H40" s="173"/>
      <c r="I40" s="173"/>
      <c r="J40" s="173"/>
      <c r="K40" s="173"/>
      <c r="N40" s="182"/>
      <c r="O40" s="182"/>
      <c r="P40" s="182"/>
      <c r="Q40" s="182"/>
      <c r="R40" s="182"/>
      <c r="S40" s="182"/>
      <c r="T40" s="182"/>
    </row>
    <row r="41" spans="1:96" ht="30.75" customHeight="1">
      <c r="A41" s="173"/>
      <c r="B41" s="353"/>
      <c r="C41" s="604"/>
      <c r="D41" s="605"/>
      <c r="E41" s="605"/>
      <c r="F41" s="605"/>
      <c r="G41" s="605"/>
      <c r="H41" s="605"/>
      <c r="I41" s="605"/>
      <c r="J41" s="606"/>
      <c r="K41" s="173"/>
      <c r="M41" s="1983" t="s">
        <v>1272</v>
      </c>
      <c r="N41" s="1984"/>
      <c r="O41" s="1984"/>
      <c r="P41" s="1984"/>
      <c r="Q41" s="1984"/>
      <c r="R41" s="1984"/>
      <c r="S41" s="1984"/>
      <c r="T41" s="1985"/>
      <c r="CK41"/>
      <c r="CL41"/>
      <c r="CM41"/>
      <c r="CN41"/>
      <c r="CO41"/>
      <c r="CP41"/>
      <c r="CQ41"/>
      <c r="CR41"/>
    </row>
    <row r="42" spans="1:96" s="682" customFormat="1" ht="21" customHeight="1">
      <c r="A42" s="681"/>
      <c r="B42" s="353"/>
      <c r="C42" s="1980" t="s">
        <v>835</v>
      </c>
      <c r="D42" s="1981"/>
      <c r="E42" s="1981"/>
      <c r="F42" s="1981"/>
      <c r="G42" s="1981"/>
      <c r="H42" s="1981"/>
      <c r="I42" s="1981"/>
      <c r="J42" s="1982"/>
      <c r="K42" s="330"/>
      <c r="L42" s="680"/>
      <c r="M42" s="1986"/>
      <c r="N42" s="1987"/>
      <c r="O42" s="1987"/>
      <c r="P42" s="1987"/>
      <c r="Q42" s="1987"/>
      <c r="R42" s="1987"/>
      <c r="S42" s="1987"/>
      <c r="T42" s="1988"/>
      <c r="U42" s="680"/>
      <c r="V42" s="680"/>
      <c r="W42" s="680"/>
      <c r="X42" s="680"/>
      <c r="Y42" s="680"/>
      <c r="Z42" s="680"/>
      <c r="AA42" s="680"/>
      <c r="AB42" s="680"/>
      <c r="AC42" s="680"/>
      <c r="AD42" s="680"/>
      <c r="AE42" s="680"/>
      <c r="AF42" s="680"/>
      <c r="AG42" s="680"/>
      <c r="AH42" s="680"/>
      <c r="AI42" s="680"/>
      <c r="AJ42" s="680"/>
      <c r="AK42" s="680"/>
      <c r="AL42" s="680"/>
      <c r="AM42" s="680"/>
      <c r="AN42" s="680"/>
      <c r="AO42" s="680"/>
      <c r="AP42" s="680"/>
      <c r="AQ42" s="680"/>
      <c r="AR42" s="680"/>
      <c r="AS42" s="680"/>
      <c r="AT42" s="680"/>
      <c r="AU42" s="680"/>
      <c r="AV42" s="680"/>
      <c r="AW42" s="680"/>
      <c r="AX42" s="680"/>
      <c r="AY42" s="680"/>
      <c r="AZ42" s="680"/>
      <c r="BA42" s="680"/>
      <c r="BB42" s="680"/>
      <c r="BC42" s="680"/>
      <c r="BD42" s="680"/>
      <c r="BE42" s="680"/>
      <c r="BF42" s="680"/>
      <c r="BG42" s="680"/>
      <c r="BH42" s="680"/>
      <c r="BI42" s="680"/>
      <c r="BJ42" s="680"/>
      <c r="BK42" s="680"/>
      <c r="BL42" s="680"/>
      <c r="BM42" s="680"/>
      <c r="BN42" s="680"/>
      <c r="BO42" s="680"/>
      <c r="BP42" s="680"/>
      <c r="BQ42" s="680"/>
      <c r="BR42" s="680"/>
      <c r="BS42" s="680"/>
      <c r="BT42" s="680"/>
      <c r="BU42" s="680"/>
      <c r="BV42" s="680"/>
      <c r="BW42" s="680"/>
      <c r="BX42" s="680"/>
      <c r="BY42" s="680"/>
      <c r="BZ42" s="680"/>
      <c r="CA42" s="680"/>
      <c r="CB42" s="680"/>
      <c r="CC42" s="680"/>
      <c r="CD42" s="680"/>
      <c r="CE42" s="680"/>
      <c r="CF42" s="680"/>
      <c r="CG42" s="680"/>
      <c r="CH42" s="680"/>
      <c r="CI42" s="680"/>
      <c r="CJ42" s="680"/>
    </row>
    <row r="43" spans="1:96" s="684" customFormat="1" ht="19.5" customHeight="1">
      <c r="A43" s="681"/>
      <c r="B43" s="316"/>
      <c r="C43" s="1991" t="s">
        <v>836</v>
      </c>
      <c r="D43" s="1981"/>
      <c r="E43" s="1981"/>
      <c r="F43" s="1981"/>
      <c r="G43" s="1981"/>
      <c r="H43" s="1981"/>
      <c r="I43" s="1981"/>
      <c r="J43" s="1982"/>
      <c r="K43" s="331"/>
      <c r="L43" s="683"/>
      <c r="M43" s="1986"/>
      <c r="N43" s="1987"/>
      <c r="O43" s="1987"/>
      <c r="P43" s="1987"/>
      <c r="Q43" s="1987"/>
      <c r="R43" s="1987"/>
      <c r="S43" s="1987"/>
      <c r="T43" s="1988"/>
      <c r="U43" s="683"/>
      <c r="V43" s="683"/>
      <c r="W43" s="683"/>
      <c r="X43" s="683"/>
      <c r="Y43" s="683"/>
      <c r="Z43" s="683"/>
      <c r="AA43" s="683"/>
      <c r="AB43" s="683"/>
      <c r="AC43" s="683"/>
      <c r="AD43" s="683"/>
      <c r="AE43" s="683"/>
      <c r="AF43" s="683"/>
      <c r="AG43" s="683"/>
      <c r="AH43" s="683"/>
      <c r="AI43" s="683"/>
      <c r="AJ43" s="683"/>
      <c r="AK43" s="683"/>
      <c r="AL43" s="683"/>
      <c r="AM43" s="683"/>
      <c r="AN43" s="683"/>
      <c r="AO43" s="683"/>
      <c r="AP43" s="683"/>
      <c r="AQ43" s="683"/>
      <c r="AR43" s="683"/>
      <c r="AS43" s="683"/>
      <c r="AT43" s="683"/>
      <c r="AU43" s="683"/>
      <c r="AV43" s="683"/>
      <c r="AW43" s="683"/>
      <c r="AX43" s="683"/>
      <c r="AY43" s="683"/>
      <c r="AZ43" s="683"/>
      <c r="BA43" s="683"/>
      <c r="BB43" s="683"/>
      <c r="BC43" s="683"/>
      <c r="BD43" s="683"/>
      <c r="BE43" s="683"/>
      <c r="BF43" s="683"/>
      <c r="BG43" s="683"/>
      <c r="BH43" s="683"/>
      <c r="BI43" s="683"/>
      <c r="BJ43" s="683"/>
      <c r="BK43" s="683"/>
      <c r="BL43" s="683"/>
      <c r="BM43" s="683"/>
      <c r="BN43" s="683"/>
      <c r="BO43" s="683"/>
      <c r="BP43" s="683"/>
      <c r="BQ43" s="683"/>
      <c r="BR43" s="683"/>
      <c r="BS43" s="683"/>
      <c r="BT43" s="683"/>
      <c r="BU43" s="683"/>
      <c r="BV43" s="683"/>
      <c r="BW43" s="683"/>
      <c r="BX43" s="683"/>
      <c r="BY43" s="683"/>
      <c r="BZ43" s="683"/>
      <c r="CA43" s="683"/>
      <c r="CB43" s="683"/>
      <c r="CC43" s="683"/>
      <c r="CD43" s="683"/>
      <c r="CE43" s="683"/>
      <c r="CF43" s="683"/>
      <c r="CG43" s="683"/>
      <c r="CH43" s="683"/>
      <c r="CI43" s="683"/>
      <c r="CJ43" s="683"/>
    </row>
    <row r="44" spans="1:96" s="684" customFormat="1" ht="19.5" customHeight="1">
      <c r="A44" s="681"/>
      <c r="B44" s="316"/>
      <c r="C44" s="1304"/>
      <c r="D44" s="1302"/>
      <c r="E44" s="1302"/>
      <c r="F44" s="1302"/>
      <c r="G44" s="1302"/>
      <c r="H44" s="1302"/>
      <c r="I44" s="1302"/>
      <c r="J44" s="1303"/>
      <c r="K44" s="331"/>
      <c r="L44" s="683"/>
      <c r="M44" s="1986"/>
      <c r="N44" s="1987"/>
      <c r="O44" s="1987"/>
      <c r="P44" s="1987"/>
      <c r="Q44" s="1987"/>
      <c r="R44" s="1987"/>
      <c r="S44" s="1987"/>
      <c r="T44" s="1988"/>
      <c r="U44" s="683"/>
      <c r="V44" s="683"/>
      <c r="W44" s="683"/>
      <c r="X44" s="683"/>
      <c r="Y44" s="683"/>
      <c r="Z44" s="683"/>
      <c r="AA44" s="683"/>
      <c r="AB44" s="683"/>
      <c r="AC44" s="683"/>
      <c r="AD44" s="683"/>
      <c r="AE44" s="683"/>
      <c r="AF44" s="683"/>
      <c r="AG44" s="683"/>
      <c r="AH44" s="683"/>
      <c r="AI44" s="683"/>
      <c r="AJ44" s="683"/>
      <c r="AK44" s="683"/>
      <c r="AL44" s="683"/>
      <c r="AM44" s="683"/>
      <c r="AN44" s="683"/>
      <c r="AO44" s="683"/>
      <c r="AP44" s="683"/>
      <c r="AQ44" s="683"/>
      <c r="AR44" s="683"/>
      <c r="AS44" s="683"/>
      <c r="AT44" s="683"/>
      <c r="AU44" s="683"/>
      <c r="AV44" s="683"/>
      <c r="AW44" s="683"/>
      <c r="AX44" s="683"/>
      <c r="AY44" s="683"/>
      <c r="AZ44" s="683"/>
      <c r="BA44" s="683"/>
      <c r="BB44" s="683"/>
      <c r="BC44" s="683"/>
      <c r="BD44" s="683"/>
      <c r="BE44" s="683"/>
      <c r="BF44" s="683"/>
      <c r="BG44" s="683"/>
      <c r="BH44" s="683"/>
      <c r="BI44" s="683"/>
      <c r="BJ44" s="683"/>
      <c r="BK44" s="683"/>
      <c r="BL44" s="683"/>
      <c r="BM44" s="683"/>
      <c r="BN44" s="683"/>
      <c r="BO44" s="683"/>
      <c r="BP44" s="683"/>
      <c r="BQ44" s="683"/>
      <c r="BR44" s="683"/>
      <c r="BS44" s="683"/>
      <c r="BT44" s="683"/>
      <c r="BU44" s="683"/>
      <c r="BV44" s="683"/>
      <c r="BW44" s="683"/>
      <c r="BX44" s="683"/>
      <c r="BY44" s="683"/>
      <c r="BZ44" s="683"/>
      <c r="CA44" s="683"/>
      <c r="CB44" s="683"/>
      <c r="CC44" s="683"/>
      <c r="CD44" s="683"/>
      <c r="CE44" s="683"/>
      <c r="CF44" s="683"/>
      <c r="CG44" s="683"/>
      <c r="CH44" s="683"/>
      <c r="CI44" s="683"/>
      <c r="CJ44" s="683"/>
    </row>
    <row r="45" spans="1:96" s="684" customFormat="1" ht="18.75" customHeight="1">
      <c r="A45" s="681"/>
      <c r="B45" s="316"/>
      <c r="C45" s="1989" t="s">
        <v>2964</v>
      </c>
      <c r="D45" s="1981"/>
      <c r="E45" s="1981"/>
      <c r="F45" s="1981"/>
      <c r="G45" s="1981"/>
      <c r="H45" s="1981"/>
      <c r="I45" s="1981"/>
      <c r="J45" s="1982"/>
      <c r="K45" s="332"/>
      <c r="L45" s="683"/>
      <c r="M45" s="1986"/>
      <c r="N45" s="1987"/>
      <c r="O45" s="1987"/>
      <c r="P45" s="1987"/>
      <c r="Q45" s="1987"/>
      <c r="R45" s="1987"/>
      <c r="S45" s="1987"/>
      <c r="T45" s="1988"/>
      <c r="U45" s="683"/>
      <c r="V45" s="683"/>
      <c r="W45" s="683"/>
      <c r="X45" s="683"/>
      <c r="Y45" s="683"/>
      <c r="Z45" s="683"/>
      <c r="AA45" s="683"/>
      <c r="AB45" s="683"/>
      <c r="AC45" s="683"/>
      <c r="AD45" s="683"/>
      <c r="AE45" s="683"/>
      <c r="AF45" s="683"/>
      <c r="AG45" s="683"/>
      <c r="AH45" s="683"/>
      <c r="AI45" s="683"/>
      <c r="AJ45" s="683"/>
      <c r="AK45" s="683"/>
      <c r="AL45" s="683"/>
      <c r="AM45" s="683"/>
      <c r="AN45" s="683"/>
      <c r="AO45" s="683"/>
      <c r="AP45" s="683"/>
      <c r="AQ45" s="683"/>
      <c r="AR45" s="683"/>
      <c r="AS45" s="683"/>
      <c r="AT45" s="683"/>
      <c r="AU45" s="683"/>
      <c r="AV45" s="683"/>
      <c r="AW45" s="683"/>
      <c r="AX45" s="683"/>
      <c r="AY45" s="683"/>
      <c r="AZ45" s="683"/>
      <c r="BA45" s="683"/>
      <c r="BB45" s="683"/>
      <c r="BC45" s="683"/>
      <c r="BD45" s="683"/>
      <c r="BE45" s="683"/>
      <c r="BF45" s="683"/>
      <c r="BG45" s="683"/>
      <c r="BH45" s="683"/>
      <c r="BI45" s="683"/>
      <c r="BJ45" s="683"/>
      <c r="BK45" s="683"/>
      <c r="BL45" s="683"/>
      <c r="BM45" s="683"/>
      <c r="BN45" s="683"/>
      <c r="BO45" s="683"/>
      <c r="BP45" s="683"/>
      <c r="BQ45" s="683"/>
      <c r="BR45" s="683"/>
      <c r="BS45" s="683"/>
      <c r="BT45" s="683"/>
      <c r="BU45" s="683"/>
      <c r="BV45" s="683"/>
      <c r="BW45" s="683"/>
      <c r="BX45" s="683"/>
      <c r="BY45" s="683"/>
      <c r="BZ45" s="683"/>
      <c r="CA45" s="683"/>
      <c r="CB45" s="683"/>
      <c r="CC45" s="683"/>
      <c r="CD45" s="683"/>
      <c r="CE45" s="683"/>
      <c r="CF45" s="683"/>
      <c r="CG45" s="683"/>
      <c r="CH45" s="683"/>
      <c r="CI45" s="683"/>
      <c r="CJ45" s="683"/>
    </row>
    <row r="46" spans="1:96" s="181" customFormat="1" ht="20.25" customHeight="1">
      <c r="B46" s="685"/>
      <c r="C46" s="599"/>
      <c r="D46" s="600"/>
      <c r="E46" s="600"/>
      <c r="F46" s="600"/>
      <c r="G46" s="600"/>
      <c r="H46" s="600"/>
      <c r="I46" s="600"/>
      <c r="J46" s="601"/>
      <c r="K46" s="329"/>
      <c r="M46" s="593"/>
      <c r="N46" s="594"/>
      <c r="O46" s="2002" t="s">
        <v>2250</v>
      </c>
      <c r="P46" s="2002"/>
      <c r="Q46" s="2002"/>
      <c r="R46" s="2002"/>
      <c r="S46" s="2002"/>
      <c r="T46" s="1055"/>
    </row>
    <row r="47" spans="1:96" s="181" customFormat="1" ht="15.75" customHeight="1">
      <c r="B47" s="685"/>
      <c r="C47" s="599"/>
      <c r="D47" s="600"/>
      <c r="E47" s="600"/>
      <c r="F47" s="600"/>
      <c r="G47" s="600"/>
      <c r="H47" s="600"/>
      <c r="I47" s="600"/>
      <c r="J47" s="601"/>
      <c r="K47" s="329"/>
      <c r="M47" s="595"/>
      <c r="N47" s="596"/>
      <c r="O47" s="2001" t="s">
        <v>2249</v>
      </c>
      <c r="P47" s="2001"/>
      <c r="Q47" s="2001"/>
      <c r="R47" s="2001"/>
      <c r="S47" s="722"/>
      <c r="T47" s="723"/>
    </row>
    <row r="48" spans="1:96" s="181" customFormat="1" ht="17.25" customHeight="1">
      <c r="B48" s="685"/>
      <c r="C48" s="599"/>
      <c r="D48" s="600"/>
      <c r="E48" s="600"/>
      <c r="F48" s="600"/>
      <c r="G48" s="600"/>
      <c r="H48" s="600"/>
      <c r="I48" s="600"/>
      <c r="J48" s="601"/>
      <c r="K48" s="329"/>
      <c r="M48" s="595"/>
      <c r="N48" s="596"/>
      <c r="O48" s="2001" t="s">
        <v>769</v>
      </c>
      <c r="P48" s="2001"/>
      <c r="Q48" s="2001"/>
      <c r="R48" s="1218"/>
      <c r="S48" s="724"/>
      <c r="T48" s="725"/>
    </row>
    <row r="49" spans="2:20" s="181" customFormat="1" ht="17.25" customHeight="1">
      <c r="B49" s="685"/>
      <c r="C49" s="607"/>
      <c r="D49" s="608"/>
      <c r="E49" s="608"/>
      <c r="F49" s="608"/>
      <c r="G49" s="608"/>
      <c r="H49" s="608"/>
      <c r="I49" s="608"/>
      <c r="J49" s="609"/>
      <c r="K49" s="329"/>
      <c r="M49" s="595"/>
      <c r="N49" s="592"/>
      <c r="O49" s="2001" t="s">
        <v>770</v>
      </c>
      <c r="P49" s="2001"/>
      <c r="Q49" s="2001"/>
      <c r="R49" s="1218"/>
      <c r="S49" s="1217"/>
      <c r="T49" s="725"/>
    </row>
    <row r="50" spans="2:20" s="181" customFormat="1" ht="24.75" customHeight="1">
      <c r="B50" s="685"/>
      <c r="C50" s="1184"/>
      <c r="D50" s="1185"/>
      <c r="E50" s="1185"/>
      <c r="F50" s="1185"/>
      <c r="G50" s="1185"/>
      <c r="H50" s="1185"/>
      <c r="I50" s="1185"/>
      <c r="J50" s="1186"/>
      <c r="K50" s="329"/>
      <c r="M50" s="598"/>
      <c r="N50" s="592"/>
      <c r="O50" s="2001" t="s">
        <v>1273</v>
      </c>
      <c r="P50" s="2001"/>
      <c r="Q50" s="2001"/>
      <c r="R50" s="1218"/>
      <c r="S50" s="1217"/>
      <c r="T50" s="725"/>
    </row>
    <row r="51" spans="2:20" s="181" customFormat="1" ht="15.75" customHeight="1">
      <c r="B51" s="685"/>
      <c r="C51" s="1184"/>
      <c r="D51" s="1185"/>
      <c r="E51" s="1185"/>
      <c r="F51" s="1185"/>
      <c r="G51" s="1185"/>
      <c r="H51" s="1185"/>
      <c r="I51" s="1185"/>
      <c r="J51" s="1186"/>
      <c r="K51" s="329"/>
      <c r="M51" s="598"/>
      <c r="N51" s="592"/>
      <c r="O51" s="2002" t="s">
        <v>2636</v>
      </c>
      <c r="P51" s="2002"/>
      <c r="Q51" s="2002"/>
      <c r="R51" s="2002"/>
      <c r="S51" s="2002"/>
      <c r="T51" s="725"/>
    </row>
    <row r="52" spans="2:20" s="181" customFormat="1" ht="15.75" customHeight="1">
      <c r="B52" s="685"/>
      <c r="C52" s="1184"/>
      <c r="D52" s="1185"/>
      <c r="E52" s="1185"/>
      <c r="F52" s="1185"/>
      <c r="G52" s="1185"/>
      <c r="H52" s="1185"/>
      <c r="I52" s="1185"/>
      <c r="J52" s="1186"/>
      <c r="K52" s="329"/>
      <c r="M52" s="598"/>
      <c r="N52" s="592"/>
      <c r="O52" s="2001" t="s">
        <v>2025</v>
      </c>
      <c r="P52" s="2001"/>
      <c r="Q52" s="2001"/>
      <c r="R52" s="2001"/>
      <c r="S52" s="722"/>
      <c r="T52" s="725"/>
    </row>
    <row r="53" spans="2:20" s="181" customFormat="1" ht="15.75" customHeight="1">
      <c r="B53" s="685"/>
      <c r="C53" s="1184"/>
      <c r="D53" s="1185"/>
      <c r="E53" s="1185"/>
      <c r="F53" s="1185"/>
      <c r="G53" s="1185"/>
      <c r="H53" s="1185"/>
      <c r="I53" s="1185"/>
      <c r="J53" s="1186"/>
      <c r="K53" s="329"/>
      <c r="M53" s="598"/>
      <c r="N53" s="592"/>
      <c r="O53" s="2001" t="s">
        <v>769</v>
      </c>
      <c r="P53" s="2001"/>
      <c r="Q53" s="2001"/>
      <c r="R53" s="1352"/>
      <c r="S53" s="724"/>
      <c r="T53" s="725"/>
    </row>
    <row r="54" spans="2:20" s="181" customFormat="1" ht="15.75" customHeight="1">
      <c r="B54" s="685"/>
      <c r="C54" s="1184"/>
      <c r="D54" s="1185"/>
      <c r="E54" s="1185"/>
      <c r="F54" s="1185"/>
      <c r="G54" s="1185"/>
      <c r="H54" s="1185"/>
      <c r="I54" s="1185"/>
      <c r="J54" s="1186"/>
      <c r="K54" s="329"/>
      <c r="M54" s="598"/>
      <c r="N54" s="592"/>
      <c r="O54" s="2001" t="s">
        <v>770</v>
      </c>
      <c r="P54" s="2001"/>
      <c r="Q54" s="2001"/>
      <c r="R54" s="1352"/>
      <c r="S54" s="1353"/>
      <c r="T54" s="725"/>
    </row>
    <row r="55" spans="2:20" s="181" customFormat="1" ht="15.75" customHeight="1">
      <c r="B55" s="685"/>
      <c r="C55" s="1184"/>
      <c r="D55" s="1185"/>
      <c r="E55" s="1185"/>
      <c r="F55" s="1185"/>
      <c r="G55" s="1185"/>
      <c r="H55" s="1185"/>
      <c r="I55" s="1185"/>
      <c r="J55" s="1186"/>
      <c r="K55" s="329"/>
      <c r="M55" s="598"/>
      <c r="N55" s="592"/>
      <c r="O55" s="2001" t="s">
        <v>1273</v>
      </c>
      <c r="P55" s="2001"/>
      <c r="Q55" s="2001"/>
      <c r="R55" s="1352"/>
      <c r="S55" s="1353"/>
      <c r="T55" s="725"/>
    </row>
    <row r="56" spans="2:20" s="181" customFormat="1" ht="15.75" customHeight="1">
      <c r="B56" s="685"/>
      <c r="C56" s="1184"/>
      <c r="D56" s="1185"/>
      <c r="E56" s="1185"/>
      <c r="F56" s="1185"/>
      <c r="G56" s="1185"/>
      <c r="H56" s="1185"/>
      <c r="I56" s="1185"/>
      <c r="J56" s="1186"/>
      <c r="K56" s="329"/>
      <c r="M56" s="598"/>
      <c r="N56" s="592"/>
      <c r="O56" s="1352"/>
      <c r="P56" s="1352"/>
      <c r="Q56" s="1352"/>
      <c r="R56" s="1352"/>
      <c r="S56" s="1353"/>
      <c r="T56" s="725"/>
    </row>
    <row r="57" spans="2:20" s="181" customFormat="1" ht="18" customHeight="1">
      <c r="B57" s="685"/>
      <c r="C57" s="610"/>
      <c r="D57" s="611"/>
      <c r="E57" s="611"/>
      <c r="F57" s="611"/>
      <c r="G57" s="611"/>
      <c r="H57" s="611"/>
      <c r="I57" s="611"/>
      <c r="J57" s="612"/>
      <c r="K57" s="333"/>
      <c r="M57" s="598"/>
      <c r="N57" s="592"/>
      <c r="O57" s="2002" t="s">
        <v>2556</v>
      </c>
      <c r="P57" s="2002"/>
      <c r="Q57" s="2002"/>
      <c r="R57" s="2002"/>
      <c r="S57" s="2002"/>
      <c r="T57" s="597"/>
    </row>
    <row r="58" spans="2:20" s="181" customFormat="1" ht="15.75" customHeight="1">
      <c r="B58" s="685"/>
      <c r="C58" s="610"/>
      <c r="D58" s="611"/>
      <c r="E58" s="611"/>
      <c r="F58" s="611"/>
      <c r="G58" s="611"/>
      <c r="H58" s="611"/>
      <c r="I58" s="611"/>
      <c r="J58" s="612"/>
      <c r="K58" s="333"/>
      <c r="M58" s="598"/>
      <c r="N58" s="592"/>
      <c r="O58" s="2001" t="s">
        <v>2025</v>
      </c>
      <c r="P58" s="2001"/>
      <c r="Q58" s="2001"/>
      <c r="R58" s="2001"/>
      <c r="S58" s="722"/>
      <c r="T58" s="597"/>
    </row>
    <row r="59" spans="2:20" s="181" customFormat="1" ht="14.25" customHeight="1">
      <c r="B59" s="685"/>
      <c r="C59" s="1184"/>
      <c r="D59" s="1185"/>
      <c r="E59" s="1185"/>
      <c r="F59" s="1185"/>
      <c r="G59" s="1185"/>
      <c r="H59" s="1185"/>
      <c r="I59" s="1185"/>
      <c r="J59" s="1186"/>
      <c r="K59" s="182"/>
      <c r="M59" s="598"/>
      <c r="N59" s="592"/>
      <c r="O59" s="2001" t="s">
        <v>769</v>
      </c>
      <c r="P59" s="2001"/>
      <c r="Q59" s="2001"/>
      <c r="R59" s="1218"/>
      <c r="S59" s="724"/>
      <c r="T59" s="597"/>
    </row>
    <row r="60" spans="2:20" s="181" customFormat="1" ht="14.25" customHeight="1">
      <c r="B60" s="685"/>
      <c r="C60" s="1293"/>
      <c r="D60" s="1294"/>
      <c r="E60" s="1294"/>
      <c r="F60" s="1294"/>
      <c r="G60" s="1294"/>
      <c r="H60" s="1294"/>
      <c r="I60" s="1294"/>
      <c r="J60" s="1295"/>
      <c r="K60" s="182"/>
      <c r="M60" s="595"/>
      <c r="N60" s="596"/>
      <c r="O60" s="2001" t="s">
        <v>770</v>
      </c>
      <c r="P60" s="2001"/>
      <c r="Q60" s="2001"/>
      <c r="R60" s="1218"/>
      <c r="S60" s="1217"/>
      <c r="T60" s="597"/>
    </row>
    <row r="61" spans="2:20" s="181" customFormat="1" ht="20.25" customHeight="1">
      <c r="B61" s="685"/>
      <c r="C61" s="1293"/>
      <c r="D61" s="1294"/>
      <c r="E61" s="1294"/>
      <c r="F61" s="1294"/>
      <c r="G61" s="1294"/>
      <c r="H61" s="1294"/>
      <c r="I61" s="1294"/>
      <c r="J61" s="1295"/>
      <c r="K61" s="182"/>
      <c r="M61" s="595"/>
      <c r="N61" s="596"/>
      <c r="O61" s="2001" t="s">
        <v>1273</v>
      </c>
      <c r="P61" s="2001"/>
      <c r="Q61" s="2001"/>
      <c r="R61" s="1218"/>
      <c r="S61" s="1217"/>
      <c r="T61" s="597"/>
    </row>
    <row r="62" spans="2:20" s="181" customFormat="1" ht="20.25" customHeight="1">
      <c r="B62" s="685"/>
      <c r="C62" s="1293"/>
      <c r="D62" s="1294"/>
      <c r="E62" s="1294"/>
      <c r="F62" s="1294"/>
      <c r="G62" s="1294"/>
      <c r="H62" s="1294"/>
      <c r="I62" s="1294"/>
      <c r="J62" s="1295"/>
      <c r="K62" s="182"/>
      <c r="M62" s="595"/>
      <c r="N62" s="596"/>
      <c r="O62" s="1291"/>
      <c r="P62" s="1291"/>
      <c r="Q62" s="1291"/>
      <c r="R62" s="1291"/>
      <c r="S62" s="1292"/>
      <c r="T62" s="597"/>
    </row>
    <row r="63" spans="2:20" s="181" customFormat="1" ht="20.25" customHeight="1">
      <c r="B63" s="685"/>
      <c r="C63" s="1293"/>
      <c r="D63" s="1294"/>
      <c r="E63" s="1294"/>
      <c r="F63" s="1294"/>
      <c r="G63" s="1294"/>
      <c r="H63" s="1294"/>
      <c r="I63" s="1294"/>
      <c r="J63" s="1295"/>
      <c r="K63" s="182"/>
      <c r="M63" s="595"/>
      <c r="N63" s="596"/>
      <c r="O63" s="2002" t="s">
        <v>3079</v>
      </c>
      <c r="P63" s="2002"/>
      <c r="Q63" s="2002"/>
      <c r="R63" s="2002"/>
      <c r="S63" s="2002"/>
      <c r="T63" s="597"/>
    </row>
    <row r="64" spans="2:20" s="181" customFormat="1" ht="14.25" customHeight="1">
      <c r="B64" s="685"/>
      <c r="C64" s="1184"/>
      <c r="D64" s="1185"/>
      <c r="E64" s="1185"/>
      <c r="F64" s="1185"/>
      <c r="G64" s="1185"/>
      <c r="H64" s="1185"/>
      <c r="I64" s="1185"/>
      <c r="J64" s="1186"/>
      <c r="K64" s="182"/>
      <c r="M64" s="595"/>
      <c r="N64" s="596"/>
      <c r="O64" s="2001" t="s">
        <v>2025</v>
      </c>
      <c r="P64" s="2001"/>
      <c r="Q64" s="2001"/>
      <c r="R64" s="2001"/>
      <c r="S64" s="722"/>
      <c r="T64" s="597"/>
    </row>
    <row r="65" spans="2:20" s="181" customFormat="1" ht="14.25" customHeight="1">
      <c r="B65" s="685"/>
      <c r="C65" s="1293"/>
      <c r="D65" s="1294"/>
      <c r="E65" s="1294"/>
      <c r="F65" s="1294"/>
      <c r="G65" s="1294"/>
      <c r="H65" s="1294"/>
      <c r="I65" s="1294"/>
      <c r="J65" s="1295"/>
      <c r="K65" s="182"/>
      <c r="M65" s="595"/>
      <c r="N65" s="596"/>
      <c r="O65" s="2001" t="s">
        <v>769</v>
      </c>
      <c r="P65" s="2001"/>
      <c r="Q65" s="2001"/>
      <c r="R65" s="1364"/>
      <c r="S65" s="724"/>
      <c r="T65" s="597"/>
    </row>
    <row r="66" spans="2:20" s="181" customFormat="1" ht="15" customHeight="1">
      <c r="B66" s="685"/>
      <c r="C66" s="610"/>
      <c r="D66" s="611"/>
      <c r="E66" s="611"/>
      <c r="F66" s="611"/>
      <c r="G66" s="611"/>
      <c r="H66" s="611"/>
      <c r="I66" s="611"/>
      <c r="J66" s="612"/>
      <c r="K66" s="182"/>
      <c r="M66" s="595"/>
      <c r="N66" s="596"/>
      <c r="O66" s="2001" t="s">
        <v>770</v>
      </c>
      <c r="P66" s="2001"/>
      <c r="Q66" s="2001"/>
      <c r="R66" s="1364"/>
      <c r="S66" s="1363"/>
      <c r="T66" s="597"/>
    </row>
    <row r="67" spans="2:20" s="181" customFormat="1" ht="19.5" customHeight="1">
      <c r="B67" s="685"/>
      <c r="C67" s="610"/>
      <c r="D67" s="611"/>
      <c r="E67" s="611"/>
      <c r="F67" s="611"/>
      <c r="G67" s="611"/>
      <c r="H67" s="611"/>
      <c r="I67" s="611"/>
      <c r="J67" s="612"/>
      <c r="K67" s="182"/>
      <c r="M67" s="595"/>
      <c r="N67" s="596"/>
      <c r="O67" s="2001" t="s">
        <v>1273</v>
      </c>
      <c r="P67" s="2001"/>
      <c r="Q67" s="2001"/>
      <c r="R67" s="1364"/>
      <c r="S67" s="1363"/>
      <c r="T67" s="597"/>
    </row>
    <row r="68" spans="2:20" s="181" customFormat="1" ht="19.5" customHeight="1">
      <c r="B68" s="685"/>
      <c r="C68" s="610"/>
      <c r="D68" s="611"/>
      <c r="E68" s="611"/>
      <c r="F68" s="611"/>
      <c r="G68" s="611"/>
      <c r="H68" s="611"/>
      <c r="I68" s="611"/>
      <c r="J68" s="612"/>
      <c r="K68" s="182"/>
      <c r="M68" s="595"/>
      <c r="N68" s="596"/>
      <c r="O68" s="1291"/>
      <c r="P68" s="1291"/>
      <c r="Q68" s="1291"/>
      <c r="R68" s="1291"/>
      <c r="S68" s="1292"/>
      <c r="T68" s="597"/>
    </row>
    <row r="69" spans="2:20" s="181" customFormat="1" ht="15.75" customHeight="1">
      <c r="B69" s="685"/>
      <c r="C69" s="610"/>
      <c r="D69" s="611"/>
      <c r="E69" s="611"/>
      <c r="F69" s="611"/>
      <c r="G69" s="611"/>
      <c r="H69" s="611"/>
      <c r="I69" s="611"/>
      <c r="J69" s="612"/>
      <c r="K69" s="182"/>
      <c r="M69" s="595"/>
      <c r="N69" s="596"/>
      <c r="O69" s="2002" t="s">
        <v>3078</v>
      </c>
      <c r="P69" s="2002"/>
      <c r="Q69" s="2002"/>
      <c r="R69" s="2002"/>
      <c r="S69" s="2002"/>
      <c r="T69" s="597"/>
    </row>
    <row r="70" spans="2:20" s="181" customFormat="1" ht="14.25" customHeight="1">
      <c r="B70" s="685"/>
      <c r="C70" s="2006"/>
      <c r="D70" s="2007"/>
      <c r="E70" s="2007"/>
      <c r="F70" s="2007"/>
      <c r="G70" s="2007"/>
      <c r="H70" s="2007"/>
      <c r="I70" s="2007"/>
      <c r="J70" s="2008"/>
      <c r="K70" s="182"/>
      <c r="M70" s="595"/>
      <c r="N70" s="596"/>
      <c r="O70" s="2001" t="s">
        <v>1469</v>
      </c>
      <c r="P70" s="2001"/>
      <c r="Q70" s="2001"/>
      <c r="R70" s="2001"/>
      <c r="S70" s="722"/>
      <c r="T70" s="1055"/>
    </row>
    <row r="71" spans="2:20" s="181" customFormat="1" ht="16.5" customHeight="1">
      <c r="B71" s="685"/>
      <c r="C71" s="610"/>
      <c r="D71" s="611"/>
      <c r="E71" s="611"/>
      <c r="F71" s="611"/>
      <c r="G71" s="611"/>
      <c r="H71" s="611"/>
      <c r="I71" s="611"/>
      <c r="J71" s="612"/>
      <c r="K71" s="182"/>
      <c r="M71" s="595"/>
      <c r="N71" s="596"/>
      <c r="O71" s="2001" t="s">
        <v>769</v>
      </c>
      <c r="P71" s="2001"/>
      <c r="Q71" s="2001"/>
      <c r="R71" s="1218"/>
      <c r="S71" s="724"/>
      <c r="T71" s="597"/>
    </row>
    <row r="72" spans="2:20" s="181" customFormat="1" ht="16.5" customHeight="1">
      <c r="B72" s="685"/>
      <c r="C72" s="610"/>
      <c r="D72" s="611"/>
      <c r="E72" s="611"/>
      <c r="F72" s="611"/>
      <c r="G72" s="611"/>
      <c r="H72" s="611"/>
      <c r="I72" s="611"/>
      <c r="J72" s="612"/>
      <c r="K72" s="182"/>
      <c r="M72" s="595"/>
      <c r="N72" s="596"/>
      <c r="O72" s="2001" t="s">
        <v>770</v>
      </c>
      <c r="P72" s="2001"/>
      <c r="Q72" s="2001"/>
      <c r="R72" s="1218"/>
      <c r="S72" s="1217"/>
      <c r="T72" s="597"/>
    </row>
    <row r="73" spans="2:20" s="181" customFormat="1" ht="16.5" customHeight="1">
      <c r="B73" s="685"/>
      <c r="C73" s="2006"/>
      <c r="D73" s="2007"/>
      <c r="E73" s="2007"/>
      <c r="F73" s="2007"/>
      <c r="G73" s="2007"/>
      <c r="H73" s="2007"/>
      <c r="I73" s="2007"/>
      <c r="J73" s="2008"/>
      <c r="K73" s="182"/>
      <c r="M73" s="595"/>
      <c r="N73" s="596"/>
      <c r="O73" s="2001" t="s">
        <v>1470</v>
      </c>
      <c r="P73" s="2001"/>
      <c r="Q73" s="2001"/>
      <c r="R73" s="1218"/>
      <c r="S73" s="1217"/>
      <c r="T73" s="597"/>
    </row>
    <row r="74" spans="2:20" s="181" customFormat="1" ht="21" customHeight="1">
      <c r="B74" s="685"/>
      <c r="C74" s="2006" t="s">
        <v>1781</v>
      </c>
      <c r="D74" s="2007"/>
      <c r="E74" s="2007"/>
      <c r="F74" s="2007"/>
      <c r="G74" s="2007"/>
      <c r="H74" s="2007"/>
      <c r="I74" s="2007"/>
      <c r="J74" s="2008"/>
      <c r="K74" s="182"/>
      <c r="M74" s="595"/>
      <c r="N74" s="596"/>
      <c r="O74" s="1288"/>
      <c r="P74" s="1288"/>
      <c r="Q74" s="1288"/>
      <c r="R74" s="1288"/>
      <c r="S74" s="1289"/>
      <c r="T74" s="597"/>
    </row>
    <row r="75" spans="2:20" s="181" customFormat="1" ht="18" customHeight="1">
      <c r="B75" s="685"/>
      <c r="C75" s="610"/>
      <c r="D75" s="611"/>
      <c r="E75" s="611"/>
      <c r="F75" s="611"/>
      <c r="G75" s="611"/>
      <c r="H75" s="611"/>
      <c r="I75" s="611"/>
      <c r="J75" s="612"/>
      <c r="K75" s="182"/>
      <c r="M75" s="595"/>
      <c r="N75" s="596"/>
      <c r="O75" s="2002" t="s">
        <v>2726</v>
      </c>
      <c r="P75" s="2002"/>
      <c r="Q75" s="2002"/>
      <c r="R75" s="2002"/>
      <c r="S75" s="2002"/>
      <c r="T75" s="597"/>
    </row>
    <row r="76" spans="2:20" s="181" customFormat="1" ht="19.5" customHeight="1">
      <c r="B76" s="685"/>
      <c r="C76" s="2006" t="s">
        <v>834</v>
      </c>
      <c r="D76" s="2007"/>
      <c r="E76" s="2007"/>
      <c r="F76" s="2007"/>
      <c r="G76" s="2007"/>
      <c r="H76" s="2007"/>
      <c r="I76" s="2007"/>
      <c r="J76" s="2008"/>
      <c r="K76" s="182"/>
      <c r="M76" s="610"/>
      <c r="N76" s="611"/>
      <c r="O76" s="2005" t="s">
        <v>2728</v>
      </c>
      <c r="P76" s="2005"/>
      <c r="Q76" s="2005"/>
      <c r="R76" s="596"/>
      <c r="S76" s="596"/>
      <c r="T76" s="612"/>
    </row>
    <row r="77" spans="2:20" s="181" customFormat="1" ht="15.75" customHeight="1">
      <c r="B77" s="685"/>
      <c r="C77" s="610"/>
      <c r="D77" s="611"/>
      <c r="E77" s="611"/>
      <c r="F77" s="611"/>
      <c r="G77" s="611"/>
      <c r="H77" s="611"/>
      <c r="I77" s="611"/>
      <c r="J77" s="612"/>
      <c r="K77" s="182"/>
      <c r="M77" s="610"/>
      <c r="N77" s="611"/>
      <c r="O77" s="2005" t="s">
        <v>769</v>
      </c>
      <c r="P77" s="2005"/>
      <c r="Q77" s="2005"/>
      <c r="R77" s="596"/>
      <c r="S77" s="596"/>
      <c r="T77" s="612"/>
    </row>
    <row r="78" spans="2:20" s="181" customFormat="1" ht="18" customHeight="1">
      <c r="B78" s="685"/>
      <c r="C78" s="610"/>
      <c r="D78" s="611"/>
      <c r="E78" s="611"/>
      <c r="F78" s="611"/>
      <c r="G78" s="611"/>
      <c r="H78" s="611"/>
      <c r="I78" s="611"/>
      <c r="J78" s="612"/>
      <c r="K78" s="182"/>
      <c r="M78" s="610"/>
      <c r="N78" s="611"/>
      <c r="O78" s="2005" t="s">
        <v>770</v>
      </c>
      <c r="P78" s="2005"/>
      <c r="Q78" s="2005"/>
      <c r="R78" s="596"/>
      <c r="S78" s="596"/>
      <c r="T78" s="612"/>
    </row>
    <row r="79" spans="2:20" s="181" customFormat="1" ht="18" customHeight="1">
      <c r="B79" s="685"/>
      <c r="C79" s="610"/>
      <c r="D79" s="611"/>
      <c r="E79" s="611"/>
      <c r="F79" s="611"/>
      <c r="G79" s="611"/>
      <c r="H79" s="611"/>
      <c r="I79" s="611"/>
      <c r="J79" s="612"/>
      <c r="M79" s="610"/>
      <c r="N79" s="611"/>
      <c r="O79" s="2001" t="s">
        <v>1470</v>
      </c>
      <c r="P79" s="2001"/>
      <c r="Q79" s="2001"/>
      <c r="R79" s="596"/>
      <c r="S79" s="596"/>
      <c r="T79" s="612"/>
    </row>
    <row r="80" spans="2:20" s="181" customFormat="1" ht="18" customHeight="1">
      <c r="B80" s="685"/>
      <c r="C80" s="610"/>
      <c r="D80" s="611"/>
      <c r="E80" s="611"/>
      <c r="F80" s="611"/>
      <c r="G80" s="611"/>
      <c r="H80" s="611"/>
      <c r="I80" s="611"/>
      <c r="J80" s="612"/>
      <c r="M80" s="610"/>
      <c r="N80" s="611"/>
      <c r="O80" s="1525"/>
      <c r="P80" s="1525"/>
      <c r="Q80" s="1525"/>
      <c r="R80" s="596"/>
      <c r="S80" s="596"/>
      <c r="T80" s="612"/>
    </row>
    <row r="81" spans="2:20" s="181" customFormat="1" ht="18" customHeight="1">
      <c r="B81" s="685"/>
      <c r="C81" s="610"/>
      <c r="D81" s="611"/>
      <c r="E81" s="611"/>
      <c r="F81" s="611"/>
      <c r="G81" s="611"/>
      <c r="H81" s="611"/>
      <c r="I81" s="611"/>
      <c r="J81" s="612"/>
      <c r="M81" s="610"/>
      <c r="N81" s="611"/>
      <c r="O81" s="2002" t="s">
        <v>3077</v>
      </c>
      <c r="P81" s="2002"/>
      <c r="Q81" s="2002"/>
      <c r="R81" s="2002"/>
      <c r="S81" s="2002"/>
      <c r="T81" s="612"/>
    </row>
    <row r="82" spans="2:20" s="181" customFormat="1" ht="18" customHeight="1">
      <c r="B82" s="685"/>
      <c r="C82" s="610"/>
      <c r="D82" s="611"/>
      <c r="E82" s="611"/>
      <c r="F82" s="611"/>
      <c r="G82" s="611"/>
      <c r="H82" s="611"/>
      <c r="I82" s="611"/>
      <c r="J82" s="612"/>
      <c r="M82" s="610"/>
      <c r="N82" s="611"/>
      <c r="O82" s="2005" t="s">
        <v>2832</v>
      </c>
      <c r="P82" s="2005"/>
      <c r="Q82" s="2005"/>
      <c r="R82" s="596"/>
      <c r="S82" s="596"/>
      <c r="T82" s="612"/>
    </row>
    <row r="83" spans="2:20" s="181" customFormat="1" ht="18" customHeight="1">
      <c r="B83" s="685"/>
      <c r="C83" s="610"/>
      <c r="D83" s="611"/>
      <c r="E83" s="611"/>
      <c r="F83" s="611"/>
      <c r="G83" s="611"/>
      <c r="H83" s="611"/>
      <c r="I83" s="611"/>
      <c r="J83" s="612"/>
      <c r="M83" s="610"/>
      <c r="N83" s="611"/>
      <c r="O83" s="2005" t="s">
        <v>769</v>
      </c>
      <c r="P83" s="2005"/>
      <c r="Q83" s="2005"/>
      <c r="R83" s="596"/>
      <c r="S83" s="596"/>
      <c r="T83" s="612"/>
    </row>
    <row r="84" spans="2:20" s="181" customFormat="1" ht="18" customHeight="1">
      <c r="B84" s="685"/>
      <c r="C84" s="610"/>
      <c r="D84" s="611"/>
      <c r="E84" s="611"/>
      <c r="F84" s="611"/>
      <c r="G84" s="611"/>
      <c r="H84" s="611"/>
      <c r="I84" s="611"/>
      <c r="J84" s="612"/>
      <c r="M84" s="610"/>
      <c r="N84" s="611"/>
      <c r="O84" s="2005" t="s">
        <v>770</v>
      </c>
      <c r="P84" s="2005"/>
      <c r="Q84" s="2005"/>
      <c r="R84" s="596"/>
      <c r="S84" s="596"/>
      <c r="T84" s="612"/>
    </row>
    <row r="85" spans="2:20" s="181" customFormat="1" ht="18" customHeight="1">
      <c r="B85" s="685"/>
      <c r="C85" s="610"/>
      <c r="D85" s="611"/>
      <c r="E85" s="611"/>
      <c r="F85" s="611"/>
      <c r="G85" s="611"/>
      <c r="H85" s="611"/>
      <c r="I85" s="611"/>
      <c r="J85" s="612"/>
      <c r="M85" s="610"/>
      <c r="N85" s="611"/>
      <c r="O85" s="2001" t="s">
        <v>1470</v>
      </c>
      <c r="P85" s="2001"/>
      <c r="Q85" s="2001"/>
      <c r="R85" s="596"/>
      <c r="S85" s="596"/>
      <c r="T85" s="612"/>
    </row>
    <row r="86" spans="2:20" s="181" customFormat="1" ht="18" customHeight="1">
      <c r="B86" s="685"/>
      <c r="C86" s="610"/>
      <c r="D86" s="611"/>
      <c r="E86" s="611"/>
      <c r="F86" s="611"/>
      <c r="G86" s="611"/>
      <c r="H86" s="611"/>
      <c r="I86" s="611"/>
      <c r="J86" s="612"/>
      <c r="M86" s="610"/>
      <c r="N86" s="611"/>
      <c r="O86" s="1525"/>
      <c r="P86" s="1525"/>
      <c r="Q86" s="1525"/>
      <c r="R86" s="596"/>
      <c r="S86" s="596"/>
      <c r="T86" s="612"/>
    </row>
    <row r="87" spans="2:20" s="181" customFormat="1" ht="20.100000000000001" customHeight="1" thickBot="1">
      <c r="B87" s="685"/>
      <c r="C87" s="1223"/>
      <c r="D87" s="1222"/>
      <c r="E87" s="2004"/>
      <c r="F87" s="2004"/>
      <c r="G87" s="2004"/>
      <c r="H87" s="1222"/>
      <c r="I87" s="1222"/>
      <c r="J87" s="1224"/>
      <c r="M87" s="1223"/>
      <c r="N87" s="1222"/>
      <c r="O87" s="2004"/>
      <c r="P87" s="2004"/>
      <c r="Q87" s="2004"/>
      <c r="R87" s="1222"/>
      <c r="S87" s="1222"/>
      <c r="T87" s="1224"/>
    </row>
    <row r="88" spans="2:20" s="181" customFormat="1">
      <c r="B88" s="685"/>
    </row>
    <row r="89" spans="2:20" s="181" customFormat="1">
      <c r="B89" s="685"/>
    </row>
    <row r="90" spans="2:20" s="181" customFormat="1">
      <c r="B90" s="685"/>
    </row>
    <row r="91" spans="2:20" s="181" customFormat="1">
      <c r="B91" s="685"/>
    </row>
    <row r="92" spans="2:20" s="181" customFormat="1">
      <c r="B92" s="685"/>
    </row>
    <row r="93" spans="2:20" s="181" customFormat="1">
      <c r="B93" s="685"/>
    </row>
    <row r="94" spans="2:20" s="181" customFormat="1">
      <c r="B94" s="685"/>
    </row>
    <row r="95" spans="2:20" s="181" customFormat="1">
      <c r="B95" s="685"/>
    </row>
    <row r="96" spans="2:20" s="181" customFormat="1">
      <c r="B96" s="685"/>
    </row>
    <row r="97" spans="2:2" s="181" customFormat="1">
      <c r="B97" s="685"/>
    </row>
    <row r="98" spans="2:2" s="181" customFormat="1">
      <c r="B98" s="685"/>
    </row>
    <row r="99" spans="2:2" s="181" customFormat="1">
      <c r="B99" s="685"/>
    </row>
    <row r="100" spans="2:2" s="181" customFormat="1">
      <c r="B100" s="685"/>
    </row>
    <row r="101" spans="2:2" s="181" customFormat="1">
      <c r="B101" s="685"/>
    </row>
    <row r="102" spans="2:2" s="181" customFormat="1">
      <c r="B102" s="685"/>
    </row>
    <row r="103" spans="2:2" s="181" customFormat="1">
      <c r="B103" s="685"/>
    </row>
    <row r="104" spans="2:2" s="181" customFormat="1">
      <c r="B104" s="685"/>
    </row>
    <row r="105" spans="2:2" s="181" customFormat="1">
      <c r="B105" s="685"/>
    </row>
    <row r="106" spans="2:2" s="181" customFormat="1">
      <c r="B106" s="685"/>
    </row>
    <row r="107" spans="2:2" s="181" customFormat="1">
      <c r="B107" s="685"/>
    </row>
    <row r="108" spans="2:2" s="181" customFormat="1">
      <c r="B108" s="685"/>
    </row>
    <row r="109" spans="2:2" s="181" customFormat="1">
      <c r="B109" s="685"/>
    </row>
    <row r="110" spans="2:2" s="181" customFormat="1">
      <c r="B110" s="685"/>
    </row>
    <row r="111" spans="2:2" s="181" customFormat="1">
      <c r="B111" s="685"/>
    </row>
    <row r="112" spans="2:2" s="181" customFormat="1">
      <c r="B112" s="685"/>
    </row>
    <row r="113" spans="2:2" s="181" customFormat="1">
      <c r="B113" s="685"/>
    </row>
    <row r="114" spans="2:2" s="181" customFormat="1">
      <c r="B114" s="685"/>
    </row>
    <row r="115" spans="2:2" s="181" customFormat="1">
      <c r="B115" s="685"/>
    </row>
    <row r="116" spans="2:2" s="181" customFormat="1">
      <c r="B116" s="685"/>
    </row>
    <row r="117" spans="2:2" s="181" customFormat="1">
      <c r="B117" s="685"/>
    </row>
    <row r="118" spans="2:2" s="181" customFormat="1">
      <c r="B118" s="685"/>
    </row>
    <row r="119" spans="2:2" s="181" customFormat="1">
      <c r="B119" s="685"/>
    </row>
    <row r="120" spans="2:2" s="181" customFormat="1">
      <c r="B120" s="685"/>
    </row>
    <row r="121" spans="2:2" s="181" customFormat="1">
      <c r="B121" s="685"/>
    </row>
    <row r="122" spans="2:2" s="181" customFormat="1">
      <c r="B122" s="685"/>
    </row>
    <row r="123" spans="2:2" s="181" customFormat="1">
      <c r="B123" s="685"/>
    </row>
    <row r="124" spans="2:2" s="181" customFormat="1">
      <c r="B124" s="685"/>
    </row>
    <row r="125" spans="2:2" s="181" customFormat="1">
      <c r="B125" s="685"/>
    </row>
    <row r="126" spans="2:2" s="181" customFormat="1">
      <c r="B126" s="685"/>
    </row>
    <row r="127" spans="2:2" s="181" customFormat="1">
      <c r="B127" s="685"/>
    </row>
    <row r="128" spans="2:2" s="181" customFormat="1">
      <c r="B128" s="685"/>
    </row>
    <row r="129" spans="2:2" s="181" customFormat="1">
      <c r="B129" s="685"/>
    </row>
    <row r="130" spans="2:2" s="181" customFormat="1">
      <c r="B130" s="685"/>
    </row>
    <row r="131" spans="2:2" s="181" customFormat="1">
      <c r="B131" s="685"/>
    </row>
    <row r="132" spans="2:2" s="181" customFormat="1">
      <c r="B132" s="685"/>
    </row>
    <row r="133" spans="2:2" s="181" customFormat="1">
      <c r="B133" s="685"/>
    </row>
    <row r="134" spans="2:2" s="181" customFormat="1">
      <c r="B134" s="685"/>
    </row>
    <row r="135" spans="2:2" s="181" customFormat="1">
      <c r="B135" s="685"/>
    </row>
    <row r="136" spans="2:2" s="181" customFormat="1">
      <c r="B136" s="685"/>
    </row>
    <row r="137" spans="2:2" s="181" customFormat="1">
      <c r="B137" s="685"/>
    </row>
    <row r="138" spans="2:2" s="181" customFormat="1">
      <c r="B138" s="685"/>
    </row>
    <row r="139" spans="2:2" s="181" customFormat="1">
      <c r="B139" s="685"/>
    </row>
    <row r="140" spans="2:2" s="181" customFormat="1">
      <c r="B140" s="685"/>
    </row>
    <row r="141" spans="2:2" s="181" customFormat="1">
      <c r="B141" s="685"/>
    </row>
    <row r="142" spans="2:2" s="181" customFormat="1">
      <c r="B142" s="685"/>
    </row>
    <row r="143" spans="2:2" s="181" customFormat="1">
      <c r="B143" s="685"/>
    </row>
    <row r="144" spans="2:2" s="181" customFormat="1">
      <c r="B144" s="685"/>
    </row>
    <row r="145" spans="2:2" s="181" customFormat="1">
      <c r="B145" s="685"/>
    </row>
    <row r="146" spans="2:2" s="181" customFormat="1">
      <c r="B146" s="685"/>
    </row>
    <row r="147" spans="2:2" s="181" customFormat="1">
      <c r="B147" s="685"/>
    </row>
    <row r="148" spans="2:2" s="181" customFormat="1">
      <c r="B148" s="685"/>
    </row>
    <row r="149" spans="2:2" s="181" customFormat="1">
      <c r="B149" s="685"/>
    </row>
    <row r="150" spans="2:2" s="181" customFormat="1">
      <c r="B150" s="685"/>
    </row>
    <row r="151" spans="2:2" s="181" customFormat="1">
      <c r="B151" s="685"/>
    </row>
    <row r="152" spans="2:2" s="181" customFormat="1">
      <c r="B152" s="685"/>
    </row>
    <row r="153" spans="2:2" s="181" customFormat="1">
      <c r="B153" s="685"/>
    </row>
    <row r="154" spans="2:2" s="181" customFormat="1">
      <c r="B154" s="685"/>
    </row>
    <row r="155" spans="2:2" s="181" customFormat="1">
      <c r="B155" s="685"/>
    </row>
    <row r="156" spans="2:2" s="181" customFormat="1">
      <c r="B156" s="685"/>
    </row>
    <row r="157" spans="2:2" s="181" customFormat="1">
      <c r="B157" s="685"/>
    </row>
    <row r="158" spans="2:2" s="181" customFormat="1">
      <c r="B158" s="685"/>
    </row>
    <row r="159" spans="2:2" s="181" customFormat="1">
      <c r="B159" s="685"/>
    </row>
    <row r="160" spans="2:2" s="181" customFormat="1">
      <c r="B160" s="685"/>
    </row>
    <row r="161" spans="2:2" s="181" customFormat="1">
      <c r="B161" s="685"/>
    </row>
    <row r="162" spans="2:2" s="181" customFormat="1">
      <c r="B162" s="685"/>
    </row>
    <row r="163" spans="2:2" s="181" customFormat="1">
      <c r="B163" s="685"/>
    </row>
    <row r="164" spans="2:2" s="181" customFormat="1">
      <c r="B164" s="685"/>
    </row>
    <row r="165" spans="2:2" s="181" customFormat="1">
      <c r="B165" s="685"/>
    </row>
    <row r="166" spans="2:2" s="181" customFormat="1">
      <c r="B166" s="685"/>
    </row>
    <row r="167" spans="2:2" s="181" customFormat="1">
      <c r="B167" s="685"/>
    </row>
    <row r="168" spans="2:2" s="181" customFormat="1">
      <c r="B168" s="685"/>
    </row>
    <row r="169" spans="2:2" s="181" customFormat="1">
      <c r="B169" s="685"/>
    </row>
    <row r="170" spans="2:2" s="181" customFormat="1">
      <c r="B170" s="685"/>
    </row>
    <row r="171" spans="2:2" s="181" customFormat="1">
      <c r="B171" s="685"/>
    </row>
    <row r="172" spans="2:2" s="181" customFormat="1">
      <c r="B172" s="685"/>
    </row>
    <row r="173" spans="2:2" s="181" customFormat="1">
      <c r="B173" s="685"/>
    </row>
    <row r="174" spans="2:2" s="181" customFormat="1">
      <c r="B174" s="685"/>
    </row>
    <row r="175" spans="2:2" s="181" customFormat="1">
      <c r="B175" s="685"/>
    </row>
    <row r="176" spans="2:2" s="181" customFormat="1">
      <c r="B176" s="685"/>
    </row>
    <row r="177" spans="2:2" s="181" customFormat="1">
      <c r="B177" s="685"/>
    </row>
    <row r="178" spans="2:2" s="181" customFormat="1">
      <c r="B178" s="685"/>
    </row>
    <row r="179" spans="2:2" s="181" customFormat="1">
      <c r="B179" s="685"/>
    </row>
    <row r="180" spans="2:2" s="181" customFormat="1">
      <c r="B180" s="685"/>
    </row>
    <row r="181" spans="2:2" s="181" customFormat="1">
      <c r="B181" s="685"/>
    </row>
    <row r="182" spans="2:2" s="181" customFormat="1">
      <c r="B182" s="685"/>
    </row>
    <row r="183" spans="2:2" s="181" customFormat="1">
      <c r="B183" s="685"/>
    </row>
    <row r="184" spans="2:2" s="181" customFormat="1">
      <c r="B184" s="685"/>
    </row>
    <row r="185" spans="2:2" s="181" customFormat="1">
      <c r="B185" s="685"/>
    </row>
    <row r="186" spans="2:2" s="181" customFormat="1">
      <c r="B186" s="685"/>
    </row>
    <row r="187" spans="2:2" s="181" customFormat="1">
      <c r="B187" s="685"/>
    </row>
    <row r="188" spans="2:2" s="181" customFormat="1">
      <c r="B188" s="685"/>
    </row>
    <row r="189" spans="2:2" s="181" customFormat="1">
      <c r="B189" s="685"/>
    </row>
    <row r="190" spans="2:2" s="181" customFormat="1">
      <c r="B190" s="685"/>
    </row>
    <row r="191" spans="2:2" s="181" customFormat="1">
      <c r="B191" s="685"/>
    </row>
    <row r="192" spans="2:2" s="181" customFormat="1">
      <c r="B192" s="685"/>
    </row>
    <row r="193" spans="2:2" s="181" customFormat="1">
      <c r="B193" s="685"/>
    </row>
    <row r="194" spans="2:2" s="181" customFormat="1">
      <c r="B194" s="685"/>
    </row>
    <row r="195" spans="2:2" s="181" customFormat="1">
      <c r="B195" s="685"/>
    </row>
    <row r="196" spans="2:2" s="181" customFormat="1">
      <c r="B196" s="685"/>
    </row>
    <row r="197" spans="2:2" s="181" customFormat="1">
      <c r="B197" s="685"/>
    </row>
    <row r="198" spans="2:2" s="181" customFormat="1">
      <c r="B198" s="685"/>
    </row>
    <row r="199" spans="2:2" s="181" customFormat="1">
      <c r="B199" s="685"/>
    </row>
    <row r="200" spans="2:2" s="181" customFormat="1">
      <c r="B200" s="685"/>
    </row>
    <row r="201" spans="2:2" s="181" customFormat="1">
      <c r="B201" s="685"/>
    </row>
    <row r="202" spans="2:2" s="181" customFormat="1">
      <c r="B202" s="685"/>
    </row>
    <row r="203" spans="2:2" s="181" customFormat="1">
      <c r="B203" s="685"/>
    </row>
    <row r="204" spans="2:2" s="181" customFormat="1">
      <c r="B204" s="685"/>
    </row>
    <row r="205" spans="2:2" s="181" customFormat="1">
      <c r="B205" s="685"/>
    </row>
    <row r="206" spans="2:2" s="181" customFormat="1">
      <c r="B206" s="685"/>
    </row>
    <row r="207" spans="2:2" s="181" customFormat="1">
      <c r="B207" s="685"/>
    </row>
    <row r="208" spans="2:2" s="181" customFormat="1">
      <c r="B208" s="685"/>
    </row>
    <row r="209" spans="2:2" s="181" customFormat="1">
      <c r="B209" s="685"/>
    </row>
    <row r="210" spans="2:2" s="181" customFormat="1">
      <c r="B210" s="685"/>
    </row>
    <row r="211" spans="2:2" s="181" customFormat="1">
      <c r="B211" s="685"/>
    </row>
    <row r="212" spans="2:2" s="181" customFormat="1">
      <c r="B212" s="685"/>
    </row>
    <row r="213" spans="2:2" s="181" customFormat="1">
      <c r="B213" s="685"/>
    </row>
    <row r="214" spans="2:2" s="181" customFormat="1">
      <c r="B214" s="685"/>
    </row>
    <row r="215" spans="2:2" s="181" customFormat="1">
      <c r="B215" s="685"/>
    </row>
    <row r="216" spans="2:2" s="181" customFormat="1">
      <c r="B216" s="685"/>
    </row>
    <row r="217" spans="2:2" s="181" customFormat="1">
      <c r="B217" s="685"/>
    </row>
    <row r="218" spans="2:2" s="181" customFormat="1">
      <c r="B218" s="685"/>
    </row>
    <row r="219" spans="2:2" s="181" customFormat="1">
      <c r="B219" s="685"/>
    </row>
    <row r="220" spans="2:2" s="181" customFormat="1">
      <c r="B220" s="685"/>
    </row>
    <row r="221" spans="2:2" s="181" customFormat="1">
      <c r="B221" s="685"/>
    </row>
    <row r="222" spans="2:2" s="181" customFormat="1">
      <c r="B222" s="685"/>
    </row>
    <row r="223" spans="2:2" s="181" customFormat="1">
      <c r="B223" s="685"/>
    </row>
    <row r="224" spans="2:2" s="181" customFormat="1">
      <c r="B224" s="685"/>
    </row>
    <row r="225" spans="2:2" s="181" customFormat="1">
      <c r="B225" s="685"/>
    </row>
    <row r="226" spans="2:2" s="181" customFormat="1">
      <c r="B226" s="685"/>
    </row>
    <row r="227" spans="2:2" s="181" customFormat="1">
      <c r="B227" s="685"/>
    </row>
    <row r="228" spans="2:2" s="181" customFormat="1">
      <c r="B228" s="685"/>
    </row>
    <row r="229" spans="2:2" s="181" customFormat="1">
      <c r="B229" s="685"/>
    </row>
    <row r="230" spans="2:2" s="181" customFormat="1">
      <c r="B230" s="685"/>
    </row>
    <row r="231" spans="2:2" s="181" customFormat="1">
      <c r="B231" s="685"/>
    </row>
    <row r="232" spans="2:2" s="181" customFormat="1">
      <c r="B232" s="685"/>
    </row>
    <row r="233" spans="2:2" s="181" customFormat="1">
      <c r="B233" s="685"/>
    </row>
    <row r="234" spans="2:2" s="181" customFormat="1">
      <c r="B234" s="685"/>
    </row>
    <row r="235" spans="2:2" s="181" customFormat="1">
      <c r="B235" s="685"/>
    </row>
    <row r="236" spans="2:2" s="181" customFormat="1">
      <c r="B236" s="685"/>
    </row>
    <row r="237" spans="2:2" s="181" customFormat="1">
      <c r="B237" s="685"/>
    </row>
    <row r="238" spans="2:2" s="181" customFormat="1">
      <c r="B238" s="685"/>
    </row>
    <row r="239" spans="2:2" s="181" customFormat="1">
      <c r="B239" s="685"/>
    </row>
    <row r="240" spans="2:2" s="181" customFormat="1">
      <c r="B240" s="685"/>
    </row>
    <row r="241" spans="2:2" s="181" customFormat="1">
      <c r="B241" s="685"/>
    </row>
    <row r="242" spans="2:2" s="181" customFormat="1">
      <c r="B242" s="685"/>
    </row>
    <row r="243" spans="2:2" s="181" customFormat="1">
      <c r="B243" s="685"/>
    </row>
    <row r="244" spans="2:2" s="181" customFormat="1">
      <c r="B244" s="685"/>
    </row>
    <row r="245" spans="2:2" s="181" customFormat="1">
      <c r="B245" s="685"/>
    </row>
    <row r="246" spans="2:2" s="181" customFormat="1">
      <c r="B246" s="685"/>
    </row>
    <row r="247" spans="2:2" s="181" customFormat="1">
      <c r="B247" s="685"/>
    </row>
    <row r="248" spans="2:2" s="181" customFormat="1">
      <c r="B248" s="685"/>
    </row>
    <row r="249" spans="2:2" s="181" customFormat="1">
      <c r="B249" s="685"/>
    </row>
    <row r="250" spans="2:2" s="181" customFormat="1">
      <c r="B250" s="685"/>
    </row>
    <row r="251" spans="2:2" s="181" customFormat="1">
      <c r="B251" s="685"/>
    </row>
    <row r="252" spans="2:2" s="181" customFormat="1">
      <c r="B252" s="685"/>
    </row>
    <row r="253" spans="2:2" s="181" customFormat="1">
      <c r="B253" s="685"/>
    </row>
    <row r="254" spans="2:2" s="181" customFormat="1">
      <c r="B254" s="685"/>
    </row>
    <row r="255" spans="2:2" s="181" customFormat="1">
      <c r="B255" s="685"/>
    </row>
    <row r="256" spans="2:2" s="181" customFormat="1">
      <c r="B256" s="685"/>
    </row>
    <row r="257" spans="2:2" s="181" customFormat="1">
      <c r="B257" s="685"/>
    </row>
    <row r="258" spans="2:2" s="181" customFormat="1">
      <c r="B258" s="685"/>
    </row>
    <row r="259" spans="2:2" s="181" customFormat="1">
      <c r="B259" s="685"/>
    </row>
    <row r="260" spans="2:2" s="181" customFormat="1">
      <c r="B260" s="685"/>
    </row>
    <row r="261" spans="2:2" s="181" customFormat="1">
      <c r="B261" s="685"/>
    </row>
    <row r="262" spans="2:2" s="181" customFormat="1">
      <c r="B262" s="685"/>
    </row>
    <row r="263" spans="2:2" s="181" customFormat="1">
      <c r="B263" s="685"/>
    </row>
    <row r="264" spans="2:2" s="181" customFormat="1">
      <c r="B264" s="685"/>
    </row>
    <row r="265" spans="2:2" s="181" customFormat="1">
      <c r="B265" s="685"/>
    </row>
    <row r="266" spans="2:2" s="181" customFormat="1">
      <c r="B266" s="685"/>
    </row>
    <row r="267" spans="2:2" s="181" customFormat="1">
      <c r="B267" s="685"/>
    </row>
    <row r="268" spans="2:2" s="181" customFormat="1">
      <c r="B268" s="685"/>
    </row>
    <row r="269" spans="2:2" s="181" customFormat="1">
      <c r="B269" s="685"/>
    </row>
    <row r="270" spans="2:2" s="181" customFormat="1">
      <c r="B270" s="685"/>
    </row>
    <row r="271" spans="2:2" s="181" customFormat="1">
      <c r="B271" s="685"/>
    </row>
    <row r="272" spans="2:2" s="181" customFormat="1">
      <c r="B272" s="685"/>
    </row>
    <row r="273" spans="2:2" s="181" customFormat="1">
      <c r="B273" s="685"/>
    </row>
    <row r="274" spans="2:2" s="181" customFormat="1">
      <c r="B274" s="685"/>
    </row>
    <row r="275" spans="2:2" s="181" customFormat="1">
      <c r="B275" s="685"/>
    </row>
    <row r="276" spans="2:2" s="181" customFormat="1">
      <c r="B276" s="685"/>
    </row>
    <row r="277" spans="2:2" s="181" customFormat="1">
      <c r="B277" s="685"/>
    </row>
    <row r="278" spans="2:2" s="181" customFormat="1">
      <c r="B278" s="685"/>
    </row>
    <row r="279" spans="2:2" s="181" customFormat="1">
      <c r="B279" s="685"/>
    </row>
    <row r="280" spans="2:2" s="181" customFormat="1">
      <c r="B280" s="685"/>
    </row>
    <row r="281" spans="2:2" s="181" customFormat="1">
      <c r="B281" s="685"/>
    </row>
    <row r="282" spans="2:2" s="181" customFormat="1">
      <c r="B282" s="685"/>
    </row>
    <row r="283" spans="2:2" s="181" customFormat="1">
      <c r="B283" s="685"/>
    </row>
    <row r="284" spans="2:2" s="181" customFormat="1">
      <c r="B284" s="685"/>
    </row>
    <row r="285" spans="2:2" s="181" customFormat="1">
      <c r="B285" s="685"/>
    </row>
    <row r="286" spans="2:2" s="181" customFormat="1">
      <c r="B286" s="685"/>
    </row>
    <row r="287" spans="2:2" s="181" customFormat="1">
      <c r="B287" s="685"/>
    </row>
    <row r="288" spans="2:2" s="181" customFormat="1">
      <c r="B288" s="685"/>
    </row>
    <row r="289" spans="2:2" s="181" customFormat="1">
      <c r="B289" s="685"/>
    </row>
    <row r="290" spans="2:2" s="181" customFormat="1">
      <c r="B290" s="685"/>
    </row>
    <row r="291" spans="2:2" s="181" customFormat="1">
      <c r="B291" s="685"/>
    </row>
    <row r="292" spans="2:2" s="181" customFormat="1">
      <c r="B292" s="685"/>
    </row>
    <row r="293" spans="2:2" s="181" customFormat="1">
      <c r="B293" s="685"/>
    </row>
    <row r="294" spans="2:2" s="181" customFormat="1">
      <c r="B294" s="685"/>
    </row>
    <row r="295" spans="2:2" s="181" customFormat="1">
      <c r="B295" s="685"/>
    </row>
    <row r="296" spans="2:2" s="181" customFormat="1">
      <c r="B296" s="685"/>
    </row>
    <row r="297" spans="2:2" s="181" customFormat="1">
      <c r="B297" s="685"/>
    </row>
    <row r="298" spans="2:2" s="181" customFormat="1">
      <c r="B298" s="685"/>
    </row>
    <row r="299" spans="2:2" s="181" customFormat="1">
      <c r="B299" s="685"/>
    </row>
    <row r="300" spans="2:2" s="181" customFormat="1">
      <c r="B300" s="685"/>
    </row>
    <row r="301" spans="2:2" s="181" customFormat="1">
      <c r="B301" s="685"/>
    </row>
    <row r="302" spans="2:2" s="181" customFormat="1">
      <c r="B302" s="685"/>
    </row>
    <row r="303" spans="2:2" s="181" customFormat="1">
      <c r="B303" s="685"/>
    </row>
    <row r="304" spans="2:2" s="181" customFormat="1">
      <c r="B304" s="685"/>
    </row>
    <row r="305" spans="2:2" s="181" customFormat="1">
      <c r="B305" s="685"/>
    </row>
    <row r="306" spans="2:2" s="181" customFormat="1">
      <c r="B306" s="685"/>
    </row>
    <row r="307" spans="2:2" s="181" customFormat="1">
      <c r="B307" s="685"/>
    </row>
    <row r="308" spans="2:2" s="181" customFormat="1">
      <c r="B308" s="685"/>
    </row>
    <row r="309" spans="2:2" s="181" customFormat="1">
      <c r="B309" s="685"/>
    </row>
    <row r="310" spans="2:2" s="181" customFormat="1">
      <c r="B310" s="685"/>
    </row>
    <row r="311" spans="2:2" s="181" customFormat="1">
      <c r="B311" s="685"/>
    </row>
    <row r="312" spans="2:2" s="181" customFormat="1">
      <c r="B312" s="685"/>
    </row>
    <row r="313" spans="2:2" s="181" customFormat="1">
      <c r="B313" s="685"/>
    </row>
    <row r="314" spans="2:2" s="181" customFormat="1">
      <c r="B314" s="685"/>
    </row>
    <row r="315" spans="2:2" s="181" customFormat="1">
      <c r="B315" s="685"/>
    </row>
    <row r="316" spans="2:2" s="181" customFormat="1">
      <c r="B316" s="685"/>
    </row>
    <row r="317" spans="2:2" s="181" customFormat="1">
      <c r="B317" s="685"/>
    </row>
    <row r="318" spans="2:2" s="181" customFormat="1">
      <c r="B318" s="685"/>
    </row>
    <row r="319" spans="2:2" s="181" customFormat="1">
      <c r="B319" s="685"/>
    </row>
    <row r="320" spans="2:2" s="181" customFormat="1">
      <c r="B320" s="685"/>
    </row>
    <row r="321" spans="2:2" s="181" customFormat="1">
      <c r="B321" s="685"/>
    </row>
    <row r="322" spans="2:2" s="181" customFormat="1">
      <c r="B322" s="685"/>
    </row>
    <row r="323" spans="2:2" s="181" customFormat="1">
      <c r="B323" s="685"/>
    </row>
    <row r="324" spans="2:2" s="181" customFormat="1">
      <c r="B324" s="685"/>
    </row>
    <row r="325" spans="2:2" s="181" customFormat="1">
      <c r="B325" s="685"/>
    </row>
    <row r="326" spans="2:2" s="181" customFormat="1">
      <c r="B326" s="685"/>
    </row>
    <row r="327" spans="2:2" s="181" customFormat="1">
      <c r="B327" s="685"/>
    </row>
    <row r="328" spans="2:2" s="181" customFormat="1">
      <c r="B328" s="685"/>
    </row>
    <row r="329" spans="2:2" s="181" customFormat="1">
      <c r="B329" s="685"/>
    </row>
    <row r="330" spans="2:2" s="181" customFormat="1">
      <c r="B330" s="685"/>
    </row>
    <row r="331" spans="2:2" s="181" customFormat="1">
      <c r="B331" s="685"/>
    </row>
    <row r="332" spans="2:2" s="181" customFormat="1">
      <c r="B332" s="685"/>
    </row>
    <row r="333" spans="2:2" s="181" customFormat="1">
      <c r="B333" s="685"/>
    </row>
    <row r="334" spans="2:2" s="181" customFormat="1">
      <c r="B334" s="685"/>
    </row>
    <row r="335" spans="2:2" s="181" customFormat="1">
      <c r="B335" s="685"/>
    </row>
    <row r="336" spans="2:2" s="181" customFormat="1">
      <c r="B336" s="685"/>
    </row>
    <row r="337" spans="2:2" s="181" customFormat="1">
      <c r="B337" s="685"/>
    </row>
    <row r="338" spans="2:2" s="181" customFormat="1">
      <c r="B338" s="685"/>
    </row>
    <row r="339" spans="2:2" s="181" customFormat="1">
      <c r="B339" s="685"/>
    </row>
    <row r="340" spans="2:2" s="181" customFormat="1">
      <c r="B340" s="685"/>
    </row>
    <row r="341" spans="2:2" s="181" customFormat="1">
      <c r="B341" s="685"/>
    </row>
    <row r="342" spans="2:2" s="181" customFormat="1">
      <c r="B342" s="685"/>
    </row>
    <row r="343" spans="2:2" s="181" customFormat="1">
      <c r="B343" s="685"/>
    </row>
    <row r="344" spans="2:2" s="181" customFormat="1">
      <c r="B344" s="685"/>
    </row>
    <row r="345" spans="2:2" s="181" customFormat="1">
      <c r="B345" s="685"/>
    </row>
    <row r="346" spans="2:2" s="181" customFormat="1">
      <c r="B346" s="685"/>
    </row>
    <row r="347" spans="2:2" s="181" customFormat="1">
      <c r="B347" s="685"/>
    </row>
    <row r="348" spans="2:2" s="181" customFormat="1">
      <c r="B348" s="685"/>
    </row>
    <row r="349" spans="2:2" s="181" customFormat="1">
      <c r="B349" s="685"/>
    </row>
    <row r="350" spans="2:2" s="181" customFormat="1">
      <c r="B350" s="685"/>
    </row>
    <row r="351" spans="2:2" s="181" customFormat="1">
      <c r="B351" s="685"/>
    </row>
    <row r="352" spans="2:2" s="181" customFormat="1">
      <c r="B352" s="685"/>
    </row>
    <row r="353" spans="2:2" s="181" customFormat="1">
      <c r="B353" s="685"/>
    </row>
    <row r="354" spans="2:2" s="181" customFormat="1">
      <c r="B354" s="685"/>
    </row>
    <row r="355" spans="2:2" s="181" customFormat="1">
      <c r="B355" s="685"/>
    </row>
    <row r="356" spans="2:2" s="181" customFormat="1">
      <c r="B356" s="685"/>
    </row>
    <row r="357" spans="2:2" s="181" customFormat="1">
      <c r="B357" s="685"/>
    </row>
    <row r="358" spans="2:2" s="181" customFormat="1">
      <c r="B358" s="685"/>
    </row>
    <row r="359" spans="2:2" s="181" customFormat="1">
      <c r="B359" s="685"/>
    </row>
    <row r="360" spans="2:2" s="181" customFormat="1">
      <c r="B360" s="685"/>
    </row>
    <row r="361" spans="2:2" s="181" customFormat="1">
      <c r="B361" s="685"/>
    </row>
    <row r="362" spans="2:2" s="181" customFormat="1">
      <c r="B362" s="685"/>
    </row>
    <row r="363" spans="2:2" s="181" customFormat="1">
      <c r="B363" s="685"/>
    </row>
    <row r="364" spans="2:2" s="181" customFormat="1">
      <c r="B364" s="685"/>
    </row>
    <row r="365" spans="2:2" s="181" customFormat="1">
      <c r="B365" s="685"/>
    </row>
    <row r="366" spans="2:2" s="181" customFormat="1">
      <c r="B366" s="685"/>
    </row>
    <row r="367" spans="2:2" s="181" customFormat="1">
      <c r="B367" s="685"/>
    </row>
    <row r="368" spans="2:2" s="181" customFormat="1">
      <c r="B368" s="685"/>
    </row>
    <row r="369" spans="2:2" s="181" customFormat="1">
      <c r="B369" s="685"/>
    </row>
    <row r="370" spans="2:2" s="181" customFormat="1">
      <c r="B370" s="685"/>
    </row>
    <row r="371" spans="2:2" s="181" customFormat="1">
      <c r="B371" s="685"/>
    </row>
    <row r="372" spans="2:2" s="181" customFormat="1">
      <c r="B372" s="685"/>
    </row>
    <row r="373" spans="2:2" s="181" customFormat="1">
      <c r="B373" s="685"/>
    </row>
    <row r="374" spans="2:2" s="181" customFormat="1">
      <c r="B374" s="685"/>
    </row>
    <row r="375" spans="2:2" s="181" customFormat="1">
      <c r="B375" s="685"/>
    </row>
    <row r="376" spans="2:2" s="181" customFormat="1">
      <c r="B376" s="685"/>
    </row>
    <row r="377" spans="2:2" s="181" customFormat="1">
      <c r="B377" s="685"/>
    </row>
    <row r="378" spans="2:2" s="181" customFormat="1">
      <c r="B378" s="685"/>
    </row>
    <row r="379" spans="2:2" s="181" customFormat="1">
      <c r="B379" s="685"/>
    </row>
    <row r="380" spans="2:2" s="181" customFormat="1">
      <c r="B380" s="685"/>
    </row>
    <row r="381" spans="2:2" s="181" customFormat="1">
      <c r="B381" s="685"/>
    </row>
    <row r="382" spans="2:2" s="181" customFormat="1">
      <c r="B382" s="685"/>
    </row>
    <row r="383" spans="2:2" s="181" customFormat="1">
      <c r="B383" s="685"/>
    </row>
    <row r="384" spans="2:2" s="181" customFormat="1">
      <c r="B384" s="685"/>
    </row>
    <row r="385" spans="2:2" s="181" customFormat="1">
      <c r="B385" s="685"/>
    </row>
    <row r="386" spans="2:2" s="181" customFormat="1">
      <c r="B386" s="685"/>
    </row>
    <row r="387" spans="2:2" s="181" customFormat="1">
      <c r="B387" s="685"/>
    </row>
    <row r="388" spans="2:2" s="181" customFormat="1">
      <c r="B388" s="685"/>
    </row>
    <row r="389" spans="2:2" s="181" customFormat="1">
      <c r="B389" s="685"/>
    </row>
    <row r="390" spans="2:2" s="181" customFormat="1">
      <c r="B390" s="685"/>
    </row>
    <row r="391" spans="2:2" s="181" customFormat="1">
      <c r="B391" s="685"/>
    </row>
    <row r="392" spans="2:2" s="181" customFormat="1">
      <c r="B392" s="685"/>
    </row>
    <row r="393" spans="2:2" s="181" customFormat="1">
      <c r="B393" s="685"/>
    </row>
    <row r="394" spans="2:2" s="181" customFormat="1">
      <c r="B394" s="685"/>
    </row>
    <row r="395" spans="2:2" s="181" customFormat="1">
      <c r="B395" s="685"/>
    </row>
    <row r="396" spans="2:2" s="181" customFormat="1">
      <c r="B396" s="685"/>
    </row>
    <row r="397" spans="2:2" s="181" customFormat="1">
      <c r="B397" s="685"/>
    </row>
    <row r="398" spans="2:2" s="181" customFormat="1">
      <c r="B398" s="685"/>
    </row>
    <row r="399" spans="2:2" s="181" customFormat="1">
      <c r="B399" s="685"/>
    </row>
    <row r="400" spans="2:2" s="181" customFormat="1">
      <c r="B400" s="685"/>
    </row>
    <row r="401" spans="2:2" s="181" customFormat="1">
      <c r="B401" s="685"/>
    </row>
    <row r="402" spans="2:2" s="181" customFormat="1">
      <c r="B402" s="685"/>
    </row>
    <row r="403" spans="2:2" s="181" customFormat="1">
      <c r="B403" s="685"/>
    </row>
    <row r="404" spans="2:2" s="181" customFormat="1">
      <c r="B404" s="685"/>
    </row>
    <row r="405" spans="2:2" s="181" customFormat="1">
      <c r="B405" s="685"/>
    </row>
    <row r="406" spans="2:2" s="181" customFormat="1">
      <c r="B406" s="685"/>
    </row>
    <row r="407" spans="2:2" s="181" customFormat="1">
      <c r="B407" s="685"/>
    </row>
    <row r="408" spans="2:2" s="181" customFormat="1">
      <c r="B408" s="685"/>
    </row>
    <row r="409" spans="2:2" s="181" customFormat="1">
      <c r="B409" s="685"/>
    </row>
    <row r="410" spans="2:2" s="181" customFormat="1">
      <c r="B410" s="685"/>
    </row>
    <row r="411" spans="2:2" s="181" customFormat="1">
      <c r="B411" s="685"/>
    </row>
    <row r="412" spans="2:2" s="181" customFormat="1">
      <c r="B412" s="685"/>
    </row>
    <row r="413" spans="2:2" s="181" customFormat="1">
      <c r="B413" s="685"/>
    </row>
    <row r="414" spans="2:2" s="181" customFormat="1">
      <c r="B414" s="685"/>
    </row>
    <row r="415" spans="2:2" s="181" customFormat="1">
      <c r="B415" s="685"/>
    </row>
    <row r="416" spans="2:2" s="181" customFormat="1">
      <c r="B416" s="685"/>
    </row>
    <row r="417" spans="2:2" s="181" customFormat="1">
      <c r="B417" s="685"/>
    </row>
    <row r="418" spans="2:2" s="181" customFormat="1">
      <c r="B418" s="685"/>
    </row>
    <row r="419" spans="2:2" s="181" customFormat="1">
      <c r="B419" s="685"/>
    </row>
    <row r="420" spans="2:2" s="181" customFormat="1">
      <c r="B420" s="685"/>
    </row>
    <row r="421" spans="2:2" s="181" customFormat="1">
      <c r="B421" s="685"/>
    </row>
    <row r="422" spans="2:2" s="181" customFormat="1">
      <c r="B422" s="685"/>
    </row>
    <row r="423" spans="2:2" s="181" customFormat="1">
      <c r="B423" s="685"/>
    </row>
    <row r="424" spans="2:2" s="181" customFormat="1">
      <c r="B424" s="685"/>
    </row>
    <row r="425" spans="2:2" s="181" customFormat="1">
      <c r="B425" s="685"/>
    </row>
    <row r="426" spans="2:2" s="181" customFormat="1">
      <c r="B426" s="685"/>
    </row>
    <row r="427" spans="2:2" s="181" customFormat="1">
      <c r="B427" s="685"/>
    </row>
    <row r="428" spans="2:2" s="181" customFormat="1">
      <c r="B428" s="685"/>
    </row>
    <row r="429" spans="2:2" s="181" customFormat="1">
      <c r="B429" s="685"/>
    </row>
    <row r="430" spans="2:2" s="181" customFormat="1">
      <c r="B430" s="685"/>
    </row>
    <row r="431" spans="2:2" s="181" customFormat="1">
      <c r="B431" s="685"/>
    </row>
    <row r="432" spans="2:2" s="181" customFormat="1">
      <c r="B432" s="685"/>
    </row>
    <row r="433" spans="2:2" s="181" customFormat="1">
      <c r="B433" s="685"/>
    </row>
    <row r="434" spans="2:2" s="181" customFormat="1">
      <c r="B434" s="685"/>
    </row>
    <row r="435" spans="2:2" s="181" customFormat="1">
      <c r="B435" s="685"/>
    </row>
    <row r="436" spans="2:2" s="181" customFormat="1">
      <c r="B436" s="685"/>
    </row>
    <row r="437" spans="2:2" s="181" customFormat="1">
      <c r="B437" s="685"/>
    </row>
    <row r="438" spans="2:2" s="181" customFormat="1">
      <c r="B438" s="685"/>
    </row>
    <row r="439" spans="2:2" s="181" customFormat="1">
      <c r="B439" s="685"/>
    </row>
    <row r="440" spans="2:2" s="181" customFormat="1">
      <c r="B440" s="685"/>
    </row>
    <row r="441" spans="2:2" s="181" customFormat="1">
      <c r="B441" s="685"/>
    </row>
    <row r="442" spans="2:2" s="181" customFormat="1">
      <c r="B442" s="685"/>
    </row>
    <row r="443" spans="2:2" s="181" customFormat="1">
      <c r="B443" s="685"/>
    </row>
    <row r="444" spans="2:2" s="181" customFormat="1">
      <c r="B444" s="685"/>
    </row>
    <row r="445" spans="2:2" s="181" customFormat="1">
      <c r="B445" s="685"/>
    </row>
    <row r="446" spans="2:2" s="181" customFormat="1">
      <c r="B446" s="685"/>
    </row>
    <row r="447" spans="2:2" s="181" customFormat="1">
      <c r="B447" s="685"/>
    </row>
    <row r="448" spans="2:2" s="181" customFormat="1">
      <c r="B448" s="685"/>
    </row>
    <row r="449" spans="2:2" s="181" customFormat="1">
      <c r="B449" s="685"/>
    </row>
    <row r="450" spans="2:2" s="181" customFormat="1">
      <c r="B450" s="685"/>
    </row>
    <row r="451" spans="2:2" s="181" customFormat="1">
      <c r="B451" s="685"/>
    </row>
    <row r="452" spans="2:2" s="181" customFormat="1">
      <c r="B452" s="685"/>
    </row>
    <row r="453" spans="2:2" s="181" customFormat="1">
      <c r="B453" s="685"/>
    </row>
    <row r="454" spans="2:2" s="181" customFormat="1">
      <c r="B454" s="685"/>
    </row>
    <row r="455" spans="2:2" s="181" customFormat="1">
      <c r="B455" s="685"/>
    </row>
    <row r="456" spans="2:2" s="181" customFormat="1">
      <c r="B456" s="685"/>
    </row>
    <row r="457" spans="2:2" s="181" customFormat="1">
      <c r="B457" s="685"/>
    </row>
    <row r="458" spans="2:2" s="181" customFormat="1">
      <c r="B458" s="685"/>
    </row>
    <row r="459" spans="2:2" s="181" customFormat="1">
      <c r="B459" s="685"/>
    </row>
    <row r="460" spans="2:2" s="181" customFormat="1">
      <c r="B460" s="685"/>
    </row>
    <row r="461" spans="2:2" s="181" customFormat="1">
      <c r="B461" s="685"/>
    </row>
    <row r="462" spans="2:2" s="181" customFormat="1">
      <c r="B462" s="685"/>
    </row>
    <row r="463" spans="2:2" s="181" customFormat="1">
      <c r="B463" s="685"/>
    </row>
    <row r="464" spans="2:2" s="181" customFormat="1">
      <c r="B464" s="685"/>
    </row>
    <row r="465" spans="2:2" s="181" customFormat="1">
      <c r="B465" s="685"/>
    </row>
    <row r="466" spans="2:2" s="181" customFormat="1">
      <c r="B466" s="685"/>
    </row>
    <row r="467" spans="2:2" s="181" customFormat="1">
      <c r="B467" s="685"/>
    </row>
    <row r="468" spans="2:2" s="181" customFormat="1">
      <c r="B468" s="685"/>
    </row>
    <row r="469" spans="2:2" s="181" customFormat="1">
      <c r="B469" s="685"/>
    </row>
    <row r="470" spans="2:2" s="181" customFormat="1">
      <c r="B470" s="685"/>
    </row>
    <row r="471" spans="2:2" s="181" customFormat="1">
      <c r="B471" s="685"/>
    </row>
    <row r="472" spans="2:2" s="181" customFormat="1">
      <c r="B472" s="685"/>
    </row>
    <row r="473" spans="2:2" s="181" customFormat="1">
      <c r="B473" s="685"/>
    </row>
    <row r="474" spans="2:2" s="181" customFormat="1">
      <c r="B474" s="685"/>
    </row>
    <row r="475" spans="2:2" s="181" customFormat="1">
      <c r="B475" s="685"/>
    </row>
    <row r="476" spans="2:2" s="181" customFormat="1">
      <c r="B476" s="685"/>
    </row>
    <row r="477" spans="2:2" s="181" customFormat="1">
      <c r="B477" s="685"/>
    </row>
    <row r="478" spans="2:2" s="181" customFormat="1">
      <c r="B478" s="685"/>
    </row>
    <row r="479" spans="2:2" s="181" customFormat="1">
      <c r="B479" s="685"/>
    </row>
    <row r="480" spans="2:2" s="181" customFormat="1">
      <c r="B480" s="685"/>
    </row>
    <row r="481" spans="2:2" s="181" customFormat="1">
      <c r="B481" s="685"/>
    </row>
    <row r="482" spans="2:2" s="181" customFormat="1">
      <c r="B482" s="685"/>
    </row>
    <row r="483" spans="2:2" s="181" customFormat="1">
      <c r="B483" s="685"/>
    </row>
    <row r="484" spans="2:2" s="181" customFormat="1">
      <c r="B484" s="685"/>
    </row>
    <row r="485" spans="2:2" s="181" customFormat="1">
      <c r="B485" s="685"/>
    </row>
    <row r="486" spans="2:2" s="181" customFormat="1">
      <c r="B486" s="685"/>
    </row>
    <row r="487" spans="2:2" s="181" customFormat="1">
      <c r="B487" s="685"/>
    </row>
    <row r="488" spans="2:2" s="181" customFormat="1">
      <c r="B488" s="685"/>
    </row>
    <row r="489" spans="2:2" s="181" customFormat="1">
      <c r="B489" s="685"/>
    </row>
    <row r="490" spans="2:2" s="181" customFormat="1">
      <c r="B490" s="685"/>
    </row>
    <row r="491" spans="2:2" s="181" customFormat="1">
      <c r="B491" s="685"/>
    </row>
    <row r="492" spans="2:2" s="181" customFormat="1">
      <c r="B492" s="685"/>
    </row>
    <row r="493" spans="2:2" s="181" customFormat="1">
      <c r="B493" s="685"/>
    </row>
    <row r="494" spans="2:2" s="181" customFormat="1">
      <c r="B494" s="685"/>
    </row>
    <row r="495" spans="2:2" s="181" customFormat="1">
      <c r="B495" s="685"/>
    </row>
    <row r="496" spans="2:2" s="181" customFormat="1">
      <c r="B496" s="685"/>
    </row>
    <row r="497" spans="2:2" s="181" customFormat="1">
      <c r="B497" s="685"/>
    </row>
    <row r="498" spans="2:2" s="181" customFormat="1">
      <c r="B498" s="685"/>
    </row>
    <row r="499" spans="2:2" s="181" customFormat="1">
      <c r="B499" s="685"/>
    </row>
    <row r="500" spans="2:2" s="181" customFormat="1">
      <c r="B500" s="685"/>
    </row>
    <row r="501" spans="2:2" s="181" customFormat="1">
      <c r="B501" s="685"/>
    </row>
    <row r="502" spans="2:2" s="181" customFormat="1">
      <c r="B502" s="685"/>
    </row>
    <row r="503" spans="2:2" s="181" customFormat="1">
      <c r="B503" s="685"/>
    </row>
    <row r="504" spans="2:2" s="181" customFormat="1">
      <c r="B504" s="685"/>
    </row>
    <row r="505" spans="2:2" s="181" customFormat="1">
      <c r="B505" s="685"/>
    </row>
    <row r="506" spans="2:2" s="181" customFormat="1">
      <c r="B506" s="685"/>
    </row>
    <row r="507" spans="2:2" s="181" customFormat="1">
      <c r="B507" s="685"/>
    </row>
    <row r="508" spans="2:2" s="181" customFormat="1">
      <c r="B508" s="685"/>
    </row>
    <row r="509" spans="2:2" s="181" customFormat="1">
      <c r="B509" s="685"/>
    </row>
    <row r="510" spans="2:2" s="181" customFormat="1">
      <c r="B510" s="685"/>
    </row>
    <row r="511" spans="2:2" s="181" customFormat="1">
      <c r="B511" s="685"/>
    </row>
    <row r="512" spans="2:2" s="181" customFormat="1">
      <c r="B512" s="685"/>
    </row>
    <row r="513" spans="2:2" s="181" customFormat="1">
      <c r="B513" s="685"/>
    </row>
    <row r="514" spans="2:2" s="181" customFormat="1">
      <c r="B514" s="685"/>
    </row>
    <row r="515" spans="2:2" s="181" customFormat="1">
      <c r="B515" s="685"/>
    </row>
    <row r="516" spans="2:2" s="181" customFormat="1">
      <c r="B516" s="685"/>
    </row>
    <row r="517" spans="2:2" s="181" customFormat="1">
      <c r="B517" s="685"/>
    </row>
    <row r="518" spans="2:2" s="181" customFormat="1">
      <c r="B518" s="685"/>
    </row>
    <row r="519" spans="2:2" s="181" customFormat="1">
      <c r="B519" s="685"/>
    </row>
    <row r="520" spans="2:2" s="181" customFormat="1">
      <c r="B520" s="685"/>
    </row>
    <row r="521" spans="2:2" s="181" customFormat="1">
      <c r="B521" s="685"/>
    </row>
    <row r="522" spans="2:2" s="181" customFormat="1">
      <c r="B522" s="685"/>
    </row>
    <row r="523" spans="2:2" s="181" customFormat="1">
      <c r="B523" s="685"/>
    </row>
    <row r="524" spans="2:2" s="181" customFormat="1">
      <c r="B524" s="685"/>
    </row>
    <row r="525" spans="2:2" s="181" customFormat="1">
      <c r="B525" s="685"/>
    </row>
    <row r="526" spans="2:2" s="181" customFormat="1">
      <c r="B526" s="685"/>
    </row>
    <row r="527" spans="2:2" s="181" customFormat="1">
      <c r="B527" s="685"/>
    </row>
    <row r="528" spans="2:2" s="181" customFormat="1">
      <c r="B528" s="685"/>
    </row>
    <row r="529" spans="2:2" s="181" customFormat="1">
      <c r="B529" s="685"/>
    </row>
    <row r="530" spans="2:2" s="181" customFormat="1">
      <c r="B530" s="685"/>
    </row>
    <row r="531" spans="2:2" s="181" customFormat="1">
      <c r="B531" s="685"/>
    </row>
    <row r="532" spans="2:2" s="181" customFormat="1">
      <c r="B532" s="685"/>
    </row>
    <row r="533" spans="2:2" s="181" customFormat="1">
      <c r="B533" s="685"/>
    </row>
    <row r="534" spans="2:2" s="181" customFormat="1">
      <c r="B534" s="685"/>
    </row>
    <row r="535" spans="2:2" s="181" customFormat="1">
      <c r="B535" s="685"/>
    </row>
    <row r="536" spans="2:2" s="181" customFormat="1">
      <c r="B536" s="685"/>
    </row>
    <row r="537" spans="2:2" s="181" customFormat="1">
      <c r="B537" s="685"/>
    </row>
    <row r="538" spans="2:2" s="181" customFormat="1">
      <c r="B538" s="685"/>
    </row>
    <row r="539" spans="2:2" s="181" customFormat="1">
      <c r="B539" s="685"/>
    </row>
    <row r="540" spans="2:2" s="181" customFormat="1">
      <c r="B540" s="685"/>
    </row>
    <row r="541" spans="2:2" s="181" customFormat="1">
      <c r="B541" s="685"/>
    </row>
    <row r="542" spans="2:2" s="181" customFormat="1">
      <c r="B542" s="685"/>
    </row>
    <row r="543" spans="2:2" s="181" customFormat="1">
      <c r="B543" s="685"/>
    </row>
    <row r="544" spans="2:2" s="181" customFormat="1">
      <c r="B544" s="685"/>
    </row>
    <row r="545" spans="2:2" s="181" customFormat="1">
      <c r="B545" s="685"/>
    </row>
    <row r="546" spans="2:2" s="181" customFormat="1">
      <c r="B546" s="685"/>
    </row>
    <row r="547" spans="2:2" s="181" customFormat="1">
      <c r="B547" s="685"/>
    </row>
    <row r="548" spans="2:2" s="181" customFormat="1">
      <c r="B548" s="685"/>
    </row>
    <row r="549" spans="2:2" s="181" customFormat="1">
      <c r="B549" s="685"/>
    </row>
    <row r="550" spans="2:2" s="181" customFormat="1">
      <c r="B550" s="685"/>
    </row>
    <row r="551" spans="2:2" s="181" customFormat="1">
      <c r="B551" s="685"/>
    </row>
    <row r="552" spans="2:2" s="181" customFormat="1">
      <c r="B552" s="685"/>
    </row>
    <row r="553" spans="2:2" s="181" customFormat="1">
      <c r="B553" s="685"/>
    </row>
    <row r="554" spans="2:2" s="181" customFormat="1">
      <c r="B554" s="685"/>
    </row>
    <row r="555" spans="2:2" s="181" customFormat="1">
      <c r="B555" s="685"/>
    </row>
    <row r="556" spans="2:2" s="181" customFormat="1">
      <c r="B556" s="685"/>
    </row>
    <row r="557" spans="2:2" s="181" customFormat="1">
      <c r="B557" s="685"/>
    </row>
    <row r="558" spans="2:2" s="181" customFormat="1">
      <c r="B558" s="685"/>
    </row>
    <row r="559" spans="2:2" s="181" customFormat="1">
      <c r="B559" s="685"/>
    </row>
    <row r="560" spans="2:2" s="181" customFormat="1">
      <c r="B560" s="685"/>
    </row>
    <row r="561" spans="2:2" s="181" customFormat="1">
      <c r="B561" s="685"/>
    </row>
    <row r="562" spans="2:2" s="181" customFormat="1">
      <c r="B562" s="685"/>
    </row>
    <row r="563" spans="2:2" s="181" customFormat="1">
      <c r="B563" s="685"/>
    </row>
    <row r="564" spans="2:2" s="181" customFormat="1">
      <c r="B564" s="685"/>
    </row>
    <row r="565" spans="2:2" s="181" customFormat="1">
      <c r="B565" s="685"/>
    </row>
    <row r="566" spans="2:2" s="181" customFormat="1">
      <c r="B566" s="685"/>
    </row>
    <row r="567" spans="2:2" s="181" customFormat="1">
      <c r="B567" s="685"/>
    </row>
    <row r="568" spans="2:2" s="181" customFormat="1">
      <c r="B568" s="685"/>
    </row>
    <row r="569" spans="2:2" s="181" customFormat="1">
      <c r="B569" s="685"/>
    </row>
    <row r="570" spans="2:2" s="181" customFormat="1">
      <c r="B570" s="685"/>
    </row>
    <row r="571" spans="2:2" s="181" customFormat="1">
      <c r="B571" s="685"/>
    </row>
    <row r="572" spans="2:2" s="181" customFormat="1">
      <c r="B572" s="685"/>
    </row>
    <row r="573" spans="2:2" s="181" customFormat="1">
      <c r="B573" s="685"/>
    </row>
    <row r="574" spans="2:2" s="181" customFormat="1">
      <c r="B574" s="685"/>
    </row>
    <row r="575" spans="2:2" s="181" customFormat="1">
      <c r="B575" s="685"/>
    </row>
    <row r="576" spans="2:2" s="181" customFormat="1">
      <c r="B576" s="685"/>
    </row>
    <row r="577" spans="2:2" s="181" customFormat="1">
      <c r="B577" s="685"/>
    </row>
    <row r="578" spans="2:2" s="181" customFormat="1">
      <c r="B578" s="685"/>
    </row>
    <row r="579" spans="2:2" s="181" customFormat="1">
      <c r="B579" s="685"/>
    </row>
    <row r="580" spans="2:2" s="181" customFormat="1">
      <c r="B580" s="685"/>
    </row>
    <row r="581" spans="2:2" s="181" customFormat="1">
      <c r="B581" s="685"/>
    </row>
    <row r="582" spans="2:2" s="181" customFormat="1">
      <c r="B582" s="685"/>
    </row>
    <row r="583" spans="2:2" s="181" customFormat="1">
      <c r="B583" s="685"/>
    </row>
    <row r="584" spans="2:2" s="181" customFormat="1">
      <c r="B584" s="685"/>
    </row>
    <row r="585" spans="2:2" s="181" customFormat="1">
      <c r="B585" s="685"/>
    </row>
    <row r="586" spans="2:2" s="181" customFormat="1">
      <c r="B586" s="685"/>
    </row>
    <row r="587" spans="2:2" s="181" customFormat="1">
      <c r="B587" s="685"/>
    </row>
    <row r="588" spans="2:2" s="181" customFormat="1">
      <c r="B588" s="685"/>
    </row>
    <row r="589" spans="2:2" s="181" customFormat="1">
      <c r="B589" s="685"/>
    </row>
    <row r="590" spans="2:2" s="181" customFormat="1">
      <c r="B590" s="685"/>
    </row>
    <row r="591" spans="2:2" s="181" customFormat="1">
      <c r="B591" s="685"/>
    </row>
    <row r="592" spans="2:2" s="181" customFormat="1">
      <c r="B592" s="685"/>
    </row>
    <row r="593" spans="2:2" s="181" customFormat="1">
      <c r="B593" s="685"/>
    </row>
    <row r="594" spans="2:2" s="181" customFormat="1">
      <c r="B594" s="685"/>
    </row>
    <row r="595" spans="2:2" s="181" customFormat="1">
      <c r="B595" s="685"/>
    </row>
    <row r="596" spans="2:2" s="181" customFormat="1">
      <c r="B596" s="685"/>
    </row>
    <row r="597" spans="2:2" s="181" customFormat="1">
      <c r="B597" s="685"/>
    </row>
    <row r="598" spans="2:2" s="181" customFormat="1">
      <c r="B598" s="685"/>
    </row>
    <row r="599" spans="2:2" s="181" customFormat="1">
      <c r="B599" s="685"/>
    </row>
    <row r="600" spans="2:2" s="181" customFormat="1">
      <c r="B600" s="685"/>
    </row>
    <row r="601" spans="2:2" s="181" customFormat="1">
      <c r="B601" s="685"/>
    </row>
    <row r="602" spans="2:2" s="181" customFormat="1">
      <c r="B602" s="685"/>
    </row>
    <row r="603" spans="2:2" s="181" customFormat="1">
      <c r="B603" s="685"/>
    </row>
    <row r="604" spans="2:2" s="181" customFormat="1">
      <c r="B604" s="685"/>
    </row>
    <row r="605" spans="2:2" s="181" customFormat="1">
      <c r="B605" s="685"/>
    </row>
    <row r="606" spans="2:2" s="181" customFormat="1">
      <c r="B606" s="685"/>
    </row>
    <row r="607" spans="2:2" s="181" customFormat="1">
      <c r="B607" s="685"/>
    </row>
    <row r="608" spans="2:2" s="181" customFormat="1">
      <c r="B608" s="685"/>
    </row>
    <row r="609" spans="2:2" s="181" customFormat="1">
      <c r="B609" s="685"/>
    </row>
    <row r="610" spans="2:2" s="181" customFormat="1">
      <c r="B610" s="685"/>
    </row>
    <row r="611" spans="2:2" s="181" customFormat="1">
      <c r="B611" s="685"/>
    </row>
    <row r="612" spans="2:2" s="181" customFormat="1">
      <c r="B612" s="685"/>
    </row>
    <row r="613" spans="2:2" s="181" customFormat="1">
      <c r="B613" s="685"/>
    </row>
    <row r="614" spans="2:2" s="181" customFormat="1">
      <c r="B614" s="685"/>
    </row>
    <row r="615" spans="2:2" s="181" customFormat="1">
      <c r="B615" s="685"/>
    </row>
    <row r="616" spans="2:2" s="181" customFormat="1">
      <c r="B616" s="685"/>
    </row>
    <row r="617" spans="2:2" s="181" customFormat="1">
      <c r="B617" s="685"/>
    </row>
    <row r="618" spans="2:2" s="181" customFormat="1">
      <c r="B618" s="685"/>
    </row>
    <row r="619" spans="2:2" s="181" customFormat="1">
      <c r="B619" s="685"/>
    </row>
    <row r="620" spans="2:2" s="181" customFormat="1">
      <c r="B620" s="685"/>
    </row>
    <row r="621" spans="2:2" s="181" customFormat="1">
      <c r="B621" s="685"/>
    </row>
    <row r="622" spans="2:2" s="181" customFormat="1">
      <c r="B622" s="685"/>
    </row>
    <row r="623" spans="2:2" s="181" customFormat="1">
      <c r="B623" s="685"/>
    </row>
    <row r="624" spans="2:2" s="181" customFormat="1">
      <c r="B624" s="685"/>
    </row>
    <row r="625" spans="2:10" s="181" customFormat="1">
      <c r="B625" s="685"/>
    </row>
    <row r="626" spans="2:10" s="181" customFormat="1">
      <c r="B626" s="685"/>
    </row>
    <row r="627" spans="2:10" s="181" customFormat="1">
      <c r="B627" s="685"/>
      <c r="C627"/>
      <c r="D627"/>
      <c r="E627"/>
      <c r="F627"/>
      <c r="G627"/>
      <c r="H627"/>
      <c r="I627"/>
      <c r="J627"/>
    </row>
  </sheetData>
  <customSheetViews>
    <customSheetView guid="{A374FC54-96E3-45F0-9C12-8450400C12DF}" scale="80" showGridLines="0" state="hidden" topLeftCell="A46">
      <selection activeCell="Z36" sqref="Z36"/>
      <pageMargins left="0" right="0" top="0.78740157480314998" bottom="0.78740157480314998" header="0" footer="0"/>
      <pageSetup paperSize="132" orientation="portrait" r:id="rId1"/>
    </customSheetView>
  </customSheetViews>
  <mergeCells count="60">
    <mergeCell ref="O70:R70"/>
    <mergeCell ref="O67:Q67"/>
    <mergeCell ref="O69:S69"/>
    <mergeCell ref="O63:S63"/>
    <mergeCell ref="O64:R64"/>
    <mergeCell ref="O65:Q65"/>
    <mergeCell ref="O66:Q66"/>
    <mergeCell ref="O47:R47"/>
    <mergeCell ref="O50:Q50"/>
    <mergeCell ref="O59:Q59"/>
    <mergeCell ref="O61:Q61"/>
    <mergeCell ref="O58:R58"/>
    <mergeCell ref="E87:G87"/>
    <mergeCell ref="C76:J76"/>
    <mergeCell ref="C70:J70"/>
    <mergeCell ref="C74:J74"/>
    <mergeCell ref="C73:J73"/>
    <mergeCell ref="O87:Q87"/>
    <mergeCell ref="O75:S75"/>
    <mergeCell ref="O71:Q71"/>
    <mergeCell ref="O72:Q72"/>
    <mergeCell ref="O73:Q73"/>
    <mergeCell ref="O76:Q76"/>
    <mergeCell ref="O77:Q77"/>
    <mergeCell ref="O78:Q78"/>
    <mergeCell ref="O79:Q79"/>
    <mergeCell ref="O81:S81"/>
    <mergeCell ref="O82:Q82"/>
    <mergeCell ref="O83:Q83"/>
    <mergeCell ref="O84:Q84"/>
    <mergeCell ref="O85:Q85"/>
    <mergeCell ref="O8:S8"/>
    <mergeCell ref="N15:S15"/>
    <mergeCell ref="O14:S14"/>
    <mergeCell ref="O60:Q60"/>
    <mergeCell ref="O48:Q48"/>
    <mergeCell ref="O49:Q49"/>
    <mergeCell ref="O57:S57"/>
    <mergeCell ref="O46:S46"/>
    <mergeCell ref="P21:S21"/>
    <mergeCell ref="O55:Q55"/>
    <mergeCell ref="P22:S22"/>
    <mergeCell ref="P23:R24"/>
    <mergeCell ref="O51:S51"/>
    <mergeCell ref="O52:R52"/>
    <mergeCell ref="O53:Q53"/>
    <mergeCell ref="O54:Q54"/>
    <mergeCell ref="F16:J16"/>
    <mergeCell ref="E17:K17"/>
    <mergeCell ref="C42:J42"/>
    <mergeCell ref="M41:T45"/>
    <mergeCell ref="C45:J45"/>
    <mergeCell ref="P18:R18"/>
    <mergeCell ref="P16:Q16"/>
    <mergeCell ref="C43:J43"/>
    <mergeCell ref="Q39:S39"/>
    <mergeCell ref="P17:S17"/>
    <mergeCell ref="F19:J19"/>
    <mergeCell ref="P19:S19"/>
    <mergeCell ref="P20:S20"/>
  </mergeCells>
  <pageMargins left="0" right="0" top="0.78740157480314998" bottom="0.78740157480314998" header="0" footer="0"/>
  <pageSetup paperSize="11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B2:D46"/>
  <sheetViews>
    <sheetView topLeftCell="A13" zoomScale="124" zoomScaleNormal="124" workbookViewId="0">
      <selection activeCell="C29" sqref="C29"/>
    </sheetView>
  </sheetViews>
  <sheetFormatPr defaultRowHeight="12.75"/>
  <cols>
    <col min="1" max="1" width="1.7109375" customWidth="1"/>
    <col min="2" max="2" width="5.85546875" customWidth="1"/>
    <col min="3" max="3" width="112.7109375" bestFit="1" customWidth="1"/>
    <col min="4" max="4" width="48.85546875" customWidth="1"/>
  </cols>
  <sheetData>
    <row r="2" spans="2:4" ht="18.75">
      <c r="B2" s="179" t="s">
        <v>705</v>
      </c>
      <c r="C2" s="179"/>
      <c r="D2" s="179"/>
    </row>
    <row r="3" spans="2:4">
      <c r="B3" s="37" t="s">
        <v>706</v>
      </c>
      <c r="C3" s="180" t="s">
        <v>1263</v>
      </c>
      <c r="D3" s="175"/>
    </row>
    <row r="4" spans="2:4">
      <c r="B4" s="37" t="s">
        <v>707</v>
      </c>
      <c r="C4" s="180" t="s">
        <v>1229</v>
      </c>
      <c r="D4" s="175"/>
    </row>
    <row r="5" spans="2:4">
      <c r="B5" s="37" t="s">
        <v>708</v>
      </c>
      <c r="C5" s="180" t="s">
        <v>735</v>
      </c>
      <c r="D5" s="175"/>
    </row>
    <row r="6" spans="2:4">
      <c r="B6" s="37" t="s">
        <v>709</v>
      </c>
      <c r="C6" s="180" t="s">
        <v>710</v>
      </c>
      <c r="D6" s="175"/>
    </row>
    <row r="7" spans="2:4">
      <c r="B7" s="37" t="s">
        <v>711</v>
      </c>
      <c r="C7" s="180" t="s">
        <v>1230</v>
      </c>
      <c r="D7" s="175"/>
    </row>
    <row r="8" spans="2:4">
      <c r="B8" s="37" t="s">
        <v>712</v>
      </c>
      <c r="C8" s="180" t="s">
        <v>1231</v>
      </c>
      <c r="D8" s="175"/>
    </row>
    <row r="9" spans="2:4">
      <c r="B9" s="37" t="s">
        <v>713</v>
      </c>
      <c r="C9" s="180" t="s">
        <v>736</v>
      </c>
      <c r="D9" s="175"/>
    </row>
    <row r="10" spans="2:4" s="812" customFormat="1">
      <c r="B10" s="174" t="s">
        <v>714</v>
      </c>
      <c r="C10" s="711" t="s">
        <v>803</v>
      </c>
      <c r="D10" s="175"/>
    </row>
    <row r="11" spans="2:4" s="812" customFormat="1">
      <c r="B11" s="174" t="s">
        <v>1059</v>
      </c>
      <c r="C11" s="180" t="s">
        <v>1060</v>
      </c>
      <c r="D11" s="175"/>
    </row>
    <row r="12" spans="2:4" s="812" customFormat="1">
      <c r="B12" s="174" t="s">
        <v>715</v>
      </c>
      <c r="C12" s="180" t="s">
        <v>716</v>
      </c>
      <c r="D12" s="175"/>
    </row>
    <row r="13" spans="2:4" s="812" customFormat="1">
      <c r="B13" s="174" t="s">
        <v>717</v>
      </c>
      <c r="C13" s="180" t="s">
        <v>1236</v>
      </c>
      <c r="D13" s="816"/>
    </row>
    <row r="14" spans="2:4" s="812" customFormat="1">
      <c r="B14" s="174" t="s">
        <v>677</v>
      </c>
      <c r="C14" s="180" t="s">
        <v>718</v>
      </c>
      <c r="D14" s="175"/>
    </row>
    <row r="15" spans="2:4" s="812" customFormat="1">
      <c r="B15" s="174" t="s">
        <v>678</v>
      </c>
      <c r="C15" s="180" t="s">
        <v>719</v>
      </c>
      <c r="D15" s="175"/>
    </row>
    <row r="16" spans="2:4" s="812" customFormat="1">
      <c r="B16" s="174" t="s">
        <v>2169</v>
      </c>
      <c r="C16" s="180" t="s">
        <v>720</v>
      </c>
      <c r="D16" s="175"/>
    </row>
    <row r="17" spans="2:4" s="1094" customFormat="1">
      <c r="B17" s="174" t="s">
        <v>2170</v>
      </c>
      <c r="C17" s="180" t="s">
        <v>721</v>
      </c>
      <c r="D17" s="175"/>
    </row>
    <row r="18" spans="2:4" s="812" customFormat="1">
      <c r="B18" s="174" t="s">
        <v>679</v>
      </c>
      <c r="C18" s="180" t="s">
        <v>2171</v>
      </c>
      <c r="D18" s="175"/>
    </row>
    <row r="19" spans="2:4" s="812" customFormat="1">
      <c r="B19" s="174" t="s">
        <v>680</v>
      </c>
      <c r="C19" s="180" t="s">
        <v>2172</v>
      </c>
      <c r="D19" s="175"/>
    </row>
    <row r="20" spans="2:4" s="812" customFormat="1">
      <c r="B20" s="174" t="s">
        <v>1061</v>
      </c>
      <c r="C20" s="180" t="s">
        <v>1977</v>
      </c>
      <c r="D20" s="175"/>
    </row>
    <row r="21" spans="2:4" s="812" customFormat="1">
      <c r="B21" s="174" t="s">
        <v>1062</v>
      </c>
      <c r="C21" s="180" t="s">
        <v>1976</v>
      </c>
      <c r="D21" s="175"/>
    </row>
    <row r="22" spans="2:4" s="812" customFormat="1">
      <c r="B22" s="174" t="s">
        <v>1063</v>
      </c>
      <c r="C22" s="180" t="s">
        <v>2211</v>
      </c>
    </row>
    <row r="23" spans="2:4" s="1168" customFormat="1">
      <c r="B23" s="174" t="s">
        <v>2208</v>
      </c>
      <c r="C23" s="180" t="s">
        <v>722</v>
      </c>
      <c r="D23" s="175"/>
    </row>
    <row r="24" spans="2:4" s="812" customFormat="1">
      <c r="B24" s="174" t="s">
        <v>681</v>
      </c>
      <c r="C24" s="180" t="s">
        <v>1252</v>
      </c>
      <c r="D24" s="175"/>
    </row>
    <row r="25" spans="2:4" s="812" customFormat="1" ht="12.75" customHeight="1">
      <c r="B25" s="174" t="s">
        <v>682</v>
      </c>
      <c r="C25" s="180" t="s">
        <v>734</v>
      </c>
      <c r="D25" s="175"/>
    </row>
    <row r="26" spans="2:4" s="812" customFormat="1">
      <c r="B26" s="174" t="s">
        <v>1064</v>
      </c>
      <c r="C26" s="180" t="s">
        <v>723</v>
      </c>
      <c r="D26" s="175"/>
    </row>
    <row r="27" spans="2:4" s="812" customFormat="1">
      <c r="B27" s="174" t="s">
        <v>1065</v>
      </c>
      <c r="C27" s="180" t="s">
        <v>1253</v>
      </c>
      <c r="D27" s="175"/>
    </row>
    <row r="28" spans="2:4" s="812" customFormat="1">
      <c r="B28" s="174" t="s">
        <v>683</v>
      </c>
      <c r="C28" s="711" t="s">
        <v>2963</v>
      </c>
      <c r="D28" s="175"/>
    </row>
    <row r="29" spans="2:4" s="812" customFormat="1">
      <c r="B29" s="174" t="s">
        <v>684</v>
      </c>
      <c r="C29" s="749" t="s">
        <v>2893</v>
      </c>
      <c r="D29" s="175"/>
    </row>
    <row r="30" spans="2:4" s="812" customFormat="1">
      <c r="B30" s="174" t="s">
        <v>685</v>
      </c>
      <c r="C30" s="711" t="s">
        <v>724</v>
      </c>
      <c r="D30" s="175"/>
    </row>
    <row r="31" spans="2:4" s="812" customFormat="1">
      <c r="B31" s="174" t="s">
        <v>686</v>
      </c>
      <c r="C31" s="180" t="s">
        <v>725</v>
      </c>
      <c r="D31" s="175"/>
    </row>
    <row r="32" spans="2:4" s="812" customFormat="1">
      <c r="B32" s="174" t="s">
        <v>687</v>
      </c>
      <c r="C32" s="180" t="s">
        <v>726</v>
      </c>
      <c r="D32" s="175"/>
    </row>
    <row r="33" spans="2:4" s="812" customFormat="1">
      <c r="B33" s="174" t="s">
        <v>688</v>
      </c>
      <c r="C33" s="180" t="s">
        <v>1261</v>
      </c>
      <c r="D33" s="175"/>
    </row>
    <row r="34" spans="2:4" s="812" customFormat="1">
      <c r="B34" s="174" t="s">
        <v>689</v>
      </c>
      <c r="C34" s="180" t="s">
        <v>727</v>
      </c>
      <c r="D34" s="175"/>
    </row>
    <row r="35" spans="2:4" s="812" customFormat="1">
      <c r="B35" s="174" t="s">
        <v>690</v>
      </c>
      <c r="C35" s="180" t="s">
        <v>728</v>
      </c>
      <c r="D35" s="175"/>
    </row>
    <row r="36" spans="2:4" s="812" customFormat="1">
      <c r="B36" s="174" t="s">
        <v>691</v>
      </c>
      <c r="C36" s="180" t="s">
        <v>729</v>
      </c>
      <c r="D36" s="175"/>
    </row>
    <row r="37" spans="2:4" s="812" customFormat="1">
      <c r="B37" s="174" t="s">
        <v>692</v>
      </c>
      <c r="C37" s="180" t="s">
        <v>730</v>
      </c>
      <c r="D37" s="175"/>
    </row>
    <row r="38" spans="2:4" s="812" customFormat="1">
      <c r="B38" s="174" t="s">
        <v>693</v>
      </c>
      <c r="C38" s="180" t="s">
        <v>1260</v>
      </c>
      <c r="D38" s="175"/>
    </row>
    <row r="39" spans="2:4" s="812" customFormat="1" ht="12" customHeight="1">
      <c r="B39" s="174" t="s">
        <v>694</v>
      </c>
      <c r="C39" s="180" t="s">
        <v>1381</v>
      </c>
      <c r="D39" s="176"/>
    </row>
    <row r="40" spans="2:4">
      <c r="B40" s="174" t="s">
        <v>695</v>
      </c>
      <c r="C40" s="180" t="s">
        <v>1530</v>
      </c>
    </row>
    <row r="41" spans="2:4">
      <c r="B41" s="174" t="s">
        <v>696</v>
      </c>
      <c r="C41" s="180" t="s">
        <v>1410</v>
      </c>
    </row>
    <row r="42" spans="2:4">
      <c r="B42" s="174" t="s">
        <v>697</v>
      </c>
      <c r="C42" s="180" t="s">
        <v>1431</v>
      </c>
    </row>
    <row r="43" spans="2:4">
      <c r="B43" s="174" t="s">
        <v>1868</v>
      </c>
      <c r="C43" s="180" t="s">
        <v>1869</v>
      </c>
    </row>
    <row r="44" spans="2:4" s="949" customFormat="1">
      <c r="B44" s="174" t="s">
        <v>2066</v>
      </c>
      <c r="C44" s="180" t="s">
        <v>2067</v>
      </c>
    </row>
    <row r="46" spans="2:4">
      <c r="C46" s="180" t="s">
        <v>1267</v>
      </c>
    </row>
  </sheetData>
  <customSheetViews>
    <customSheetView guid="{A374FC54-96E3-45F0-9C12-8450400C12DF}" scale="124" state="hidden" topLeftCell="A13">
      <selection activeCell="C2" sqref="C2"/>
      <pageMargins left="0.196850393700787" right="0.196850393700787" top="0.15748031496063" bottom="0.15748031496063" header="0" footer="0"/>
      <pageSetup paperSize="132" orientation="portrait" r:id="rId1"/>
    </customSheetView>
  </customSheetViews>
  <hyperlinks>
    <hyperlink ref="C3" location="'Table IA'!A1" display="Selected Economic Indicators (Money and Banking)"/>
    <hyperlink ref="C4" location="'Table IB'!A1" display="Selected Economic Indicators ( Inflation, Production, Foreign Trade, Forex Reserves and Exchange Rate) "/>
    <hyperlink ref="C5" location="TableIIA!A1" display="Monetary Survey (M2)"/>
    <hyperlink ref="C6" location="TableIIB!A1" display="Claims on Resident Sector by the Banking System"/>
    <hyperlink ref="C7" location="'TableIIC '!A1" display="Reserve Money and its Components"/>
    <hyperlink ref="C8" location="'Table IID'!A1" display="Reserve Money and its Sources"/>
    <hyperlink ref="C9" location="'Table IIE'!A1" display="Monetary Survey (M3)  "/>
    <hyperlink ref="C10" location="'Table IIF'!A1" display="Claims on Resident Sector by Depository Corporations "/>
    <hyperlink ref="C12" location="'Table III A'!A1" display="Balance of  Payments"/>
    <hyperlink ref="C13" location="'Table IIIB'!A1" display="Foreign Direct Investment (FDI) Inflows and Stocks by Components in Bangladesh"/>
    <hyperlink ref="C14" location="'Table IV'!A1" display="Foreign Trade"/>
    <hyperlink ref="C15" location="'Table V'!A1" display="Production of Major Agricultural Commodities "/>
    <hyperlink ref="C16" location="'Table VIA'!A1" display="Production of Major Industrial Commodities (Other than Jute Goods) "/>
    <hyperlink ref="C18" location="'Table VII'!A1" display="Consumer Price Index and Inflation Rate in Bangladesh"/>
    <hyperlink ref="C19" location="'Table VIII'!A1" display="Average Prices of Selected Commodities"/>
    <hyperlink ref="C20" location="TableIXA!A1" display="Gross Domestic Product of Bangladesh at Current Market Price"/>
    <hyperlink ref="C21" location="TableIXB!A1" display="Gross Domestic Product of Bangladesh at Constant Market Price "/>
    <hyperlink ref="C24" location="TableX!A1" display="Index Number of  Ordinary Share Prices, Turn Over, Issued Capital and Total Number of Companies Listed with the Dhaka Stock Exchange Ltd."/>
    <hyperlink ref="C25" location="TableXI!A1" display="Market Capitalisation (Value) of Ordinary Shares of Companies Listed with the Dhaka Stock Exchange Ltd."/>
    <hyperlink ref="C26" location="'Table XIIA'!A1" display="Interest Rate Structure of Government Securities/Bonds and Savings Instruments "/>
    <hyperlink ref="C27" location="'Table XIIB'!A1" display="Bank Rate and Interest Rate Structure of Post Office Savings Bank and House Building Finance Corporation and National Savings Certificates"/>
    <hyperlink ref="C28" location="TableXIII!A1" display="Bank-wise Announced Interest Rate Structure in Bangladesh (Except Islamic Banks), December 2014"/>
    <hyperlink ref="C29" location="'Table XIV'!A1" display="Profit Rate Structure of  the Islamic Banks, 2013"/>
    <hyperlink ref="C30" location="TableXV!A1" display="Rate of Interest on Non-resident Foreign Currency Deposit (NFCD) Accounts "/>
    <hyperlink ref="C31" location="TableXVI!A1" display="Monthly Average Call Money Market Rates"/>
    <hyperlink ref="C32" location="'Table XVII'!A1" display="Some Indicators of Income, Expenditure &amp; Profitability of the Banking Sector"/>
    <hyperlink ref="C33" location="'Table XVIII'!A1" display="Number of Persons Left for Abroad on Employment and Total Workers’ Remittances"/>
    <hyperlink ref="C34" location="TableXIX!A1" display="Country-wise Workers’ Remittances"/>
    <hyperlink ref="C35" location="TableXX!A1" display="Exchange Rates (Taka Per Currencies)"/>
    <hyperlink ref="C36" location="TableXXI!A1" display="Appreciation/Depreciation of Some Selected Currencies Against U.S. Dollar"/>
    <hyperlink ref="C37" location="'Table XXII'!A1" display="Some Selected Commodity Prices at International Markets"/>
    <hyperlink ref="C38" location="'Table XXIII'!A1" display="Selected Tax Revenue Receipts of the Government Under NBR and Others"/>
    <hyperlink ref="C46" location="'Appendix- Weights &amp; Measures'!A1" display="Appendix : Weights and Measures"/>
    <hyperlink ref="C11" location="'Table IIG'!A1" display="E-Banking &amp; E-Commerce Statistics"/>
    <hyperlink ref="C39" location="'Table XXIV'!A1" display="Central Bank Survey"/>
    <hyperlink ref="C40" location="'Table XXV'!A1" display="Depository Corporation Survey"/>
    <hyperlink ref="C41" location="'Table XXVI'!A1" display="Important Economic Indicators of Bangladesh with SAARC Countries"/>
    <hyperlink ref="C17" location="'Table VIB'!A1" display="Average Prices of Selected Commodities"/>
    <hyperlink ref="C43" location="'Table XXVIII'!A1" display="Investment Under National Savings Schemes"/>
    <hyperlink ref="C42" location="'Table XXVII'!A1" display="Important Economic Indicators of SAARC Countries "/>
    <hyperlink ref="C44" location="'Table XXIX'!A1" display="National Budget Statistics"/>
    <hyperlink ref="C23" location="TableIXC!A1" display="Key Indicators of National Accounts"/>
    <hyperlink ref="C22" location="TableIXD!A1" display=" Quarterly   Gross Domestic Product Of Bangladesh  (Base:2015-16)   "/>
  </hyperlinks>
  <pageMargins left="0.196850393700787" right="0.196850393700787" top="0.15748031496063" bottom="0.15748031496063" header="0" footer="0"/>
  <pageSetup paperSize="145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/>
  <dimension ref="A1:CI106"/>
  <sheetViews>
    <sheetView tabSelected="1" topLeftCell="BF16" zoomScale="160" zoomScaleNormal="160" workbookViewId="0">
      <pane xSplit="27435" topLeftCell="AI1"/>
      <selection activeCell="BR48" sqref="BR48"/>
      <selection pane="topRight" activeCell="AD40" sqref="AD40"/>
    </sheetView>
  </sheetViews>
  <sheetFormatPr defaultColWidth="9.140625" defaultRowHeight="11.25"/>
  <cols>
    <col min="1" max="7" width="8.85546875" style="8" customWidth="1"/>
    <col min="8" max="8" width="8.7109375" style="8" customWidth="1"/>
    <col min="9" max="9" width="9.28515625" style="8" customWidth="1"/>
    <col min="10" max="10" width="9" style="8" customWidth="1"/>
    <col min="11" max="11" width="9.5703125" style="8" customWidth="1"/>
    <col min="12" max="13" width="8.5703125" style="8" customWidth="1"/>
    <col min="14" max="14" width="8.85546875" style="8" customWidth="1"/>
    <col min="15" max="15" width="7.85546875" style="8" customWidth="1"/>
    <col min="16" max="16" width="8.42578125" style="8" customWidth="1"/>
    <col min="17" max="17" width="8" style="8" customWidth="1"/>
    <col min="18" max="19" width="9.42578125" style="8" customWidth="1"/>
    <col min="20" max="20" width="9" style="8" customWidth="1"/>
    <col min="21" max="22" width="9.140625" style="8" customWidth="1"/>
    <col min="23" max="23" width="9.7109375" style="8" customWidth="1"/>
    <col min="24" max="24" width="9.85546875" style="8" customWidth="1"/>
    <col min="25" max="25" width="9.140625" style="8"/>
    <col min="26" max="26" width="8.85546875" style="8" customWidth="1"/>
    <col min="27" max="27" width="6.85546875" style="8" customWidth="1"/>
    <col min="28" max="28" width="8.140625" style="8" customWidth="1"/>
    <col min="29" max="29" width="8.5703125" style="8" customWidth="1"/>
    <col min="30" max="30" width="10.28515625" style="8" customWidth="1"/>
    <col min="31" max="31" width="8.7109375" style="8" customWidth="1"/>
    <col min="32" max="32" width="8.5703125" style="8" customWidth="1"/>
    <col min="33" max="33" width="9" style="8" customWidth="1"/>
    <col min="34" max="34" width="9.85546875" style="8" customWidth="1"/>
    <col min="35" max="35" width="8.85546875" style="8" customWidth="1"/>
    <col min="36" max="36" width="9" style="8" customWidth="1"/>
    <col min="37" max="37" width="8.5703125" style="8" customWidth="1"/>
    <col min="38" max="38" width="11.42578125" style="8" customWidth="1"/>
    <col min="39" max="39" width="9.5703125" style="8" customWidth="1"/>
    <col min="40" max="40" width="9.28515625" style="8" customWidth="1"/>
    <col min="41" max="41" width="10.140625" style="8" customWidth="1"/>
    <col min="42" max="42" width="11" style="8" customWidth="1"/>
    <col min="43" max="43" width="9" style="8" customWidth="1"/>
    <col min="44" max="44" width="9.28515625" style="8" bestFit="1" customWidth="1"/>
    <col min="45" max="45" width="10.28515625" style="8" customWidth="1"/>
    <col min="46" max="46" width="9.28515625" style="8" customWidth="1"/>
    <col min="47" max="47" width="9.5703125" style="8" customWidth="1"/>
    <col min="48" max="48" width="10" style="8" customWidth="1"/>
    <col min="49" max="50" width="10.5703125" style="8" customWidth="1"/>
    <col min="51" max="51" width="8.28515625" style="8" customWidth="1"/>
    <col min="52" max="52" width="7.85546875" style="8" customWidth="1"/>
    <col min="53" max="53" width="7.28515625" style="8" customWidth="1"/>
    <col min="54" max="54" width="8.28515625" style="8" customWidth="1"/>
    <col min="55" max="55" width="7.42578125" style="8" customWidth="1"/>
    <col min="56" max="56" width="7.7109375" style="8" customWidth="1"/>
    <col min="57" max="57" width="7.42578125" style="8" customWidth="1"/>
    <col min="58" max="58" width="7.28515625" style="8" customWidth="1"/>
    <col min="59" max="59" width="8" style="8" customWidth="1"/>
    <col min="60" max="60" width="8.42578125" style="8" customWidth="1"/>
    <col min="61" max="61" width="8.7109375" style="8" customWidth="1"/>
    <col min="62" max="62" width="6.28515625" style="8" customWidth="1"/>
    <col min="63" max="64" width="6" style="8" customWidth="1"/>
    <col min="65" max="65" width="7.5703125" style="8" customWidth="1"/>
    <col min="66" max="66" width="5.85546875" style="8" customWidth="1"/>
    <col min="67" max="67" width="6.5703125" style="8" customWidth="1"/>
    <col min="68" max="69" width="6.140625" style="8" customWidth="1"/>
    <col min="70" max="70" width="5.85546875" style="8" customWidth="1"/>
    <col min="71" max="71" width="6.42578125" style="8" customWidth="1"/>
    <col min="72" max="72" width="7.7109375" style="8" customWidth="1"/>
    <col min="73" max="73" width="7.140625" style="8" customWidth="1"/>
    <col min="74" max="74" width="6.28515625" style="8" customWidth="1"/>
    <col min="75" max="75" width="6.5703125" style="8" customWidth="1"/>
    <col min="76" max="76" width="8" style="8" customWidth="1"/>
    <col min="77" max="77" width="5.140625" style="8" customWidth="1"/>
    <col min="78" max="78" width="6.5703125" style="8" customWidth="1"/>
    <col min="79" max="79" width="7.7109375" style="8" customWidth="1"/>
    <col min="80" max="80" width="6.5703125" style="8" customWidth="1"/>
    <col min="81" max="81" width="6.7109375" style="8" customWidth="1"/>
    <col min="82" max="82" width="7.42578125" style="8" customWidth="1"/>
    <col min="83" max="83" width="7.140625" style="8" customWidth="1"/>
    <col min="84" max="16384" width="9.140625" style="8"/>
  </cols>
  <sheetData>
    <row r="1" spans="1:83" s="31" customFormat="1" ht="13.5" customHeight="1">
      <c r="A1" s="31" t="s">
        <v>629</v>
      </c>
      <c r="I1" s="2023" t="s">
        <v>125</v>
      </c>
      <c r="J1" s="2023"/>
      <c r="K1" s="2023"/>
      <c r="L1" s="2023"/>
      <c r="M1" s="2023"/>
      <c r="N1" s="2023"/>
      <c r="O1" s="2023"/>
      <c r="P1" s="2023"/>
      <c r="Q1" s="2023"/>
      <c r="R1" s="194" t="s">
        <v>126</v>
      </c>
      <c r="W1" s="2012" t="s">
        <v>299</v>
      </c>
      <c r="X1" s="2012"/>
      <c r="Y1" s="2012"/>
      <c r="Z1" s="1308"/>
      <c r="AE1" s="2020" t="s">
        <v>125</v>
      </c>
      <c r="AF1" s="2020"/>
      <c r="AG1" s="2020"/>
      <c r="AH1" s="2020"/>
      <c r="AI1" s="2009" t="s">
        <v>298</v>
      </c>
      <c r="AJ1" s="1993"/>
      <c r="AN1" s="2012" t="s">
        <v>299</v>
      </c>
      <c r="AO1" s="2012"/>
      <c r="AP1" s="2012"/>
      <c r="AQ1" s="195"/>
      <c r="AR1" s="196"/>
      <c r="AS1" s="196"/>
      <c r="AT1" s="196"/>
      <c r="AU1" s="196"/>
      <c r="AV1" s="2051" t="s">
        <v>125</v>
      </c>
      <c r="AW1" s="2051"/>
      <c r="AX1" s="2051"/>
      <c r="AY1" s="2050" t="s">
        <v>298</v>
      </c>
      <c r="AZ1" s="2050"/>
      <c r="BA1" s="2050"/>
      <c r="BB1" s="2050"/>
      <c r="BC1" s="2050"/>
      <c r="BD1" s="2050"/>
      <c r="BE1" s="2050"/>
      <c r="BF1" s="2012" t="s">
        <v>299</v>
      </c>
      <c r="BG1" s="2012"/>
      <c r="BH1" s="2012"/>
      <c r="BJ1" s="1308"/>
      <c r="BK1" s="1308"/>
      <c r="BL1" s="1308"/>
      <c r="BM1" s="1308"/>
      <c r="BN1" s="1308"/>
      <c r="BO1" s="1308"/>
      <c r="BP1" s="2051" t="s">
        <v>125</v>
      </c>
      <c r="BQ1" s="2051"/>
      <c r="BR1" s="2051"/>
      <c r="BS1" s="2051"/>
      <c r="BT1" s="2051"/>
      <c r="BU1" s="2050" t="s">
        <v>298</v>
      </c>
      <c r="BV1" s="2050"/>
      <c r="BW1" s="2050"/>
      <c r="BX1" s="1317"/>
      <c r="BY1" s="1317"/>
      <c r="CB1" s="1317"/>
      <c r="CC1" s="2052" t="s">
        <v>571</v>
      </c>
      <c r="CD1" s="2052"/>
      <c r="CE1" s="2052"/>
    </row>
    <row r="2" spans="1:83" s="37" customFormat="1" ht="11.25" customHeight="1">
      <c r="I2" s="197"/>
      <c r="J2" s="197"/>
      <c r="K2" s="197"/>
      <c r="L2" s="197"/>
      <c r="M2" s="197"/>
      <c r="N2" s="197"/>
      <c r="O2" s="197"/>
      <c r="P2" s="2013" t="s">
        <v>1264</v>
      </c>
      <c r="Q2" s="2013"/>
      <c r="R2" s="37" t="s">
        <v>297</v>
      </c>
      <c r="X2" s="2019" t="s">
        <v>1545</v>
      </c>
      <c r="Y2" s="2019"/>
      <c r="Z2" s="809"/>
      <c r="AF2" s="809"/>
      <c r="AG2" s="2011" t="s">
        <v>1264</v>
      </c>
      <c r="AH2" s="2011"/>
      <c r="AI2" s="37" t="s">
        <v>297</v>
      </c>
      <c r="AN2" s="809"/>
      <c r="AO2" s="2011" t="s">
        <v>24</v>
      </c>
      <c r="AP2" s="2044"/>
      <c r="AQ2" s="198"/>
      <c r="AR2" s="198"/>
      <c r="AS2" s="198"/>
      <c r="AT2" s="198"/>
      <c r="AU2" s="198"/>
      <c r="AV2" s="198"/>
      <c r="AW2" s="2013" t="s">
        <v>1265</v>
      </c>
      <c r="AX2" s="2013"/>
      <c r="AY2" s="1309" t="s">
        <v>297</v>
      </c>
      <c r="AZ2" s="809"/>
      <c r="BA2" s="809"/>
      <c r="BB2" s="809"/>
      <c r="BC2" s="809"/>
      <c r="BD2" s="809"/>
      <c r="BE2" s="809"/>
      <c r="BF2" s="809"/>
      <c r="BG2" s="2011" t="s">
        <v>24</v>
      </c>
      <c r="BH2" s="2044"/>
      <c r="BJ2" s="809"/>
      <c r="BK2" s="809"/>
      <c r="BL2" s="809"/>
      <c r="BM2" s="809"/>
      <c r="BN2" s="809"/>
      <c r="BO2" s="809"/>
      <c r="BP2" s="198"/>
      <c r="BQ2" s="198"/>
      <c r="BS2" s="2019" t="s">
        <v>1266</v>
      </c>
      <c r="BT2" s="2019"/>
      <c r="BU2" s="2054" t="s">
        <v>297</v>
      </c>
      <c r="BV2" s="2054"/>
      <c r="BW2" s="809"/>
      <c r="BX2" s="809"/>
      <c r="BY2" s="809"/>
      <c r="CB2" s="442"/>
      <c r="CC2" s="102"/>
      <c r="CD2" s="2053" t="s">
        <v>24</v>
      </c>
      <c r="CE2" s="2053"/>
    </row>
    <row r="3" spans="1:83" s="208" customFormat="1" ht="24.75" customHeight="1">
      <c r="I3" s="2014" t="s">
        <v>1335</v>
      </c>
      <c r="J3" s="2029" t="s">
        <v>120</v>
      </c>
      <c r="K3" s="2030"/>
      <c r="L3" s="2031"/>
      <c r="M3" s="2017" t="s">
        <v>175</v>
      </c>
      <c r="N3" s="2017" t="s">
        <v>2577</v>
      </c>
      <c r="O3" s="2039" t="s">
        <v>630</v>
      </c>
      <c r="P3" s="2040"/>
      <c r="Q3" s="2041"/>
      <c r="R3" s="2042" t="s">
        <v>176</v>
      </c>
      <c r="S3" s="2042"/>
      <c r="T3" s="2043"/>
      <c r="U3" s="2033" t="s">
        <v>378</v>
      </c>
      <c r="V3" s="2029" t="s">
        <v>124</v>
      </c>
      <c r="W3" s="2030"/>
      <c r="X3" s="2030"/>
      <c r="Y3" s="2031"/>
      <c r="Z3" s="2025" t="s">
        <v>2617</v>
      </c>
      <c r="AA3" s="2024" t="s">
        <v>379</v>
      </c>
      <c r="AB3" s="2024"/>
      <c r="AC3" s="2024"/>
      <c r="AD3" s="2024"/>
      <c r="AE3" s="2046" t="s">
        <v>1227</v>
      </c>
      <c r="AF3" s="2046"/>
      <c r="AG3" s="2046"/>
      <c r="AH3" s="2046"/>
      <c r="AI3" s="2024" t="s">
        <v>380</v>
      </c>
      <c r="AJ3" s="2024"/>
      <c r="AK3" s="2024"/>
      <c r="AL3" s="2024"/>
      <c r="AM3" s="2046" t="s">
        <v>956</v>
      </c>
      <c r="AN3" s="2046"/>
      <c r="AO3" s="2046"/>
      <c r="AP3" s="2046"/>
      <c r="AQ3" s="2047" t="s">
        <v>946</v>
      </c>
      <c r="AR3" s="2024" t="s">
        <v>22</v>
      </c>
      <c r="AS3" s="2024"/>
      <c r="AT3" s="2024"/>
      <c r="AU3" s="2024"/>
      <c r="AV3" s="2024" t="s">
        <v>151</v>
      </c>
      <c r="AW3" s="2024"/>
      <c r="AX3" s="2024"/>
      <c r="AY3" s="2024" t="s">
        <v>1301</v>
      </c>
      <c r="AZ3" s="2024"/>
      <c r="BA3" s="2024"/>
      <c r="BB3" s="2010" t="s">
        <v>278</v>
      </c>
      <c r="BC3" s="2010" t="s">
        <v>737</v>
      </c>
      <c r="BD3" s="2046" t="s">
        <v>651</v>
      </c>
      <c r="BE3" s="2046"/>
      <c r="BF3" s="2046"/>
      <c r="BG3" s="2046"/>
      <c r="BH3" s="2046"/>
      <c r="BI3" s="2014" t="s">
        <v>946</v>
      </c>
      <c r="BJ3" s="2046" t="s">
        <v>130</v>
      </c>
      <c r="BK3" s="2046"/>
      <c r="BL3" s="2046"/>
      <c r="BM3" s="2063"/>
      <c r="BN3" s="2046"/>
      <c r="BO3" s="2010" t="s">
        <v>131</v>
      </c>
      <c r="BP3" s="2074" t="s">
        <v>1873</v>
      </c>
      <c r="BQ3" s="2060"/>
      <c r="BR3" s="2060"/>
      <c r="BS3" s="2060"/>
      <c r="BT3" s="2061"/>
      <c r="BU3" s="2046" t="s">
        <v>187</v>
      </c>
      <c r="BV3" s="2046"/>
      <c r="BW3" s="2046"/>
      <c r="BX3" s="2046"/>
      <c r="BY3" s="2046"/>
      <c r="BZ3" s="2046"/>
      <c r="CA3" s="2046"/>
      <c r="CB3" s="2046"/>
      <c r="CC3" s="2046"/>
      <c r="CD3" s="2046"/>
      <c r="CE3" s="2046"/>
    </row>
    <row r="4" spans="1:83" s="208" customFormat="1" ht="27" customHeight="1">
      <c r="I4" s="2015"/>
      <c r="J4" s="2010" t="s">
        <v>1292</v>
      </c>
      <c r="K4" s="2010" t="s">
        <v>1203</v>
      </c>
      <c r="L4" s="2017" t="s">
        <v>926</v>
      </c>
      <c r="M4" s="2026"/>
      <c r="N4" s="2027"/>
      <c r="O4" s="2017" t="s">
        <v>2578</v>
      </c>
      <c r="P4" s="2017" t="s">
        <v>2579</v>
      </c>
      <c r="Q4" s="1314" t="s">
        <v>121</v>
      </c>
      <c r="R4" s="2035" t="s">
        <v>490</v>
      </c>
      <c r="S4" s="2036"/>
      <c r="T4" s="2032" t="s">
        <v>750</v>
      </c>
      <c r="U4" s="2034"/>
      <c r="V4" s="2017" t="s">
        <v>1767</v>
      </c>
      <c r="W4" s="2017" t="s">
        <v>2618</v>
      </c>
      <c r="X4" s="2017" t="s">
        <v>2619</v>
      </c>
      <c r="Y4" s="2017" t="s">
        <v>2620</v>
      </c>
      <c r="Z4" s="2025"/>
      <c r="AA4" s="2010" t="s">
        <v>186</v>
      </c>
      <c r="AB4" s="2010" t="s">
        <v>178</v>
      </c>
      <c r="AC4" s="2010" t="s">
        <v>177</v>
      </c>
      <c r="AD4" s="2010" t="s">
        <v>646</v>
      </c>
      <c r="AE4" s="2010" t="s">
        <v>948</v>
      </c>
      <c r="AF4" s="2010" t="s">
        <v>179</v>
      </c>
      <c r="AG4" s="2010" t="s">
        <v>949</v>
      </c>
      <c r="AH4" s="2010" t="s">
        <v>647</v>
      </c>
      <c r="AI4" s="2010" t="s">
        <v>950</v>
      </c>
      <c r="AJ4" s="2010" t="s">
        <v>951</v>
      </c>
      <c r="AK4" s="2010" t="s">
        <v>952</v>
      </c>
      <c r="AL4" s="2010" t="s">
        <v>648</v>
      </c>
      <c r="AM4" s="2010" t="s">
        <v>649</v>
      </c>
      <c r="AN4" s="2045" t="s">
        <v>1805</v>
      </c>
      <c r="AO4" s="2010" t="s">
        <v>953</v>
      </c>
      <c r="AP4" s="2010" t="s">
        <v>749</v>
      </c>
      <c r="AQ4" s="2048"/>
      <c r="AR4" s="2010" t="s">
        <v>954</v>
      </c>
      <c r="AS4" s="2010" t="s">
        <v>955</v>
      </c>
      <c r="AT4" s="2010" t="s">
        <v>2652</v>
      </c>
      <c r="AU4" s="2010" t="s">
        <v>2651</v>
      </c>
      <c r="AV4" s="2010" t="s">
        <v>23</v>
      </c>
      <c r="AW4" s="2010" t="s">
        <v>1008</v>
      </c>
      <c r="AX4" s="2010" t="s">
        <v>650</v>
      </c>
      <c r="AY4" s="2010" t="s">
        <v>2129</v>
      </c>
      <c r="AZ4" s="2010" t="s">
        <v>1306</v>
      </c>
      <c r="BA4" s="2069" t="s">
        <v>477</v>
      </c>
      <c r="BB4" s="2010"/>
      <c r="BC4" s="2010"/>
      <c r="BD4" s="2069" t="s">
        <v>127</v>
      </c>
      <c r="BE4" s="2069"/>
      <c r="BF4" s="2069" t="s">
        <v>128</v>
      </c>
      <c r="BG4" s="2069"/>
      <c r="BH4" s="2010" t="s">
        <v>1304</v>
      </c>
      <c r="BI4" s="2015"/>
      <c r="BJ4" s="2010" t="s">
        <v>133</v>
      </c>
      <c r="BK4" s="2010" t="s">
        <v>134</v>
      </c>
      <c r="BL4" s="2073" t="s">
        <v>182</v>
      </c>
      <c r="BM4" s="2017" t="s">
        <v>139</v>
      </c>
      <c r="BN4" s="2017" t="s">
        <v>1318</v>
      </c>
      <c r="BO4" s="2010"/>
      <c r="BP4" s="2073" t="s">
        <v>1874</v>
      </c>
      <c r="BQ4" s="2075"/>
      <c r="BR4" s="2075"/>
      <c r="BS4" s="2076"/>
      <c r="BT4" s="2067" t="s">
        <v>1890</v>
      </c>
      <c r="BU4" s="2057" t="s">
        <v>771</v>
      </c>
      <c r="BV4" s="2055" t="s">
        <v>2605</v>
      </c>
      <c r="BW4" s="2057" t="s">
        <v>1889</v>
      </c>
      <c r="BX4" s="2062" t="s">
        <v>979</v>
      </c>
      <c r="BY4" s="2018" t="s">
        <v>135</v>
      </c>
      <c r="BZ4" s="2059" t="s">
        <v>1804</v>
      </c>
      <c r="CA4" s="2060"/>
      <c r="CB4" s="2061"/>
      <c r="CC4" s="2059" t="s">
        <v>1186</v>
      </c>
      <c r="CD4" s="2060"/>
      <c r="CE4" s="2061"/>
    </row>
    <row r="5" spans="1:83" s="208" customFormat="1" ht="45.6" customHeight="1">
      <c r="H5" s="161"/>
      <c r="I5" s="2015"/>
      <c r="J5" s="2010"/>
      <c r="K5" s="2010"/>
      <c r="L5" s="2018"/>
      <c r="M5" s="2018"/>
      <c r="N5" s="2028"/>
      <c r="O5" s="2018"/>
      <c r="P5" s="2018"/>
      <c r="Q5" s="1306" t="s">
        <v>2568</v>
      </c>
      <c r="R5" s="1306" t="s">
        <v>2567</v>
      </c>
      <c r="S5" s="1306" t="s">
        <v>947</v>
      </c>
      <c r="T5" s="2010"/>
      <c r="U5" s="2034"/>
      <c r="V5" s="2018"/>
      <c r="W5" s="2018"/>
      <c r="X5" s="2018"/>
      <c r="Y5" s="2018"/>
      <c r="Z5" s="2025"/>
      <c r="AA5" s="2010"/>
      <c r="AB5" s="2010"/>
      <c r="AC5" s="2010"/>
      <c r="AD5" s="2010"/>
      <c r="AE5" s="2010"/>
      <c r="AF5" s="2010"/>
      <c r="AG5" s="2010"/>
      <c r="AH5" s="2010"/>
      <c r="AI5" s="2010"/>
      <c r="AJ5" s="2010"/>
      <c r="AK5" s="2010"/>
      <c r="AL5" s="2010"/>
      <c r="AM5" s="2010"/>
      <c r="AN5" s="2045"/>
      <c r="AO5" s="2010"/>
      <c r="AP5" s="2010"/>
      <c r="AQ5" s="2048"/>
      <c r="AR5" s="2010"/>
      <c r="AS5" s="2010"/>
      <c r="AT5" s="2010"/>
      <c r="AU5" s="2010"/>
      <c r="AV5" s="2010"/>
      <c r="AW5" s="2010"/>
      <c r="AX5" s="2010"/>
      <c r="AY5" s="2010"/>
      <c r="AZ5" s="2010"/>
      <c r="BA5" s="2069"/>
      <c r="BB5" s="2010"/>
      <c r="BC5" s="2010"/>
      <c r="BD5" s="1313" t="s">
        <v>1305</v>
      </c>
      <c r="BE5" s="1307" t="s">
        <v>181</v>
      </c>
      <c r="BF5" s="1313" t="s">
        <v>129</v>
      </c>
      <c r="BG5" s="1307" t="s">
        <v>181</v>
      </c>
      <c r="BH5" s="2010"/>
      <c r="BI5" s="2015"/>
      <c r="BJ5" s="2010"/>
      <c r="BK5" s="2010"/>
      <c r="BL5" s="2073"/>
      <c r="BM5" s="2018"/>
      <c r="BN5" s="2018"/>
      <c r="BO5" s="2010"/>
      <c r="BP5" s="1312" t="s">
        <v>1875</v>
      </c>
      <c r="BQ5" s="861" t="s">
        <v>142</v>
      </c>
      <c r="BR5" s="1312" t="s">
        <v>143</v>
      </c>
      <c r="BS5" s="1312" t="s">
        <v>828</v>
      </c>
      <c r="BT5" s="2068"/>
      <c r="BU5" s="2058"/>
      <c r="BV5" s="2056"/>
      <c r="BW5" s="2058"/>
      <c r="BX5" s="2057"/>
      <c r="BY5" s="2010"/>
      <c r="BZ5" s="1310" t="s">
        <v>136</v>
      </c>
      <c r="CA5" s="1311" t="s">
        <v>137</v>
      </c>
      <c r="CB5" s="1311" t="s">
        <v>1876</v>
      </c>
      <c r="CC5" s="1311" t="s">
        <v>136</v>
      </c>
      <c r="CD5" s="1311" t="s">
        <v>137</v>
      </c>
      <c r="CE5" s="1311" t="s">
        <v>1877</v>
      </c>
    </row>
    <row r="6" spans="1:83" s="129" customFormat="1" ht="11.25" customHeight="1">
      <c r="I6" s="2016"/>
      <c r="J6" s="128">
        <v>1</v>
      </c>
      <c r="K6" s="128">
        <v>2</v>
      </c>
      <c r="L6" s="128">
        <v>3</v>
      </c>
      <c r="M6" s="128">
        <v>4</v>
      </c>
      <c r="N6" s="128">
        <v>5</v>
      </c>
      <c r="O6" s="128">
        <v>6</v>
      </c>
      <c r="P6" s="128">
        <v>7</v>
      </c>
      <c r="Q6" s="128">
        <v>8</v>
      </c>
      <c r="R6" s="128">
        <v>9</v>
      </c>
      <c r="S6" s="128">
        <v>10</v>
      </c>
      <c r="T6" s="128">
        <v>11</v>
      </c>
      <c r="U6" s="128">
        <v>12</v>
      </c>
      <c r="V6" s="128">
        <v>13</v>
      </c>
      <c r="W6" s="128">
        <v>14</v>
      </c>
      <c r="X6" s="128">
        <v>15</v>
      </c>
      <c r="Y6" s="128">
        <v>16</v>
      </c>
      <c r="Z6" s="2025"/>
      <c r="AA6" s="128">
        <v>17</v>
      </c>
      <c r="AB6" s="128">
        <v>18</v>
      </c>
      <c r="AC6" s="128">
        <v>19</v>
      </c>
      <c r="AD6" s="128">
        <v>20</v>
      </c>
      <c r="AE6" s="128">
        <v>21</v>
      </c>
      <c r="AF6" s="128">
        <v>22</v>
      </c>
      <c r="AG6" s="128">
        <v>23</v>
      </c>
      <c r="AH6" s="128">
        <v>24</v>
      </c>
      <c r="AI6" s="128">
        <v>25</v>
      </c>
      <c r="AJ6" s="128">
        <v>26</v>
      </c>
      <c r="AK6" s="128">
        <v>27</v>
      </c>
      <c r="AL6" s="128">
        <v>28</v>
      </c>
      <c r="AM6" s="128">
        <v>29</v>
      </c>
      <c r="AN6" s="128">
        <v>30</v>
      </c>
      <c r="AO6" s="128">
        <v>31</v>
      </c>
      <c r="AP6" s="128">
        <v>32</v>
      </c>
      <c r="AQ6" s="2049"/>
      <c r="AR6" s="128">
        <v>33</v>
      </c>
      <c r="AS6" s="128">
        <v>34</v>
      </c>
      <c r="AT6" s="128">
        <v>35</v>
      </c>
      <c r="AU6" s="128">
        <v>36</v>
      </c>
      <c r="AV6" s="128">
        <v>37</v>
      </c>
      <c r="AW6" s="128">
        <v>38</v>
      </c>
      <c r="AX6" s="128">
        <v>39</v>
      </c>
      <c r="AY6" s="128">
        <v>40</v>
      </c>
      <c r="AZ6" s="128">
        <v>41</v>
      </c>
      <c r="BA6" s="128">
        <v>42</v>
      </c>
      <c r="BB6" s="128">
        <v>43</v>
      </c>
      <c r="BC6" s="128">
        <v>44</v>
      </c>
      <c r="BD6" s="128">
        <v>45</v>
      </c>
      <c r="BE6" s="128">
        <v>46</v>
      </c>
      <c r="BF6" s="128">
        <v>47</v>
      </c>
      <c r="BG6" s="128">
        <v>48</v>
      </c>
      <c r="BH6" s="128">
        <v>49</v>
      </c>
      <c r="BI6" s="2016"/>
      <c r="BJ6" s="1318">
        <v>50</v>
      </c>
      <c r="BK6" s="1318">
        <v>51</v>
      </c>
      <c r="BL6" s="1318">
        <v>52</v>
      </c>
      <c r="BM6" s="1318">
        <v>53</v>
      </c>
      <c r="BN6" s="1318">
        <v>54</v>
      </c>
      <c r="BO6" s="1318">
        <v>55</v>
      </c>
      <c r="BP6" s="1318">
        <v>56</v>
      </c>
      <c r="BQ6" s="1318">
        <v>57</v>
      </c>
      <c r="BR6" s="1318">
        <v>58</v>
      </c>
      <c r="BS6" s="1318">
        <v>59</v>
      </c>
      <c r="BT6" s="1318">
        <v>60</v>
      </c>
      <c r="BU6" s="1318">
        <v>61</v>
      </c>
      <c r="BV6" s="1318">
        <v>62</v>
      </c>
      <c r="BW6" s="1318">
        <v>63</v>
      </c>
      <c r="BX6" s="1318">
        <v>64</v>
      </c>
      <c r="BY6" s="1318">
        <v>65</v>
      </c>
      <c r="BZ6" s="1318">
        <v>66</v>
      </c>
      <c r="CA6" s="1318">
        <v>67</v>
      </c>
      <c r="CB6" s="128">
        <v>68</v>
      </c>
      <c r="CC6" s="1318">
        <v>69</v>
      </c>
      <c r="CD6" s="128">
        <v>70</v>
      </c>
      <c r="CE6" s="1318">
        <v>71</v>
      </c>
    </row>
    <row r="7" spans="1:83" s="778" customFormat="1" ht="9" customHeight="1">
      <c r="I7" s="258" t="s">
        <v>189</v>
      </c>
      <c r="J7" s="254">
        <v>59915.5</v>
      </c>
      <c r="K7" s="254">
        <v>611.4</v>
      </c>
      <c r="L7" s="254">
        <v>60526.9</v>
      </c>
      <c r="M7" s="254">
        <v>5731.8</v>
      </c>
      <c r="N7" s="254">
        <v>54795.1</v>
      </c>
      <c r="O7" s="254">
        <v>9482</v>
      </c>
      <c r="P7" s="254">
        <v>24919.8</v>
      </c>
      <c r="Q7" s="254">
        <v>48106.2</v>
      </c>
      <c r="R7" s="254">
        <v>337418.9</v>
      </c>
      <c r="S7" s="254">
        <v>385525.10000000003</v>
      </c>
      <c r="T7" s="254">
        <v>410444.9</v>
      </c>
      <c r="U7" s="254">
        <v>199.8</v>
      </c>
      <c r="V7" s="254">
        <v>89734.400000000009</v>
      </c>
      <c r="W7" s="254">
        <v>103101.09999999999</v>
      </c>
      <c r="X7" s="254">
        <v>440520</v>
      </c>
      <c r="Y7" s="254">
        <v>510456.39999999997</v>
      </c>
      <c r="Z7" s="258" t="s">
        <v>189</v>
      </c>
      <c r="AA7" s="254">
        <v>0</v>
      </c>
      <c r="AB7" s="254">
        <v>13830.7</v>
      </c>
      <c r="AC7" s="254">
        <v>312803.5</v>
      </c>
      <c r="AD7" s="254">
        <v>326634.2</v>
      </c>
      <c r="AE7" s="254">
        <v>0</v>
      </c>
      <c r="AF7" s="254">
        <v>4371.8999999999996</v>
      </c>
      <c r="AG7" s="254">
        <v>16670.400000000001</v>
      </c>
      <c r="AH7" s="254">
        <v>21042.300000000003</v>
      </c>
      <c r="AI7" s="254">
        <v>3080.3</v>
      </c>
      <c r="AJ7" s="254">
        <v>66704</v>
      </c>
      <c r="AK7" s="254">
        <v>8095.2</v>
      </c>
      <c r="AL7" s="254">
        <v>74799.199999999997</v>
      </c>
      <c r="AM7" s="254">
        <v>3080.3</v>
      </c>
      <c r="AN7" s="254">
        <v>84906.6</v>
      </c>
      <c r="AO7" s="254">
        <v>337569.10000000003</v>
      </c>
      <c r="AP7" s="254">
        <v>422475.7</v>
      </c>
      <c r="AQ7" s="258" t="s">
        <v>189</v>
      </c>
      <c r="AR7" s="254">
        <v>1959.3</v>
      </c>
      <c r="AS7" s="254">
        <v>17833.400000000001</v>
      </c>
      <c r="AT7" s="254">
        <v>3960.3</v>
      </c>
      <c r="AU7" s="254">
        <v>2329.1999999999998</v>
      </c>
      <c r="AV7" s="254">
        <v>410470.7</v>
      </c>
      <c r="AW7" s="254">
        <v>5461.7</v>
      </c>
      <c r="AX7" s="254">
        <v>415932.4</v>
      </c>
      <c r="AY7" s="254">
        <v>24955.944</v>
      </c>
      <c r="AZ7" s="260">
        <v>4051.7560000000012</v>
      </c>
      <c r="BA7" s="260">
        <v>29007.7</v>
      </c>
      <c r="BB7" s="254">
        <v>1087850.3</v>
      </c>
      <c r="BC7" s="260">
        <v>89534.6</v>
      </c>
      <c r="BD7" s="254">
        <v>10732.9</v>
      </c>
      <c r="BE7" s="254">
        <v>20625.2</v>
      </c>
      <c r="BF7" s="254">
        <v>2591</v>
      </c>
      <c r="BG7" s="254">
        <v>63715.1</v>
      </c>
      <c r="BH7" s="254">
        <v>97664.2</v>
      </c>
      <c r="BI7" s="258" t="s">
        <v>189</v>
      </c>
      <c r="BJ7" s="261">
        <v>34.89</v>
      </c>
      <c r="BK7" s="261">
        <v>28.72</v>
      </c>
      <c r="BL7" s="261">
        <v>25.84</v>
      </c>
      <c r="BM7" s="261">
        <v>27.41</v>
      </c>
      <c r="BN7" s="261">
        <v>21.34</v>
      </c>
      <c r="BO7" s="261">
        <v>2.08</v>
      </c>
      <c r="BP7" s="262">
        <v>3414</v>
      </c>
      <c r="BQ7" s="259">
        <v>1388</v>
      </c>
      <c r="BR7" s="259">
        <v>2847</v>
      </c>
      <c r="BS7" s="262">
        <v>63</v>
      </c>
      <c r="BT7" s="262">
        <v>7712</v>
      </c>
      <c r="BU7" s="261">
        <v>102.92469109244581</v>
      </c>
      <c r="BV7" s="261">
        <v>53.224935165975104</v>
      </c>
      <c r="BW7" s="261">
        <v>54.781600103734441</v>
      </c>
      <c r="BX7" s="261">
        <v>8.4633324619759698</v>
      </c>
      <c r="BY7" s="261">
        <v>5</v>
      </c>
      <c r="BZ7" s="261">
        <v>7.27</v>
      </c>
      <c r="CA7" s="261">
        <v>12.42</v>
      </c>
      <c r="CB7" s="263">
        <f t="shared" ref="CB7:CB9" si="0">CA7-BZ7</f>
        <v>5.15</v>
      </c>
      <c r="CC7" s="260" t="s">
        <v>292</v>
      </c>
      <c r="CD7" s="573" t="s">
        <v>292</v>
      </c>
      <c r="CE7" s="1393" t="s">
        <v>292</v>
      </c>
    </row>
    <row r="8" spans="1:83" s="25" customFormat="1" ht="9" customHeight="1">
      <c r="I8" s="450" t="s">
        <v>831</v>
      </c>
      <c r="J8" s="211">
        <v>64200.7</v>
      </c>
      <c r="K8" s="211">
        <v>695.8</v>
      </c>
      <c r="L8" s="211">
        <v>64896.5</v>
      </c>
      <c r="M8" s="211">
        <v>6479.4</v>
      </c>
      <c r="N8" s="211">
        <v>58417.1</v>
      </c>
      <c r="O8" s="211">
        <v>11992.2</v>
      </c>
      <c r="P8" s="211">
        <v>31574.2</v>
      </c>
      <c r="Q8" s="211">
        <v>51060.4</v>
      </c>
      <c r="R8" s="211">
        <v>407388.1</v>
      </c>
      <c r="S8" s="211">
        <v>458448.5</v>
      </c>
      <c r="T8" s="211">
        <v>490022.7</v>
      </c>
      <c r="U8" s="211">
        <v>243.9</v>
      </c>
      <c r="V8" s="211">
        <v>97802.7</v>
      </c>
      <c r="W8" s="211">
        <v>109721.4</v>
      </c>
      <c r="X8" s="211">
        <v>517109.5</v>
      </c>
      <c r="Y8" s="211">
        <v>589840.4</v>
      </c>
      <c r="Z8" s="450" t="s">
        <v>831</v>
      </c>
      <c r="AA8" s="52">
        <v>0</v>
      </c>
      <c r="AB8" s="52">
        <v>14190.3</v>
      </c>
      <c r="AC8" s="52">
        <v>373614.6</v>
      </c>
      <c r="AD8" s="52">
        <v>387804.89999999997</v>
      </c>
      <c r="AE8" s="52">
        <v>0</v>
      </c>
      <c r="AF8" s="52">
        <v>2534.6999999999998</v>
      </c>
      <c r="AG8" s="52">
        <v>21317.5</v>
      </c>
      <c r="AH8" s="52">
        <v>23852.2</v>
      </c>
      <c r="AI8" s="52">
        <v>5173</v>
      </c>
      <c r="AJ8" s="52">
        <v>86057.1</v>
      </c>
      <c r="AK8" s="52">
        <v>9370.7999999999993</v>
      </c>
      <c r="AL8" s="52">
        <v>95427.900000000009</v>
      </c>
      <c r="AM8" s="52">
        <v>5173</v>
      </c>
      <c r="AN8" s="52">
        <v>102782.1</v>
      </c>
      <c r="AO8" s="52">
        <v>404302.89999999997</v>
      </c>
      <c r="AP8" s="52">
        <v>507085</v>
      </c>
      <c r="AQ8" s="450" t="s">
        <v>831</v>
      </c>
      <c r="AR8" s="52">
        <v>2320</v>
      </c>
      <c r="AS8" s="52">
        <v>21671.599999999999</v>
      </c>
      <c r="AT8" s="52">
        <v>9197</v>
      </c>
      <c r="AU8" s="52">
        <v>3377.7</v>
      </c>
      <c r="AV8" s="52">
        <v>490038.80000000005</v>
      </c>
      <c r="AW8" s="52">
        <v>7141.5</v>
      </c>
      <c r="AX8" s="52">
        <v>497180.30000000005</v>
      </c>
      <c r="AY8" s="52">
        <v>29830.818000000003</v>
      </c>
      <c r="AZ8" s="210">
        <v>2831.4819999999963</v>
      </c>
      <c r="BA8" s="215">
        <v>32662.3</v>
      </c>
      <c r="BB8" s="52">
        <v>1296703.2</v>
      </c>
      <c r="BC8" s="215">
        <v>97558.8</v>
      </c>
      <c r="BD8" s="52">
        <v>9829.8000000000011</v>
      </c>
      <c r="BE8" s="52">
        <v>27482.100000000002</v>
      </c>
      <c r="BF8" s="52">
        <v>3379.1</v>
      </c>
      <c r="BG8" s="52">
        <v>82057.899999999994</v>
      </c>
      <c r="BH8" s="52">
        <v>122748.9</v>
      </c>
      <c r="BI8" s="450" t="s">
        <v>831</v>
      </c>
      <c r="BJ8" s="26">
        <v>25.15</v>
      </c>
      <c r="BK8" s="26">
        <v>-5.01</v>
      </c>
      <c r="BL8" s="26">
        <v>19.72</v>
      </c>
      <c r="BM8" s="26">
        <v>19.53</v>
      </c>
      <c r="BN8" s="26">
        <v>17.39</v>
      </c>
      <c r="BO8" s="26">
        <v>2.04</v>
      </c>
      <c r="BP8" s="138">
        <v>3449</v>
      </c>
      <c r="BQ8" s="25">
        <v>1417</v>
      </c>
      <c r="BR8" s="25">
        <v>3130</v>
      </c>
      <c r="BS8" s="138">
        <v>63</v>
      </c>
      <c r="BT8" s="138">
        <v>8059</v>
      </c>
      <c r="BU8" s="26">
        <v>103.47854088288517</v>
      </c>
      <c r="BV8" s="26">
        <v>60.806402779501184</v>
      </c>
      <c r="BW8" s="26">
        <v>62.921578359597966</v>
      </c>
      <c r="BX8" s="26">
        <v>7.9874695636345514</v>
      </c>
      <c r="BY8" s="26">
        <v>5</v>
      </c>
      <c r="BZ8" s="26">
        <v>8.15</v>
      </c>
      <c r="CA8" s="26">
        <v>13.75</v>
      </c>
      <c r="CB8" s="23">
        <f t="shared" si="0"/>
        <v>5.6</v>
      </c>
      <c r="CC8" s="210" t="s">
        <v>292</v>
      </c>
      <c r="CD8" s="451" t="s">
        <v>292</v>
      </c>
      <c r="CE8" s="208" t="s">
        <v>292</v>
      </c>
    </row>
    <row r="9" spans="1:83" s="25" customFormat="1" ht="9" customHeight="1">
      <c r="I9" s="258" t="s">
        <v>809</v>
      </c>
      <c r="J9" s="250">
        <v>74633.600000000006</v>
      </c>
      <c r="K9" s="250">
        <v>738.7</v>
      </c>
      <c r="L9" s="250">
        <v>75372.3</v>
      </c>
      <c r="M9" s="250">
        <v>7819.4</v>
      </c>
      <c r="N9" s="250">
        <v>67552.899999999994</v>
      </c>
      <c r="O9" s="250">
        <v>16749.2</v>
      </c>
      <c r="P9" s="250">
        <v>37251.699999999997</v>
      </c>
      <c r="Q9" s="250">
        <v>55736.5</v>
      </c>
      <c r="R9" s="250">
        <v>479902.3</v>
      </c>
      <c r="S9" s="250">
        <v>535638.80000000005</v>
      </c>
      <c r="T9" s="250">
        <v>572890.5</v>
      </c>
      <c r="U9" s="250">
        <v>313.7</v>
      </c>
      <c r="V9" s="250">
        <v>112489.39999999998</v>
      </c>
      <c r="W9" s="250">
        <v>123603.09999999999</v>
      </c>
      <c r="X9" s="250">
        <v>603505.4</v>
      </c>
      <c r="Y9" s="250">
        <v>680182.9</v>
      </c>
      <c r="Z9" s="258" t="s">
        <v>809</v>
      </c>
      <c r="AA9" s="254">
        <v>0</v>
      </c>
      <c r="AB9" s="254">
        <v>10424.6</v>
      </c>
      <c r="AC9" s="254">
        <v>417890.5</v>
      </c>
      <c r="AD9" s="254">
        <v>428315.1</v>
      </c>
      <c r="AE9" s="254">
        <v>0</v>
      </c>
      <c r="AF9" s="254">
        <v>939.6</v>
      </c>
      <c r="AG9" s="254">
        <v>18961.2</v>
      </c>
      <c r="AH9" s="254">
        <v>19900.8</v>
      </c>
      <c r="AI9" s="254">
        <v>6677.8</v>
      </c>
      <c r="AJ9" s="254">
        <v>123736.6</v>
      </c>
      <c r="AK9" s="254">
        <v>11125.2</v>
      </c>
      <c r="AL9" s="254">
        <v>134861.80000000002</v>
      </c>
      <c r="AM9" s="254">
        <v>6677.8</v>
      </c>
      <c r="AN9" s="254">
        <v>135100.80000000002</v>
      </c>
      <c r="AO9" s="254">
        <v>447976.9</v>
      </c>
      <c r="AP9" s="254">
        <v>583077.69999999995</v>
      </c>
      <c r="AQ9" s="258" t="s">
        <v>809</v>
      </c>
      <c r="AR9" s="254">
        <v>9784.5</v>
      </c>
      <c r="AS9" s="254">
        <v>9441.9</v>
      </c>
      <c r="AT9" s="254">
        <v>9640.7999999999993</v>
      </c>
      <c r="AU9" s="254">
        <v>147</v>
      </c>
      <c r="AV9" s="254">
        <v>572957.5</v>
      </c>
      <c r="AW9" s="254">
        <v>6509</v>
      </c>
      <c r="AX9" s="254">
        <v>579466.5</v>
      </c>
      <c r="AY9" s="254">
        <v>34767.99</v>
      </c>
      <c r="AZ9" s="249">
        <v>2035.4100000000035</v>
      </c>
      <c r="BA9" s="260">
        <v>36803.4</v>
      </c>
      <c r="BB9" s="254">
        <v>1462258.7</v>
      </c>
      <c r="BC9" s="260">
        <v>112175.70000000001</v>
      </c>
      <c r="BD9" s="254">
        <v>9204.5</v>
      </c>
      <c r="BE9" s="254">
        <v>21263.200000000001</v>
      </c>
      <c r="BF9" s="254">
        <v>3720.1000000000004</v>
      </c>
      <c r="BG9" s="254">
        <v>123280</v>
      </c>
      <c r="BH9" s="254">
        <v>157467.79999999999</v>
      </c>
      <c r="BI9" s="258" t="s">
        <v>809</v>
      </c>
      <c r="BJ9" s="261">
        <v>19.91</v>
      </c>
      <c r="BK9" s="261">
        <v>9.06</v>
      </c>
      <c r="BL9" s="261">
        <v>10.85</v>
      </c>
      <c r="BM9" s="261">
        <v>12.4</v>
      </c>
      <c r="BN9" s="261">
        <v>16.71</v>
      </c>
      <c r="BO9" s="261">
        <v>1.99</v>
      </c>
      <c r="BP9" s="262">
        <v>3499</v>
      </c>
      <c r="BQ9" s="259">
        <v>1476</v>
      </c>
      <c r="BR9" s="259">
        <v>3386</v>
      </c>
      <c r="BS9" s="262">
        <v>66</v>
      </c>
      <c r="BT9" s="262">
        <v>8427</v>
      </c>
      <c r="BU9" s="261">
        <v>101.76630901942988</v>
      </c>
      <c r="BV9" s="261">
        <v>67.990684703927855</v>
      </c>
      <c r="BW9" s="261">
        <v>69.191610300225463</v>
      </c>
      <c r="BX9" s="261">
        <v>7.7881518262698375</v>
      </c>
      <c r="BY9" s="261">
        <v>5</v>
      </c>
      <c r="BZ9" s="261">
        <v>8.5399999999999991</v>
      </c>
      <c r="CA9" s="261">
        <v>13.67</v>
      </c>
      <c r="CB9" s="253">
        <f t="shared" si="0"/>
        <v>5.1300000000000008</v>
      </c>
      <c r="CC9" s="251">
        <v>14.21</v>
      </c>
      <c r="CD9" s="253">
        <v>17.440000000000001</v>
      </c>
      <c r="CE9" s="253">
        <f>CD9-CC9</f>
        <v>3.2300000000000004</v>
      </c>
    </row>
    <row r="10" spans="1:83" s="230" customFormat="1" ht="9" customHeight="1">
      <c r="I10" s="209" t="s">
        <v>982</v>
      </c>
      <c r="J10" s="211">
        <v>84714.1</v>
      </c>
      <c r="K10" s="211">
        <v>771.1</v>
      </c>
      <c r="L10" s="211">
        <v>85485.200000000012</v>
      </c>
      <c r="M10" s="211">
        <v>8576.7999999999993</v>
      </c>
      <c r="N10" s="211">
        <v>76908.400000000009</v>
      </c>
      <c r="O10" s="211">
        <v>14653.7</v>
      </c>
      <c r="P10" s="211">
        <v>39217.699999999997</v>
      </c>
      <c r="Q10" s="211">
        <v>64344.3</v>
      </c>
      <c r="R10" s="211">
        <v>558978.4</v>
      </c>
      <c r="S10" s="211">
        <v>623322.70000000007</v>
      </c>
      <c r="T10" s="211">
        <v>662540.4</v>
      </c>
      <c r="U10" s="211">
        <v>392.4</v>
      </c>
      <c r="V10" s="211">
        <v>129875.29999999999</v>
      </c>
      <c r="W10" s="211">
        <v>141645.1</v>
      </c>
      <c r="X10" s="211">
        <v>700623.5</v>
      </c>
      <c r="Y10" s="211">
        <v>792445.3</v>
      </c>
      <c r="Z10" s="209" t="s">
        <v>982</v>
      </c>
      <c r="AA10" s="211">
        <v>0</v>
      </c>
      <c r="AB10" s="211">
        <v>12682.9</v>
      </c>
      <c r="AC10" s="211">
        <v>472716.79999999999</v>
      </c>
      <c r="AD10" s="211">
        <v>485399.7</v>
      </c>
      <c r="AE10" s="211">
        <v>0</v>
      </c>
      <c r="AF10" s="211">
        <v>1119.4000000000001</v>
      </c>
      <c r="AG10" s="211">
        <v>18229.8</v>
      </c>
      <c r="AH10" s="211">
        <v>19349.2</v>
      </c>
      <c r="AI10" s="211">
        <v>7694</v>
      </c>
      <c r="AJ10" s="211">
        <v>152996.79999999999</v>
      </c>
      <c r="AK10" s="211">
        <v>12420.6</v>
      </c>
      <c r="AL10" s="211">
        <v>165417.4</v>
      </c>
      <c r="AM10" s="211">
        <v>7694</v>
      </c>
      <c r="AN10" s="211">
        <v>166799.09999999998</v>
      </c>
      <c r="AO10" s="211">
        <v>503367.19999999995</v>
      </c>
      <c r="AP10" s="211">
        <v>670166.30000000005</v>
      </c>
      <c r="AQ10" s="209" t="s">
        <v>982</v>
      </c>
      <c r="AR10" s="211">
        <v>5706.9</v>
      </c>
      <c r="AS10" s="211">
        <v>5526.6</v>
      </c>
      <c r="AT10" s="211">
        <v>9945.7000000000007</v>
      </c>
      <c r="AU10" s="211">
        <v>26.2</v>
      </c>
      <c r="AV10" s="211">
        <v>662559.30000000005</v>
      </c>
      <c r="AW10" s="211">
        <v>6612.1</v>
      </c>
      <c r="AX10" s="211">
        <v>669171.4</v>
      </c>
      <c r="AY10" s="211">
        <v>43496.141000000003</v>
      </c>
      <c r="AZ10" s="211">
        <v>501.55899999999383</v>
      </c>
      <c r="BA10" s="211">
        <v>43997.7</v>
      </c>
      <c r="BB10" s="211">
        <v>1689948.5</v>
      </c>
      <c r="BC10" s="211">
        <v>129482.90000000001</v>
      </c>
      <c r="BD10" s="211">
        <v>78.099999999999994</v>
      </c>
      <c r="BE10" s="211">
        <v>16886.2</v>
      </c>
      <c r="BF10" s="211">
        <v>2769.5</v>
      </c>
      <c r="BG10" s="211">
        <v>152495.40000000002</v>
      </c>
      <c r="BH10" s="211">
        <v>172229.2</v>
      </c>
      <c r="BI10" s="209" t="s">
        <v>982</v>
      </c>
      <c r="BJ10" s="231">
        <v>6.72</v>
      </c>
      <c r="BK10" s="231">
        <v>34.71</v>
      </c>
      <c r="BL10" s="231">
        <v>12.27</v>
      </c>
      <c r="BM10" s="231">
        <v>11.57</v>
      </c>
      <c r="BN10" s="231">
        <v>15.46</v>
      </c>
      <c r="BO10" s="26">
        <v>1.92</v>
      </c>
      <c r="BP10" s="338">
        <v>3536</v>
      </c>
      <c r="BQ10" s="230">
        <v>1496</v>
      </c>
      <c r="BR10" s="230">
        <v>3692</v>
      </c>
      <c r="BS10" s="338">
        <v>70</v>
      </c>
      <c r="BT10" s="338">
        <v>8794</v>
      </c>
      <c r="BU10" s="231">
        <v>101.14812364719657</v>
      </c>
      <c r="BV10" s="231">
        <v>75.342199226745507</v>
      </c>
      <c r="BW10" s="231">
        <v>76.20722083238573</v>
      </c>
      <c r="BX10" s="231">
        <v>7.9350633218792641</v>
      </c>
      <c r="BY10" s="231">
        <v>5</v>
      </c>
      <c r="BZ10" s="231">
        <v>7.79</v>
      </c>
      <c r="CA10" s="231">
        <v>13.1</v>
      </c>
      <c r="CB10" s="231">
        <v>5.31</v>
      </c>
      <c r="CC10" s="231">
        <v>12.52</v>
      </c>
      <c r="CD10" s="231">
        <v>16.899999999999999</v>
      </c>
      <c r="CE10" s="231">
        <v>4.38</v>
      </c>
    </row>
    <row r="11" spans="1:83" s="230" customFormat="1" ht="9" customHeight="1">
      <c r="I11" s="248" t="s">
        <v>1033</v>
      </c>
      <c r="J11" s="411">
        <v>97361.5</v>
      </c>
      <c r="K11" s="411">
        <v>792.4</v>
      </c>
      <c r="L11" s="411">
        <v>98153.9</v>
      </c>
      <c r="M11" s="411">
        <v>10213.1</v>
      </c>
      <c r="N11" s="411">
        <v>87940.799999999988</v>
      </c>
      <c r="O11" s="411">
        <v>13317.8</v>
      </c>
      <c r="P11" s="411">
        <v>47116.6</v>
      </c>
      <c r="Q11" s="411">
        <v>72383.7</v>
      </c>
      <c r="R11" s="411">
        <v>626799.9</v>
      </c>
      <c r="S11" s="411">
        <v>699183.6</v>
      </c>
      <c r="T11" s="411">
        <v>746300.2</v>
      </c>
      <c r="U11" s="411">
        <v>489.7</v>
      </c>
      <c r="V11" s="411">
        <v>148482.50000000003</v>
      </c>
      <c r="W11" s="411">
        <v>160814.20000000001</v>
      </c>
      <c r="X11" s="411">
        <v>787614.10000000009</v>
      </c>
      <c r="Y11" s="411">
        <v>910049</v>
      </c>
      <c r="Z11" s="248" t="s">
        <v>1033</v>
      </c>
      <c r="AA11" s="250">
        <v>0</v>
      </c>
      <c r="AB11" s="250">
        <v>15343.1</v>
      </c>
      <c r="AC11" s="250">
        <v>537605.1</v>
      </c>
      <c r="AD11" s="250">
        <v>552948.19999999995</v>
      </c>
      <c r="AE11" s="250">
        <v>0</v>
      </c>
      <c r="AF11" s="250">
        <v>1250.4000000000001</v>
      </c>
      <c r="AG11" s="250">
        <v>18779.3</v>
      </c>
      <c r="AH11" s="250">
        <v>20029.7</v>
      </c>
      <c r="AI11" s="250">
        <v>7130.6</v>
      </c>
      <c r="AJ11" s="250">
        <v>157018.4</v>
      </c>
      <c r="AK11" s="250">
        <v>13569.3</v>
      </c>
      <c r="AL11" s="250">
        <v>170587.69999999998</v>
      </c>
      <c r="AM11" s="250">
        <v>7130.6</v>
      </c>
      <c r="AN11" s="250">
        <v>173611.9</v>
      </c>
      <c r="AO11" s="250">
        <v>569953.70000000007</v>
      </c>
      <c r="AP11" s="250">
        <v>743565.59999999986</v>
      </c>
      <c r="AQ11" s="248" t="s">
        <v>1033</v>
      </c>
      <c r="AR11" s="411">
        <v>5604.1</v>
      </c>
      <c r="AS11" s="411">
        <v>4823.6000000000004</v>
      </c>
      <c r="AT11" s="411">
        <v>7890.2</v>
      </c>
      <c r="AU11" s="411">
        <v>217.9</v>
      </c>
      <c r="AV11" s="411">
        <v>746329.9</v>
      </c>
      <c r="AW11" s="411">
        <v>6653.4</v>
      </c>
      <c r="AX11" s="411">
        <v>752983.3</v>
      </c>
      <c r="AY11" s="411">
        <v>48943.914500000006</v>
      </c>
      <c r="AZ11" s="411">
        <v>894.98549999999523</v>
      </c>
      <c r="BA11" s="411">
        <v>49838.9</v>
      </c>
      <c r="BB11" s="411">
        <v>1962638.4</v>
      </c>
      <c r="BC11" s="411">
        <v>147992.79999999999</v>
      </c>
      <c r="BD11" s="411">
        <v>2435.4</v>
      </c>
      <c r="BE11" s="411">
        <v>8796.4</v>
      </c>
      <c r="BF11" s="411">
        <v>3334.2</v>
      </c>
      <c r="BG11" s="411">
        <v>155768.70000000001</v>
      </c>
      <c r="BH11" s="411">
        <v>170334.7</v>
      </c>
      <c r="BI11" s="248" t="s">
        <v>1033</v>
      </c>
      <c r="BJ11" s="256">
        <v>-6.19</v>
      </c>
      <c r="BK11" s="256">
        <v>34.71</v>
      </c>
      <c r="BL11" s="256">
        <v>12.27</v>
      </c>
      <c r="BM11" s="256">
        <v>11.57</v>
      </c>
      <c r="BN11" s="256">
        <v>16.09</v>
      </c>
      <c r="BO11" s="261">
        <v>1.92</v>
      </c>
      <c r="BP11" s="257">
        <v>3669</v>
      </c>
      <c r="BQ11" s="255">
        <v>1405</v>
      </c>
      <c r="BR11" s="255">
        <v>3982</v>
      </c>
      <c r="BS11" s="257">
        <v>75</v>
      </c>
      <c r="BT11" s="257">
        <v>9131</v>
      </c>
      <c r="BU11" s="256">
        <v>99.629614196081363</v>
      </c>
      <c r="BV11" s="256">
        <v>81.735833972182675</v>
      </c>
      <c r="BW11" s="256">
        <v>81.43309604643521</v>
      </c>
      <c r="BX11" s="256">
        <v>8.0463076717146134</v>
      </c>
      <c r="BY11" s="256">
        <v>5</v>
      </c>
      <c r="BZ11" s="256">
        <v>6.8</v>
      </c>
      <c r="CA11" s="256">
        <v>11.67</v>
      </c>
      <c r="CB11" s="256">
        <v>4.87</v>
      </c>
      <c r="CC11" s="256">
        <v>10.61</v>
      </c>
      <c r="CD11" s="256">
        <v>15.12</v>
      </c>
      <c r="CE11" s="256">
        <v>4.51</v>
      </c>
    </row>
    <row r="12" spans="1:83" s="230" customFormat="1" ht="9" customHeight="1">
      <c r="I12" s="209" t="s">
        <v>1154</v>
      </c>
      <c r="J12" s="416">
        <v>130728.7</v>
      </c>
      <c r="K12" s="416">
        <v>1576.5</v>
      </c>
      <c r="L12" s="416">
        <v>132305.20000000001</v>
      </c>
      <c r="M12" s="416">
        <v>10230.700000000001</v>
      </c>
      <c r="N12" s="416">
        <v>122074.50000000001</v>
      </c>
      <c r="O12" s="416">
        <v>17126.2</v>
      </c>
      <c r="P12" s="416">
        <v>55874.7</v>
      </c>
      <c r="Q12" s="416">
        <v>89759.1</v>
      </c>
      <c r="R12" s="416">
        <v>703947.2</v>
      </c>
      <c r="S12" s="416">
        <v>793706.29999999993</v>
      </c>
      <c r="T12" s="416">
        <v>849580.99999999988</v>
      </c>
      <c r="U12" s="416">
        <v>597.1</v>
      </c>
      <c r="V12" s="416">
        <v>193201.30000000002</v>
      </c>
      <c r="W12" s="416">
        <v>212430.70000000004</v>
      </c>
      <c r="X12" s="416">
        <v>916377.9</v>
      </c>
      <c r="Y12" s="416">
        <v>1076743.2</v>
      </c>
      <c r="Z12" s="209" t="s">
        <v>1154</v>
      </c>
      <c r="AA12" s="416">
        <v>0</v>
      </c>
      <c r="AB12" s="416">
        <v>14977.5</v>
      </c>
      <c r="AC12" s="416">
        <v>627918.19999999995</v>
      </c>
      <c r="AD12" s="416">
        <v>642895.69999999995</v>
      </c>
      <c r="AE12" s="416">
        <v>0</v>
      </c>
      <c r="AF12" s="416">
        <v>1589</v>
      </c>
      <c r="AG12" s="416">
        <v>22461</v>
      </c>
      <c r="AH12" s="416">
        <v>24050</v>
      </c>
      <c r="AI12" s="416">
        <v>8613</v>
      </c>
      <c r="AJ12" s="416">
        <v>157964.29999999999</v>
      </c>
      <c r="AK12" s="416">
        <v>15663.2</v>
      </c>
      <c r="AL12" s="416">
        <v>173627.5</v>
      </c>
      <c r="AM12" s="416">
        <v>8613</v>
      </c>
      <c r="AN12" s="416">
        <v>174530.8</v>
      </c>
      <c r="AO12" s="416">
        <v>666042.39999999991</v>
      </c>
      <c r="AP12" s="416">
        <v>840573.2</v>
      </c>
      <c r="AQ12" s="209" t="s">
        <v>1154</v>
      </c>
      <c r="AR12" s="416">
        <v>5436.7</v>
      </c>
      <c r="AS12" s="416">
        <v>18388.400000000001</v>
      </c>
      <c r="AT12" s="416">
        <v>12975.5</v>
      </c>
      <c r="AU12" s="416">
        <v>50.7</v>
      </c>
      <c r="AV12" s="416">
        <v>849617.20000000007</v>
      </c>
      <c r="AW12" s="416">
        <v>6908.3</v>
      </c>
      <c r="AX12" s="416">
        <v>856525.50000000012</v>
      </c>
      <c r="AY12" s="416">
        <v>55674.157500000001</v>
      </c>
      <c r="AZ12" s="416">
        <v>4624.8424999999916</v>
      </c>
      <c r="BA12" s="416">
        <v>60299</v>
      </c>
      <c r="BB12" s="416">
        <v>2370730.1</v>
      </c>
      <c r="BC12" s="416">
        <v>192604.2</v>
      </c>
      <c r="BD12" s="416">
        <v>4000</v>
      </c>
      <c r="BE12" s="416">
        <v>15984.8</v>
      </c>
      <c r="BF12" s="416">
        <v>3911.6</v>
      </c>
      <c r="BG12" s="416">
        <v>156583.5</v>
      </c>
      <c r="BH12" s="416">
        <v>180479.9</v>
      </c>
      <c r="BI12" s="209" t="s">
        <v>1154</v>
      </c>
      <c r="BJ12" s="495">
        <v>3.59</v>
      </c>
      <c r="BK12" s="495">
        <v>-3.71</v>
      </c>
      <c r="BL12" s="495">
        <v>16.78</v>
      </c>
      <c r="BM12" s="495">
        <v>14.22</v>
      </c>
      <c r="BN12" s="495">
        <v>16.350000000000001</v>
      </c>
      <c r="BO12" s="231">
        <v>2.2652458407438507</v>
      </c>
      <c r="BP12" s="338">
        <v>3700</v>
      </c>
      <c r="BQ12" s="230">
        <v>1407</v>
      </c>
      <c r="BR12" s="230">
        <v>4271</v>
      </c>
      <c r="BS12" s="694">
        <v>75</v>
      </c>
      <c r="BT12" s="694">
        <v>9453</v>
      </c>
      <c r="BU12" s="495">
        <v>98.935520608575231</v>
      </c>
      <c r="BV12" s="495">
        <v>89.878049296519634</v>
      </c>
      <c r="BW12" s="495">
        <v>88.921315984343593</v>
      </c>
      <c r="BX12" s="495">
        <v>8.3013503022302277</v>
      </c>
      <c r="BY12" s="495">
        <v>5</v>
      </c>
      <c r="BZ12" s="495">
        <v>5.54</v>
      </c>
      <c r="CA12" s="495">
        <v>10.39</v>
      </c>
      <c r="CB12" s="495">
        <v>4.8500000000000005</v>
      </c>
      <c r="CC12" s="495">
        <v>8.9499999999999993</v>
      </c>
      <c r="CD12" s="495">
        <v>13.07</v>
      </c>
      <c r="CE12" s="495">
        <v>4.120000000000001</v>
      </c>
    </row>
    <row r="13" spans="1:83" s="230" customFormat="1" ht="9" customHeight="1">
      <c r="C13" s="404"/>
      <c r="D13" s="404"/>
      <c r="E13" s="404"/>
      <c r="F13" s="404"/>
      <c r="G13" s="404"/>
      <c r="I13" s="248" t="s">
        <v>1178</v>
      </c>
      <c r="J13" s="411">
        <v>149724.70000000001</v>
      </c>
      <c r="K13" s="411">
        <v>1540.5</v>
      </c>
      <c r="L13" s="411">
        <v>151265.20000000001</v>
      </c>
      <c r="M13" s="411">
        <v>13733.4</v>
      </c>
      <c r="N13" s="411">
        <v>137531.80000000002</v>
      </c>
      <c r="O13" s="411">
        <v>22096.9</v>
      </c>
      <c r="P13" s="411">
        <v>64651.3</v>
      </c>
      <c r="Q13" s="411">
        <v>101885.2</v>
      </c>
      <c r="R13" s="411">
        <v>775997.6</v>
      </c>
      <c r="S13" s="411">
        <v>877882.79999999993</v>
      </c>
      <c r="T13" s="411">
        <v>942534.1</v>
      </c>
      <c r="U13" s="411">
        <v>661.5</v>
      </c>
      <c r="V13" s="411">
        <v>224659.39999999997</v>
      </c>
      <c r="W13" s="411">
        <v>240078.5</v>
      </c>
      <c r="X13" s="411">
        <v>1016076.1</v>
      </c>
      <c r="Y13" s="411">
        <v>1233465.5</v>
      </c>
      <c r="Z13" s="248" t="s">
        <v>1178</v>
      </c>
      <c r="AA13" s="411">
        <v>0</v>
      </c>
      <c r="AB13" s="411">
        <v>15533.2</v>
      </c>
      <c r="AC13" s="411">
        <v>728117</v>
      </c>
      <c r="AD13" s="411">
        <v>743650.2</v>
      </c>
      <c r="AE13" s="411">
        <v>0</v>
      </c>
      <c r="AF13" s="411">
        <v>1726.2</v>
      </c>
      <c r="AG13" s="411">
        <v>27218.5</v>
      </c>
      <c r="AH13" s="411">
        <v>28944.7</v>
      </c>
      <c r="AI13" s="411">
        <v>14073.4</v>
      </c>
      <c r="AJ13" s="411">
        <v>152329.70000000001</v>
      </c>
      <c r="AK13" s="411">
        <v>15744.2</v>
      </c>
      <c r="AL13" s="411">
        <v>168073.90000000002</v>
      </c>
      <c r="AM13" s="411">
        <v>14073.4</v>
      </c>
      <c r="AN13" s="411">
        <v>169589.1</v>
      </c>
      <c r="AO13" s="411">
        <v>771079.7</v>
      </c>
      <c r="AP13" s="411">
        <v>940668.79999999993</v>
      </c>
      <c r="AQ13" s="248" t="s">
        <v>1178</v>
      </c>
      <c r="AR13" s="411">
        <v>7470.4</v>
      </c>
      <c r="AS13" s="411">
        <v>24394.1</v>
      </c>
      <c r="AT13" s="411">
        <v>20759.3</v>
      </c>
      <c r="AU13" s="411">
        <v>62.9</v>
      </c>
      <c r="AV13" s="411">
        <v>942558.51</v>
      </c>
      <c r="AW13" s="411">
        <v>5784.1</v>
      </c>
      <c r="AX13" s="411">
        <v>948342.61</v>
      </c>
      <c r="AY13" s="411">
        <v>61642.269650000002</v>
      </c>
      <c r="AZ13" s="411">
        <v>11090.430349999995</v>
      </c>
      <c r="BA13" s="411">
        <v>72732.7</v>
      </c>
      <c r="BB13" s="411">
        <v>2223734.2999999998</v>
      </c>
      <c r="BC13" s="411">
        <v>223997.90000000002</v>
      </c>
      <c r="BD13" s="411">
        <v>3015.6</v>
      </c>
      <c r="BE13" s="411">
        <v>10964.5</v>
      </c>
      <c r="BF13" s="411">
        <v>3364.4</v>
      </c>
      <c r="BG13" s="411">
        <v>151102.29999999999</v>
      </c>
      <c r="BH13" s="411">
        <v>168446.8</v>
      </c>
      <c r="BI13" s="248" t="s">
        <v>1178</v>
      </c>
      <c r="BJ13" s="401">
        <v>-14.78</v>
      </c>
      <c r="BK13" s="401">
        <v>7.66</v>
      </c>
      <c r="BL13" s="401">
        <v>15.66</v>
      </c>
      <c r="BM13" s="401">
        <v>11.16</v>
      </c>
      <c r="BN13" s="401">
        <v>10.88</v>
      </c>
      <c r="BO13" s="256">
        <v>2.2875324003782787</v>
      </c>
      <c r="BP13" s="257">
        <v>3713</v>
      </c>
      <c r="BQ13" s="255">
        <v>1407</v>
      </c>
      <c r="BR13" s="255">
        <v>4529</v>
      </c>
      <c r="BS13" s="748">
        <v>71</v>
      </c>
      <c r="BT13" s="748">
        <v>9720</v>
      </c>
      <c r="BU13" s="401">
        <v>99.799512711417776</v>
      </c>
      <c r="BV13" s="401">
        <v>96.971040123456788</v>
      </c>
      <c r="BW13" s="401">
        <v>96.776625514403278</v>
      </c>
      <c r="BX13" s="401">
        <v>9.1735525256676098</v>
      </c>
      <c r="BY13" s="401">
        <v>5</v>
      </c>
      <c r="BZ13" s="401">
        <v>4.84</v>
      </c>
      <c r="CA13" s="401">
        <v>9.56</v>
      </c>
      <c r="CB13" s="401">
        <v>4.7200000000000006</v>
      </c>
      <c r="CC13" s="401">
        <v>8.3699999999999992</v>
      </c>
      <c r="CD13" s="401">
        <v>11.69</v>
      </c>
      <c r="CE13" s="401">
        <v>3.3200000000000003</v>
      </c>
    </row>
    <row r="14" spans="1:83" s="230" customFormat="1" ht="9" customHeight="1">
      <c r="C14" s="152"/>
      <c r="D14" s="152"/>
      <c r="E14" s="152"/>
      <c r="F14" s="152"/>
      <c r="G14" s="152"/>
      <c r="H14" s="152"/>
      <c r="I14" s="1370" t="s">
        <v>1298</v>
      </c>
      <c r="J14" s="416">
        <v>153411.20000000001</v>
      </c>
      <c r="K14" s="416">
        <v>1529.3</v>
      </c>
      <c r="L14" s="416">
        <v>154940.5</v>
      </c>
      <c r="M14" s="416">
        <v>14023</v>
      </c>
      <c r="N14" s="416">
        <v>140917.5</v>
      </c>
      <c r="O14" s="416">
        <v>33411</v>
      </c>
      <c r="P14" s="416">
        <v>75790.3</v>
      </c>
      <c r="Q14" s="416">
        <v>113217.1</v>
      </c>
      <c r="R14" s="416">
        <v>855087.3</v>
      </c>
      <c r="S14" s="416">
        <v>968304.4</v>
      </c>
      <c r="T14" s="416">
        <v>1044094.7000000001</v>
      </c>
      <c r="U14" s="416">
        <v>759.1</v>
      </c>
      <c r="V14" s="416">
        <v>233743</v>
      </c>
      <c r="W14" s="416">
        <v>254893.7</v>
      </c>
      <c r="X14" s="416">
        <v>1109981</v>
      </c>
      <c r="Y14" s="416">
        <v>1373748.5</v>
      </c>
      <c r="Z14" s="838" t="s">
        <v>1298</v>
      </c>
      <c r="AA14" s="416">
        <v>0</v>
      </c>
      <c r="AB14" s="416">
        <v>18543.400000000001</v>
      </c>
      <c r="AC14" s="416">
        <v>859131.1</v>
      </c>
      <c r="AD14" s="416">
        <v>877674.5</v>
      </c>
      <c r="AE14" s="416">
        <v>0</v>
      </c>
      <c r="AF14" s="416">
        <v>1666.1</v>
      </c>
      <c r="AG14" s="416">
        <v>26533.1</v>
      </c>
      <c r="AH14" s="416">
        <v>28199.199999999997</v>
      </c>
      <c r="AI14" s="416">
        <v>17367.400000000001</v>
      </c>
      <c r="AJ14" s="416">
        <v>152836.79999999999</v>
      </c>
      <c r="AK14" s="416">
        <v>16721.3</v>
      </c>
      <c r="AL14" s="416">
        <v>169558.09999999998</v>
      </c>
      <c r="AM14" s="416">
        <v>17367.400000000001</v>
      </c>
      <c r="AN14" s="416">
        <v>173046.3</v>
      </c>
      <c r="AO14" s="416">
        <v>902385.5</v>
      </c>
      <c r="AP14" s="416">
        <v>1075431.7999999998</v>
      </c>
      <c r="AQ14" s="838" t="s">
        <v>1298</v>
      </c>
      <c r="AR14" s="416">
        <v>9988.7999999999993</v>
      </c>
      <c r="AS14" s="416">
        <v>32329.9</v>
      </c>
      <c r="AT14" s="416">
        <v>25777.8</v>
      </c>
      <c r="AU14" s="416">
        <v>59.2</v>
      </c>
      <c r="AV14" s="416">
        <v>1044113.46</v>
      </c>
      <c r="AW14" s="416">
        <v>7577.6</v>
      </c>
      <c r="AX14" s="416">
        <v>1051691.06</v>
      </c>
      <c r="AY14" s="416">
        <v>57843.010499999997</v>
      </c>
      <c r="AZ14" s="416">
        <v>22320.841650000002</v>
      </c>
      <c r="BA14" s="416">
        <v>78041.89</v>
      </c>
      <c r="BB14" s="416">
        <v>2680520.5</v>
      </c>
      <c r="BC14" s="416">
        <v>232982.39</v>
      </c>
      <c r="BD14" s="416">
        <v>4000</v>
      </c>
      <c r="BE14" s="416">
        <v>17878.900000000001</v>
      </c>
      <c r="BF14" s="416">
        <v>4818</v>
      </c>
      <c r="BG14" s="416">
        <v>151396</v>
      </c>
      <c r="BH14" s="416">
        <v>178092.9</v>
      </c>
      <c r="BI14" s="838" t="s">
        <v>1298</v>
      </c>
      <c r="BJ14" s="495">
        <v>-2.5099999999999998</v>
      </c>
      <c r="BK14" s="495">
        <v>11.11</v>
      </c>
      <c r="BL14" s="495">
        <v>16.940000000000001</v>
      </c>
      <c r="BM14" s="495">
        <v>14.71</v>
      </c>
      <c r="BN14" s="495">
        <v>9.24</v>
      </c>
      <c r="BO14" s="231">
        <v>2.3777416009823593</v>
      </c>
      <c r="BP14" s="338">
        <v>3741</v>
      </c>
      <c r="BQ14" s="25">
        <v>1411</v>
      </c>
      <c r="BR14" s="25">
        <v>4888</v>
      </c>
      <c r="BS14" s="694">
        <v>74</v>
      </c>
      <c r="BT14" s="694">
        <v>10114</v>
      </c>
      <c r="BU14" s="495">
        <v>102.99951501439315</v>
      </c>
      <c r="BV14" s="495">
        <v>103.23447300771208</v>
      </c>
      <c r="BW14" s="495">
        <v>106.33100652560805</v>
      </c>
      <c r="BX14" s="495">
        <v>8.8175177820234207</v>
      </c>
      <c r="BY14" s="495">
        <v>5</v>
      </c>
      <c r="BZ14" s="495">
        <v>5.5</v>
      </c>
      <c r="CA14" s="495">
        <v>9.9499999999999993</v>
      </c>
      <c r="CB14" s="495">
        <v>4.4499999999999993</v>
      </c>
      <c r="CC14" s="495">
        <v>10.14</v>
      </c>
      <c r="CD14" s="495">
        <v>12.67</v>
      </c>
      <c r="CE14" s="495">
        <v>2.5299999999999994</v>
      </c>
    </row>
    <row r="15" spans="1:83" s="404" customFormat="1" ht="9" customHeight="1">
      <c r="C15" s="152"/>
      <c r="D15" s="152"/>
      <c r="E15" s="152"/>
      <c r="F15" s="152"/>
      <c r="G15" s="736"/>
      <c r="I15" s="273" t="s">
        <v>1407</v>
      </c>
      <c r="J15" s="411">
        <v>168858.3</v>
      </c>
      <c r="K15" s="411">
        <v>1528.8</v>
      </c>
      <c r="L15" s="411">
        <v>170387.09999999998</v>
      </c>
      <c r="M15" s="411">
        <v>16100.1</v>
      </c>
      <c r="N15" s="411">
        <v>154286.99999999997</v>
      </c>
      <c r="O15" s="411">
        <v>39425.5</v>
      </c>
      <c r="P15" s="411">
        <v>82779.3</v>
      </c>
      <c r="Q15" s="411">
        <v>118217.9</v>
      </c>
      <c r="R15" s="411">
        <v>946318.1</v>
      </c>
      <c r="S15" s="411">
        <v>1064536</v>
      </c>
      <c r="T15" s="411">
        <v>1147315.3</v>
      </c>
      <c r="U15" s="411">
        <v>788.5</v>
      </c>
      <c r="V15" s="411">
        <v>246187.7</v>
      </c>
      <c r="W15" s="411">
        <v>273293.39999999997</v>
      </c>
      <c r="X15" s="411">
        <v>1219611.5</v>
      </c>
      <c r="Y15" s="411">
        <v>1534026.9</v>
      </c>
      <c r="Z15" s="265" t="s">
        <v>1407</v>
      </c>
      <c r="AA15" s="411">
        <v>0</v>
      </c>
      <c r="AB15" s="411">
        <v>20919.7</v>
      </c>
      <c r="AC15" s="411">
        <v>959297.9</v>
      </c>
      <c r="AD15" s="411">
        <v>980217.6</v>
      </c>
      <c r="AE15" s="411">
        <v>0</v>
      </c>
      <c r="AF15" s="411">
        <v>1846.4</v>
      </c>
      <c r="AG15" s="411">
        <v>28721.3</v>
      </c>
      <c r="AH15" s="411">
        <v>30567.7</v>
      </c>
      <c r="AI15" s="411">
        <v>26155.9</v>
      </c>
      <c r="AJ15" s="411">
        <v>171543.8</v>
      </c>
      <c r="AK15" s="411">
        <v>17447.099999999999</v>
      </c>
      <c r="AL15" s="411">
        <v>188990.9</v>
      </c>
      <c r="AM15" s="411">
        <v>26155.9</v>
      </c>
      <c r="AN15" s="411">
        <v>194309.9</v>
      </c>
      <c r="AO15" s="411">
        <v>1005466.3</v>
      </c>
      <c r="AP15" s="411">
        <v>1199776.2</v>
      </c>
      <c r="AQ15" s="265" t="s">
        <v>1407</v>
      </c>
      <c r="AR15" s="411">
        <v>10348.200000000001</v>
      </c>
      <c r="AS15" s="411">
        <v>35369.800000000003</v>
      </c>
      <c r="AT15" s="411">
        <v>35152.699999999997</v>
      </c>
      <c r="AU15" s="411">
        <v>146.6</v>
      </c>
      <c r="AV15" s="411">
        <v>1147338.68</v>
      </c>
      <c r="AW15" s="411">
        <v>7705.6</v>
      </c>
      <c r="AX15" s="411">
        <v>1155044.28</v>
      </c>
      <c r="AY15" s="411">
        <v>63527.436500000003</v>
      </c>
      <c r="AZ15" s="411">
        <v>13942.628850000008</v>
      </c>
      <c r="BA15" s="411">
        <v>74935.791300000012</v>
      </c>
      <c r="BB15" s="411">
        <v>3029188.4</v>
      </c>
      <c r="BC15" s="411">
        <v>245322.89129999999</v>
      </c>
      <c r="BD15" s="411">
        <v>1422.9</v>
      </c>
      <c r="BE15" s="411">
        <v>30233</v>
      </c>
      <c r="BF15" s="411">
        <v>4900.8</v>
      </c>
      <c r="BG15" s="411">
        <v>168433.9</v>
      </c>
      <c r="BH15" s="411">
        <v>204990.59999999998</v>
      </c>
      <c r="BI15" s="265" t="s">
        <v>1407</v>
      </c>
      <c r="BJ15" s="401">
        <v>19.37</v>
      </c>
      <c r="BK15" s="401">
        <v>21.64</v>
      </c>
      <c r="BL15" s="401">
        <v>11.32</v>
      </c>
      <c r="BM15" s="401">
        <v>12.26</v>
      </c>
      <c r="BN15" s="401">
        <v>9.8800000000000008</v>
      </c>
      <c r="BO15" s="256">
        <v>2.4199747214584315</v>
      </c>
      <c r="BP15" s="257">
        <v>3759</v>
      </c>
      <c r="BQ15" s="748">
        <v>1483</v>
      </c>
      <c r="BR15" s="748">
        <v>5094</v>
      </c>
      <c r="BS15" s="748">
        <v>68</v>
      </c>
      <c r="BT15" s="748">
        <v>10396</v>
      </c>
      <c r="BU15" s="401">
        <v>104.57036103759702</v>
      </c>
      <c r="BV15" s="401">
        <v>110.36347441323585</v>
      </c>
      <c r="BW15" s="401">
        <v>115.40748364755675</v>
      </c>
      <c r="BX15" s="401">
        <v>7.9345264730375886</v>
      </c>
      <c r="BY15" s="401">
        <v>5</v>
      </c>
      <c r="BZ15" s="401">
        <v>5.43</v>
      </c>
      <c r="CA15" s="401">
        <v>9.58</v>
      </c>
      <c r="CB15" s="401">
        <v>4.1500000000000004</v>
      </c>
      <c r="CC15" s="401">
        <v>10.56</v>
      </c>
      <c r="CD15" s="401">
        <v>13</v>
      </c>
      <c r="CE15" s="401">
        <v>2.4399999999999995</v>
      </c>
    </row>
    <row r="16" spans="1:83" s="153" customFormat="1" ht="9" customHeight="1">
      <c r="A16" s="152"/>
      <c r="B16" s="152"/>
      <c r="C16" s="152"/>
      <c r="D16" s="152"/>
      <c r="E16" s="152"/>
      <c r="F16" s="152"/>
      <c r="G16" s="152"/>
      <c r="H16" s="152"/>
      <c r="I16" s="139" t="s">
        <v>1487</v>
      </c>
      <c r="J16" s="416">
        <v>206552.2</v>
      </c>
      <c r="K16" s="416">
        <v>1541.9</v>
      </c>
      <c r="L16" s="416">
        <v>208094.1</v>
      </c>
      <c r="M16" s="416">
        <v>15979.6</v>
      </c>
      <c r="N16" s="416">
        <v>192114.5</v>
      </c>
      <c r="O16" s="416">
        <v>30355.7</v>
      </c>
      <c r="P16" s="416">
        <v>88099.4</v>
      </c>
      <c r="Q16" s="416">
        <v>135528.4</v>
      </c>
      <c r="R16" s="416">
        <v>1045471.1</v>
      </c>
      <c r="S16" s="416">
        <v>1180999.5</v>
      </c>
      <c r="T16" s="416">
        <v>1269098.8999999999</v>
      </c>
      <c r="U16" s="416">
        <v>621</v>
      </c>
      <c r="V16" s="416">
        <v>284483.40000000002</v>
      </c>
      <c r="W16" s="416">
        <v>328263.90000000002</v>
      </c>
      <c r="X16" s="416">
        <v>1373735</v>
      </c>
      <c r="Y16" s="416">
        <v>1703937.4</v>
      </c>
      <c r="Z16" s="152" t="s">
        <v>1487</v>
      </c>
      <c r="AA16" s="416">
        <v>0</v>
      </c>
      <c r="AB16" s="416">
        <v>25708.3</v>
      </c>
      <c r="AC16" s="416">
        <v>1050976</v>
      </c>
      <c r="AD16" s="416">
        <v>1076684.3</v>
      </c>
      <c r="AE16" s="416">
        <v>0</v>
      </c>
      <c r="AF16" s="416">
        <v>1921.3</v>
      </c>
      <c r="AG16" s="416">
        <v>22033.3</v>
      </c>
      <c r="AH16" s="416">
        <v>23954.6</v>
      </c>
      <c r="AI16" s="416">
        <v>25407.3</v>
      </c>
      <c r="AJ16" s="416">
        <v>232935.5</v>
      </c>
      <c r="AK16" s="416">
        <v>18916</v>
      </c>
      <c r="AL16" s="416">
        <v>251851.5</v>
      </c>
      <c r="AM16" s="416">
        <v>25407.3</v>
      </c>
      <c r="AN16" s="416">
        <v>260565.1</v>
      </c>
      <c r="AO16" s="416">
        <v>1091925.3</v>
      </c>
      <c r="AP16" s="416">
        <v>1352490.4000000001</v>
      </c>
      <c r="AQ16" s="152" t="s">
        <v>1487</v>
      </c>
      <c r="AR16" s="416">
        <v>13614.7</v>
      </c>
      <c r="AS16" s="416">
        <v>50299.7</v>
      </c>
      <c r="AT16" s="416">
        <v>35190.199999999997</v>
      </c>
      <c r="AU16" s="416">
        <v>58.5</v>
      </c>
      <c r="AV16" s="416">
        <v>1269113.6399999999</v>
      </c>
      <c r="AW16" s="416">
        <v>10934.2</v>
      </c>
      <c r="AX16" s="416">
        <v>1280047.8399999999</v>
      </c>
      <c r="AY16" s="416">
        <v>51201.911999999997</v>
      </c>
      <c r="AZ16" s="416">
        <v>26071.655700000003</v>
      </c>
      <c r="BA16" s="416">
        <v>75764.965700000001</v>
      </c>
      <c r="BB16" s="416">
        <v>3332696.5</v>
      </c>
      <c r="BC16" s="416">
        <v>283859.06570000004</v>
      </c>
      <c r="BD16" s="416">
        <v>10631</v>
      </c>
      <c r="BE16" s="416">
        <v>36086.9</v>
      </c>
      <c r="BF16" s="416">
        <v>4710.3</v>
      </c>
      <c r="BG16" s="416">
        <v>229191.6</v>
      </c>
      <c r="BH16" s="416">
        <v>280619.8</v>
      </c>
      <c r="BI16" s="152" t="s">
        <v>1487</v>
      </c>
      <c r="BJ16" s="495">
        <v>55.51</v>
      </c>
      <c r="BK16" s="495">
        <v>25.09</v>
      </c>
      <c r="BL16" s="495">
        <v>8.61</v>
      </c>
      <c r="BM16" s="495">
        <v>13.58</v>
      </c>
      <c r="BN16" s="495">
        <v>12.64</v>
      </c>
      <c r="BO16" s="231">
        <v>2.3079189217716665</v>
      </c>
      <c r="BP16" s="694">
        <v>3775</v>
      </c>
      <c r="BQ16" s="694">
        <v>1483</v>
      </c>
      <c r="BR16" s="694">
        <v>5265</v>
      </c>
      <c r="BS16" s="694">
        <v>65</v>
      </c>
      <c r="BT16" s="694">
        <v>10588</v>
      </c>
      <c r="BU16" s="495">
        <v>106.56968433496627</v>
      </c>
      <c r="BV16" s="495">
        <v>119.86339629769549</v>
      </c>
      <c r="BW16" s="495">
        <v>127.73804306762374</v>
      </c>
      <c r="BX16" s="495">
        <v>7.2290268427025977</v>
      </c>
      <c r="BY16" s="495">
        <v>5</v>
      </c>
      <c r="BZ16" s="495">
        <v>5.0599999999999996</v>
      </c>
      <c r="CA16" s="495">
        <v>7.95</v>
      </c>
      <c r="CB16" s="495">
        <v>2.8900000000000006</v>
      </c>
      <c r="CC16" s="495">
        <v>9.7200000000000006</v>
      </c>
      <c r="CD16" s="495">
        <v>12.93</v>
      </c>
      <c r="CE16" s="495">
        <v>3.2099999999999991</v>
      </c>
    </row>
    <row r="17" spans="1:83" s="153" customFormat="1" ht="9" customHeight="1">
      <c r="A17" s="152"/>
      <c r="B17" s="152"/>
      <c r="C17" s="152"/>
      <c r="D17" s="152"/>
      <c r="E17" s="152"/>
      <c r="F17" s="152"/>
      <c r="G17" s="152"/>
      <c r="H17" s="736"/>
      <c r="I17" s="273" t="s">
        <v>1539</v>
      </c>
      <c r="J17" s="411">
        <v>225322.2</v>
      </c>
      <c r="K17" s="411">
        <v>1566.1</v>
      </c>
      <c r="L17" s="411">
        <v>226888.30000000002</v>
      </c>
      <c r="M17" s="411">
        <v>17370.599999999999</v>
      </c>
      <c r="N17" s="411">
        <v>209517.7</v>
      </c>
      <c r="O17" s="411">
        <v>40048.199999999997</v>
      </c>
      <c r="P17" s="411">
        <v>96176.5</v>
      </c>
      <c r="Q17" s="411">
        <v>165724.5</v>
      </c>
      <c r="R17" s="411">
        <v>1185066.6000000001</v>
      </c>
      <c r="S17" s="411">
        <v>1350791.1</v>
      </c>
      <c r="T17" s="411">
        <v>1446967.6</v>
      </c>
      <c r="U17" s="411">
        <v>586.5</v>
      </c>
      <c r="V17" s="411">
        <v>348071.80000000005</v>
      </c>
      <c r="W17" s="411">
        <v>375828.7</v>
      </c>
      <c r="X17" s="411">
        <v>1560895.3</v>
      </c>
      <c r="Y17" s="411">
        <v>1929045.3</v>
      </c>
      <c r="Z17" s="265" t="s">
        <v>1539</v>
      </c>
      <c r="AA17" s="411">
        <v>0</v>
      </c>
      <c r="AB17" s="411">
        <v>26917.4</v>
      </c>
      <c r="AC17" s="411">
        <v>1139574.1000000001</v>
      </c>
      <c r="AD17" s="411">
        <v>1166491.5</v>
      </c>
      <c r="AE17" s="411">
        <v>0</v>
      </c>
      <c r="AF17" s="411">
        <v>1788.7</v>
      </c>
      <c r="AG17" s="411">
        <v>22235.9</v>
      </c>
      <c r="AH17" s="411">
        <v>24024.600000000002</v>
      </c>
      <c r="AI17" s="411">
        <v>29531.4</v>
      </c>
      <c r="AJ17" s="411">
        <v>299276.3</v>
      </c>
      <c r="AK17" s="411">
        <v>21206.9</v>
      </c>
      <c r="AL17" s="411">
        <v>320483.20000000001</v>
      </c>
      <c r="AM17" s="411">
        <v>29531.4</v>
      </c>
      <c r="AN17" s="411">
        <v>327982.39999999997</v>
      </c>
      <c r="AO17" s="411">
        <v>1183016.8999999999</v>
      </c>
      <c r="AP17" s="411">
        <v>1510999.3</v>
      </c>
      <c r="AQ17" s="265" t="s">
        <v>1539</v>
      </c>
      <c r="AR17" s="411">
        <v>7539</v>
      </c>
      <c r="AS17" s="411">
        <v>73626.100000000006</v>
      </c>
      <c r="AT17" s="411">
        <v>37421.1</v>
      </c>
      <c r="AU17" s="411">
        <v>75.3</v>
      </c>
      <c r="AV17" s="411">
        <v>1446984.11</v>
      </c>
      <c r="AW17" s="411">
        <v>9967.1</v>
      </c>
      <c r="AX17" s="411">
        <v>1456951.2100000002</v>
      </c>
      <c r="AY17" s="411">
        <v>58278.048400000007</v>
      </c>
      <c r="AZ17" s="411">
        <v>62314.271199999996</v>
      </c>
      <c r="BA17" s="411">
        <v>120592.3196</v>
      </c>
      <c r="BB17" s="411">
        <v>3842083.7</v>
      </c>
      <c r="BC17" s="411">
        <v>347480.61960000003</v>
      </c>
      <c r="BD17" s="411">
        <v>4126.8</v>
      </c>
      <c r="BE17" s="411">
        <v>29712.3</v>
      </c>
      <c r="BF17" s="411">
        <v>5780.6</v>
      </c>
      <c r="BG17" s="411">
        <v>295402.2</v>
      </c>
      <c r="BH17" s="411">
        <v>335021.89999999997</v>
      </c>
      <c r="BI17" s="265" t="s">
        <v>1539</v>
      </c>
      <c r="BJ17" s="401">
        <v>22.01</v>
      </c>
      <c r="BK17" s="401">
        <v>2.75</v>
      </c>
      <c r="BL17" s="401">
        <v>8.35</v>
      </c>
      <c r="BM17" s="401">
        <v>10.11</v>
      </c>
      <c r="BN17" s="401">
        <v>13.62</v>
      </c>
      <c r="BO17" s="256">
        <v>2.2616411235269913</v>
      </c>
      <c r="BP17" s="748">
        <v>3801</v>
      </c>
      <c r="BQ17" s="748">
        <v>1504</v>
      </c>
      <c r="BR17" s="748">
        <v>5421</v>
      </c>
      <c r="BS17" s="748">
        <v>67</v>
      </c>
      <c r="BT17" s="748">
        <v>10793</v>
      </c>
      <c r="BU17" s="401">
        <v>104.42404236215144</v>
      </c>
      <c r="BV17" s="401">
        <v>134.06690540164922</v>
      </c>
      <c r="BW17" s="401">
        <v>139.99808209024368</v>
      </c>
      <c r="BX17" s="401">
        <v>9.5345151786082845</v>
      </c>
      <c r="BY17" s="401">
        <v>4</v>
      </c>
      <c r="BZ17" s="401">
        <v>4.13</v>
      </c>
      <c r="CA17" s="401">
        <v>7.33</v>
      </c>
      <c r="CB17" s="401">
        <v>3.2</v>
      </c>
      <c r="CC17" s="401">
        <v>7.82</v>
      </c>
      <c r="CD17" s="401">
        <v>11.19</v>
      </c>
      <c r="CE17" s="401">
        <v>3.3699999999999992</v>
      </c>
    </row>
    <row r="18" spans="1:83" s="153" customFormat="1" ht="9" customHeight="1">
      <c r="A18" s="152"/>
      <c r="B18" s="152"/>
      <c r="C18" s="152"/>
      <c r="D18" s="152"/>
      <c r="E18" s="152"/>
      <c r="F18" s="152"/>
      <c r="G18" s="152"/>
      <c r="H18" s="152"/>
      <c r="I18" s="1394" t="s">
        <v>1810</v>
      </c>
      <c r="J18" s="416">
        <v>254519.5</v>
      </c>
      <c r="K18" s="416">
        <v>1663.3</v>
      </c>
      <c r="L18" s="416">
        <v>256182.8</v>
      </c>
      <c r="M18" s="416">
        <v>19733.8</v>
      </c>
      <c r="N18" s="416">
        <v>236449</v>
      </c>
      <c r="O18" s="416">
        <v>36254.9</v>
      </c>
      <c r="P18" s="416">
        <v>108918.7</v>
      </c>
      <c r="Q18" s="416">
        <v>188859.4</v>
      </c>
      <c r="R18" s="416">
        <v>1282217.5</v>
      </c>
      <c r="S18" s="416">
        <v>1471076.9</v>
      </c>
      <c r="T18" s="416">
        <v>1579995.5999999999</v>
      </c>
      <c r="U18" s="416">
        <v>596.4</v>
      </c>
      <c r="V18" s="416">
        <v>347162</v>
      </c>
      <c r="W18" s="416">
        <v>425904.80000000005</v>
      </c>
      <c r="X18" s="416">
        <v>1708122.3</v>
      </c>
      <c r="Y18" s="416">
        <v>2097973.2999999998</v>
      </c>
      <c r="Z18" s="152" t="s">
        <v>1810</v>
      </c>
      <c r="AA18" s="416">
        <v>0</v>
      </c>
      <c r="AB18" s="416">
        <v>38512.6</v>
      </c>
      <c r="AC18" s="416">
        <v>1286429.5</v>
      </c>
      <c r="AD18" s="416">
        <v>1324942.1000000001</v>
      </c>
      <c r="AE18" s="416">
        <v>0</v>
      </c>
      <c r="AF18" s="416">
        <v>1884.6</v>
      </c>
      <c r="AG18" s="416">
        <v>32287.9</v>
      </c>
      <c r="AH18" s="416">
        <v>34172.5</v>
      </c>
      <c r="AI18" s="416">
        <v>30832</v>
      </c>
      <c r="AJ18" s="416">
        <v>334009.8</v>
      </c>
      <c r="AK18" s="416">
        <v>26582.3</v>
      </c>
      <c r="AL18" s="416">
        <v>360592.1</v>
      </c>
      <c r="AM18" s="416">
        <v>30832</v>
      </c>
      <c r="AN18" s="416">
        <v>374407</v>
      </c>
      <c r="AO18" s="416">
        <v>1345299.7</v>
      </c>
      <c r="AP18" s="416">
        <v>1719706.7000000002</v>
      </c>
      <c r="AQ18" s="152" t="s">
        <v>1810</v>
      </c>
      <c r="AR18" s="416">
        <v>7702.1</v>
      </c>
      <c r="AS18" s="416">
        <v>91659.8</v>
      </c>
      <c r="AT18" s="416">
        <v>42893.9</v>
      </c>
      <c r="AU18" s="416">
        <v>634.4</v>
      </c>
      <c r="AV18" s="416">
        <v>1580021.02</v>
      </c>
      <c r="AW18" s="416">
        <v>14605</v>
      </c>
      <c r="AX18" s="416">
        <v>1594626.02</v>
      </c>
      <c r="AY18" s="416">
        <v>63785.040800000002</v>
      </c>
      <c r="AZ18" s="416">
        <v>26589.661199999988</v>
      </c>
      <c r="BA18" s="416">
        <v>90374.70199999999</v>
      </c>
      <c r="BB18" s="416">
        <v>4276170.7</v>
      </c>
      <c r="BC18" s="416">
        <v>346557.50199999998</v>
      </c>
      <c r="BD18" s="416">
        <v>4853.7</v>
      </c>
      <c r="BE18" s="416">
        <v>53503</v>
      </c>
      <c r="BF18" s="416">
        <v>11175.3</v>
      </c>
      <c r="BG18" s="416">
        <v>329468.59999999998</v>
      </c>
      <c r="BH18" s="416">
        <v>399000.6</v>
      </c>
      <c r="BI18" s="152" t="s">
        <v>1810</v>
      </c>
      <c r="BJ18" s="495">
        <v>28.18</v>
      </c>
      <c r="BK18" s="495">
        <v>23.92</v>
      </c>
      <c r="BL18" s="495">
        <v>13.66</v>
      </c>
      <c r="BM18" s="495">
        <v>16.100000000000001</v>
      </c>
      <c r="BN18" s="495">
        <v>9.43</v>
      </c>
      <c r="BO18" s="231">
        <v>2.3279727878953862</v>
      </c>
      <c r="BP18" s="694">
        <v>3812</v>
      </c>
      <c r="BQ18" s="694">
        <v>1519</v>
      </c>
      <c r="BR18" s="694">
        <v>5567</v>
      </c>
      <c r="BS18" s="694">
        <v>65</v>
      </c>
      <c r="BT18" s="694">
        <v>10963</v>
      </c>
      <c r="BU18" s="495">
        <v>108.8407482072612</v>
      </c>
      <c r="BV18" s="495">
        <v>144.1230520842835</v>
      </c>
      <c r="BW18" s="495">
        <v>156.86460822767492</v>
      </c>
      <c r="BX18" s="495">
        <v>6.9687998201441639</v>
      </c>
      <c r="BY18" s="495">
        <v>4</v>
      </c>
      <c r="BZ18" s="495">
        <v>3.97</v>
      </c>
      <c r="CA18" s="495">
        <v>7.09</v>
      </c>
      <c r="CB18" s="495">
        <v>3.1199999999999997</v>
      </c>
      <c r="CC18" s="495">
        <v>7.49</v>
      </c>
      <c r="CD18" s="495">
        <v>9.85</v>
      </c>
      <c r="CE18" s="495">
        <v>2.3599999999999994</v>
      </c>
    </row>
    <row r="19" spans="1:83" s="153" customFormat="1" ht="9" customHeight="1">
      <c r="A19" s="152"/>
      <c r="B19" s="152"/>
      <c r="C19" s="152"/>
      <c r="D19" s="152"/>
      <c r="E19" s="152"/>
      <c r="F19" s="152"/>
      <c r="G19" s="152"/>
      <c r="H19" s="152"/>
      <c r="I19" s="1369" t="s">
        <v>2056</v>
      </c>
      <c r="J19" s="492">
        <v>310153.40000000002</v>
      </c>
      <c r="K19" s="492">
        <v>1794.4</v>
      </c>
      <c r="L19" s="492">
        <v>311947.80000000005</v>
      </c>
      <c r="M19" s="492">
        <v>20034.3</v>
      </c>
      <c r="N19" s="492">
        <v>291913.50000000006</v>
      </c>
      <c r="O19" s="492">
        <v>33759.4</v>
      </c>
      <c r="P19" s="492">
        <v>103350.9</v>
      </c>
      <c r="Q19" s="492">
        <v>199304.3</v>
      </c>
      <c r="R19" s="492">
        <v>1395280.2</v>
      </c>
      <c r="S19" s="492">
        <v>1594584.5</v>
      </c>
      <c r="T19" s="492">
        <v>1697935.4</v>
      </c>
      <c r="U19" s="492">
        <v>670.1</v>
      </c>
      <c r="V19" s="492">
        <v>383585.19999999995</v>
      </c>
      <c r="W19" s="492">
        <v>491887.9</v>
      </c>
      <c r="X19" s="492">
        <v>1887168.1</v>
      </c>
      <c r="Y19" s="492">
        <v>2273892.4900000002</v>
      </c>
      <c r="Z19" s="1319" t="s">
        <v>2056</v>
      </c>
      <c r="AA19" s="492">
        <v>0</v>
      </c>
      <c r="AB19" s="492">
        <v>51470.2</v>
      </c>
      <c r="AC19" s="492">
        <v>1421339.2</v>
      </c>
      <c r="AD19" s="492">
        <v>1472809.4</v>
      </c>
      <c r="AE19" s="492">
        <v>0</v>
      </c>
      <c r="AF19" s="492">
        <v>807.9</v>
      </c>
      <c r="AG19" s="492">
        <v>38453</v>
      </c>
      <c r="AH19" s="492">
        <v>39260.9</v>
      </c>
      <c r="AI19" s="492">
        <v>30458.2</v>
      </c>
      <c r="AJ19" s="492">
        <v>329477.8</v>
      </c>
      <c r="AK19" s="492">
        <v>27112.7</v>
      </c>
      <c r="AL19" s="492">
        <v>356590.5</v>
      </c>
      <c r="AM19" s="492">
        <v>30458.2</v>
      </c>
      <c r="AN19" s="492">
        <v>381755.89999999997</v>
      </c>
      <c r="AO19" s="492">
        <v>1486904.9</v>
      </c>
      <c r="AP19" s="492">
        <v>1868660.7999999998</v>
      </c>
      <c r="AQ19" s="1319" t="s">
        <v>2056</v>
      </c>
      <c r="AR19" s="492">
        <v>9730.7999999999993</v>
      </c>
      <c r="AS19" s="492">
        <v>105117.8</v>
      </c>
      <c r="AT19" s="492">
        <v>44627.199999999997</v>
      </c>
      <c r="AU19" s="492">
        <v>115.4</v>
      </c>
      <c r="AV19" s="492">
        <v>1697975.9100000001</v>
      </c>
      <c r="AW19" s="492">
        <v>17873.2</v>
      </c>
      <c r="AX19" s="492">
        <v>1715849.11</v>
      </c>
      <c r="AY19" s="492">
        <v>68633.964400000012</v>
      </c>
      <c r="AZ19" s="492">
        <v>2330.6837999999843</v>
      </c>
      <c r="BA19" s="492">
        <v>70964.648199999996</v>
      </c>
      <c r="BB19" s="492">
        <v>4601082.2</v>
      </c>
      <c r="BC19" s="492">
        <v>382912.44820000004</v>
      </c>
      <c r="BD19" s="492">
        <v>24318</v>
      </c>
      <c r="BE19" s="492">
        <v>132269.79999999999</v>
      </c>
      <c r="BF19" s="492">
        <v>15486</v>
      </c>
      <c r="BG19" s="492">
        <v>324998.7</v>
      </c>
      <c r="BH19" s="492">
        <v>497072.5</v>
      </c>
      <c r="BI19" s="1319" t="s">
        <v>2056</v>
      </c>
      <c r="BJ19" s="555">
        <v>36.65</v>
      </c>
      <c r="BK19" s="555">
        <v>22.29</v>
      </c>
      <c r="BL19" s="555">
        <v>10.57</v>
      </c>
      <c r="BM19" s="555">
        <v>15.25</v>
      </c>
      <c r="BN19" s="555">
        <v>10.48</v>
      </c>
      <c r="BO19" s="555">
        <v>2.37967248386617</v>
      </c>
      <c r="BP19" s="1297">
        <v>3823</v>
      </c>
      <c r="BQ19" s="1297">
        <v>1523</v>
      </c>
      <c r="BR19" s="1297">
        <v>5768</v>
      </c>
      <c r="BS19" s="1297">
        <v>63</v>
      </c>
      <c r="BT19" s="1297">
        <v>11177</v>
      </c>
      <c r="BU19" s="555">
        <v>110.05225627729899</v>
      </c>
      <c r="BV19" s="555">
        <v>151.916964301691</v>
      </c>
      <c r="BW19" s="555">
        <v>167.18804688198978</v>
      </c>
      <c r="BX19" s="555">
        <v>5.3592602618255043</v>
      </c>
      <c r="BY19" s="555">
        <v>4</v>
      </c>
      <c r="BZ19" s="555">
        <v>4.38</v>
      </c>
      <c r="CA19" s="555">
        <v>7.31</v>
      </c>
      <c r="CB19" s="555">
        <v>2.9299999999999997</v>
      </c>
      <c r="CC19" s="555">
        <v>7.93</v>
      </c>
      <c r="CD19" s="555">
        <v>8.1999999999999993</v>
      </c>
      <c r="CE19" s="555">
        <v>0.26999999999999957</v>
      </c>
    </row>
    <row r="20" spans="1:83" s="153" customFormat="1" ht="9" customHeight="1">
      <c r="A20" s="152"/>
      <c r="B20" s="152"/>
      <c r="C20" s="152"/>
      <c r="D20" s="152"/>
      <c r="E20" s="152"/>
      <c r="F20" s="152"/>
      <c r="G20" s="152"/>
      <c r="H20" s="152"/>
      <c r="I20" s="763" t="s">
        <v>2188</v>
      </c>
      <c r="J20" s="490">
        <v>318403</v>
      </c>
      <c r="K20" s="490">
        <v>1905.9</v>
      </c>
      <c r="L20" s="490">
        <v>320308.90000000002</v>
      </c>
      <c r="M20" s="490">
        <v>29872.400000000001</v>
      </c>
      <c r="N20" s="490">
        <v>290436.5</v>
      </c>
      <c r="O20" s="490">
        <v>32754.9</v>
      </c>
      <c r="P20" s="490">
        <v>120147.8</v>
      </c>
      <c r="Q20" s="490">
        <v>209917.3</v>
      </c>
      <c r="R20" s="490">
        <v>1532307.2</v>
      </c>
      <c r="S20" s="490">
        <v>1742224.5</v>
      </c>
      <c r="T20" s="490">
        <v>1862372.3</v>
      </c>
      <c r="U20" s="490">
        <v>573</v>
      </c>
      <c r="V20" s="490">
        <v>413644.6</v>
      </c>
      <c r="W20" s="490">
        <v>500926.8</v>
      </c>
      <c r="X20" s="490">
        <v>2033234</v>
      </c>
      <c r="Y20" s="490">
        <v>2407957.7440705281</v>
      </c>
      <c r="Z20" s="1161" t="s">
        <v>2188</v>
      </c>
      <c r="AA20" s="490">
        <v>0</v>
      </c>
      <c r="AB20" s="490">
        <v>56736.6</v>
      </c>
      <c r="AC20" s="490">
        <v>1564444.9</v>
      </c>
      <c r="AD20" s="490">
        <v>1621181.5</v>
      </c>
      <c r="AE20" s="490">
        <v>0</v>
      </c>
      <c r="AF20" s="490">
        <v>518.70000000000005</v>
      </c>
      <c r="AG20" s="490">
        <v>38612.699999999997</v>
      </c>
      <c r="AH20" s="490">
        <v>39131.399999999994</v>
      </c>
      <c r="AI20" s="490">
        <v>27137.4</v>
      </c>
      <c r="AJ20" s="490">
        <v>399628.7</v>
      </c>
      <c r="AK20" s="490">
        <v>29389.1</v>
      </c>
      <c r="AL20" s="490">
        <v>429017.8</v>
      </c>
      <c r="AM20" s="490">
        <v>27137.4</v>
      </c>
      <c r="AN20" s="490">
        <v>456884</v>
      </c>
      <c r="AO20" s="490">
        <v>1632446.7</v>
      </c>
      <c r="AP20" s="490">
        <v>2089330.7</v>
      </c>
      <c r="AQ20" s="1161" t="s">
        <v>2188</v>
      </c>
      <c r="AR20" s="490">
        <v>15168</v>
      </c>
      <c r="AS20" s="490">
        <v>172788.1</v>
      </c>
      <c r="AT20" s="490">
        <v>32701.4</v>
      </c>
      <c r="AU20" s="490">
        <v>93.6</v>
      </c>
      <c r="AV20" s="490">
        <v>1862408.37</v>
      </c>
      <c r="AW20" s="490">
        <v>17820</v>
      </c>
      <c r="AX20" s="490">
        <v>1880228.37</v>
      </c>
      <c r="AY20" s="490">
        <v>75209.1348</v>
      </c>
      <c r="AZ20" s="490">
        <v>17554.383000000002</v>
      </c>
      <c r="BA20" s="490">
        <v>92763.517800000001</v>
      </c>
      <c r="BB20" s="490">
        <v>5149667.5</v>
      </c>
      <c r="BC20" s="490">
        <v>413072.41780000005</v>
      </c>
      <c r="BD20" s="490">
        <v>69247.100000000006</v>
      </c>
      <c r="BE20" s="490">
        <v>75231.8</v>
      </c>
      <c r="BF20" s="490">
        <v>16171.7</v>
      </c>
      <c r="BG20" s="490">
        <v>395501.7</v>
      </c>
      <c r="BH20" s="490">
        <v>556152.30000000005</v>
      </c>
      <c r="BI20" s="1161" t="s">
        <v>2188</v>
      </c>
      <c r="BJ20" s="489">
        <v>9.69</v>
      </c>
      <c r="BK20" s="489">
        <v>9.42</v>
      </c>
      <c r="BL20" s="489">
        <v>9.84</v>
      </c>
      <c r="BM20" s="489">
        <v>9.8000000000000007</v>
      </c>
      <c r="BN20" s="489">
        <v>7.74</v>
      </c>
      <c r="BO20" s="302">
        <v>2.4827604489326256</v>
      </c>
      <c r="BP20" s="557">
        <v>3835</v>
      </c>
      <c r="BQ20" s="557">
        <v>1541</v>
      </c>
      <c r="BR20" s="557">
        <v>5858</v>
      </c>
      <c r="BS20" s="557">
        <v>63</v>
      </c>
      <c r="BT20" s="557">
        <v>11297</v>
      </c>
      <c r="BU20" s="489">
        <v>112.18434869899127</v>
      </c>
      <c r="BV20" s="489">
        <v>164.8586677879083</v>
      </c>
      <c r="BW20" s="489">
        <v>184.94562273169868</v>
      </c>
      <c r="BX20" s="489">
        <v>6.5848027626722914</v>
      </c>
      <c r="BY20" s="489">
        <v>4</v>
      </c>
      <c r="BZ20" s="489">
        <v>5.49</v>
      </c>
      <c r="CA20" s="489">
        <v>11.52</v>
      </c>
      <c r="CB20" s="489">
        <v>6.0299999999999994</v>
      </c>
      <c r="CC20" s="489">
        <v>9.83</v>
      </c>
      <c r="CD20" s="489">
        <v>12.79</v>
      </c>
      <c r="CE20" s="489">
        <v>2.9599999999999991</v>
      </c>
    </row>
    <row r="21" spans="1:83" s="153" customFormat="1" ht="9" customHeight="1">
      <c r="A21" s="152"/>
      <c r="B21" s="152"/>
      <c r="C21" s="152"/>
      <c r="D21" s="152"/>
      <c r="E21" s="152"/>
      <c r="F21" s="152"/>
      <c r="G21" s="152"/>
      <c r="H21" s="152"/>
      <c r="I21" s="832" t="s">
        <v>2439</v>
      </c>
      <c r="J21" s="492">
        <f>J33</f>
        <v>324728.5</v>
      </c>
      <c r="K21" s="492">
        <f>K33</f>
        <v>1968.1</v>
      </c>
      <c r="L21" s="492">
        <f t="shared" ref="L21:Y21" si="1">L33</f>
        <v>326696.59999999998</v>
      </c>
      <c r="M21" s="492">
        <f t="shared" si="1"/>
        <v>30244.7</v>
      </c>
      <c r="N21" s="492">
        <f t="shared" si="1"/>
        <v>296451.89999999997</v>
      </c>
      <c r="O21" s="492">
        <f t="shared" si="1"/>
        <v>37852.800000000003</v>
      </c>
      <c r="P21" s="492">
        <f t="shared" si="1"/>
        <v>120252.5</v>
      </c>
      <c r="Q21" s="492">
        <f t="shared" si="1"/>
        <v>213109.9</v>
      </c>
      <c r="R21" s="492">
        <f t="shared" si="1"/>
        <v>1664454.7</v>
      </c>
      <c r="S21" s="492">
        <f t="shared" si="1"/>
        <v>1877564.5999999999</v>
      </c>
      <c r="T21" s="492">
        <f t="shared" si="1"/>
        <v>1997817.0999999999</v>
      </c>
      <c r="U21" s="492">
        <f t="shared" si="1"/>
        <v>605.20000000000005</v>
      </c>
      <c r="V21" s="492">
        <f t="shared" si="1"/>
        <v>413179</v>
      </c>
      <c r="W21" s="492">
        <f t="shared" si="1"/>
        <v>510166.99999999994</v>
      </c>
      <c r="X21" s="492">
        <f t="shared" si="1"/>
        <v>2174621.6999999997</v>
      </c>
      <c r="Y21" s="492">
        <f t="shared" si="1"/>
        <v>2552900.8000000003</v>
      </c>
      <c r="Z21" s="832" t="s">
        <v>2439</v>
      </c>
      <c r="AA21" s="492">
        <f t="shared" ref="AA21:AP21" si="2">AA33</f>
        <v>0</v>
      </c>
      <c r="AB21" s="492">
        <f t="shared" si="2"/>
        <v>53989.5</v>
      </c>
      <c r="AC21" s="492">
        <f t="shared" si="2"/>
        <v>1681592.8</v>
      </c>
      <c r="AD21" s="492">
        <f t="shared" si="2"/>
        <v>1735582.3</v>
      </c>
      <c r="AE21" s="492">
        <f t="shared" si="2"/>
        <v>0</v>
      </c>
      <c r="AF21" s="492">
        <f t="shared" si="2"/>
        <v>448.5</v>
      </c>
      <c r="AG21" s="492">
        <f t="shared" si="2"/>
        <v>28082.2</v>
      </c>
      <c r="AH21" s="492">
        <f t="shared" si="2"/>
        <v>28530.7</v>
      </c>
      <c r="AI21" s="492">
        <f t="shared" si="2"/>
        <v>25427.4</v>
      </c>
      <c r="AJ21" s="492">
        <f t="shared" si="2"/>
        <v>523929.59999999998</v>
      </c>
      <c r="AK21" s="492">
        <f t="shared" si="2"/>
        <v>28724.2</v>
      </c>
      <c r="AL21" s="492">
        <f t="shared" si="2"/>
        <v>552653.79999999993</v>
      </c>
      <c r="AM21" s="492">
        <f t="shared" si="2"/>
        <v>25427.4</v>
      </c>
      <c r="AN21" s="492">
        <f t="shared" si="2"/>
        <v>578367.6</v>
      </c>
      <c r="AO21" s="492">
        <f t="shared" si="2"/>
        <v>1738399.2</v>
      </c>
      <c r="AP21" s="492">
        <f t="shared" si="2"/>
        <v>2316766.7999999998</v>
      </c>
      <c r="AQ21" s="832" t="s">
        <v>2439</v>
      </c>
      <c r="AR21" s="492">
        <f t="shared" ref="AR21:BH21" si="3">AR33</f>
        <v>16534.8</v>
      </c>
      <c r="AS21" s="492">
        <f t="shared" si="3"/>
        <v>197261.4</v>
      </c>
      <c r="AT21" s="492">
        <f t="shared" si="3"/>
        <v>35027.300000000003</v>
      </c>
      <c r="AU21" s="492">
        <f t="shared" si="3"/>
        <v>182.9</v>
      </c>
      <c r="AV21" s="492">
        <f t="shared" si="3"/>
        <v>2010643.07</v>
      </c>
      <c r="AW21" s="492">
        <f t="shared" si="3"/>
        <v>18899.400000000001</v>
      </c>
      <c r="AX21" s="492">
        <f t="shared" si="3"/>
        <v>2029542.47</v>
      </c>
      <c r="AY21" s="492">
        <f t="shared" si="3"/>
        <v>81181.698799999998</v>
      </c>
      <c r="AZ21" s="492">
        <f t="shared" si="3"/>
        <v>4693.9682999999932</v>
      </c>
      <c r="BA21" s="492">
        <f t="shared" si="3"/>
        <v>85875.667099999991</v>
      </c>
      <c r="BB21" s="492">
        <f t="shared" si="3"/>
        <v>5146852.3</v>
      </c>
      <c r="BC21" s="492">
        <f t="shared" si="3"/>
        <v>412572.26709999994</v>
      </c>
      <c r="BD21" s="492">
        <f t="shared" si="3"/>
        <v>23431.5</v>
      </c>
      <c r="BE21" s="492">
        <f t="shared" si="3"/>
        <v>64010.7</v>
      </c>
      <c r="BF21" s="492">
        <f t="shared" si="3"/>
        <v>17015.7</v>
      </c>
      <c r="BG21" s="492">
        <f t="shared" si="3"/>
        <v>520021</v>
      </c>
      <c r="BH21" s="492">
        <f t="shared" si="3"/>
        <v>624478.89999999991</v>
      </c>
      <c r="BI21" s="832" t="s">
        <v>2439</v>
      </c>
      <c r="BJ21" s="555">
        <f t="shared" ref="BJ21:CE21" si="4">BJ33</f>
        <v>14.83</v>
      </c>
      <c r="BK21" s="555">
        <f t="shared" si="4"/>
        <v>-1.88</v>
      </c>
      <c r="BL21" s="555">
        <f t="shared" si="4"/>
        <v>6.49</v>
      </c>
      <c r="BM21" s="555">
        <f t="shared" si="4"/>
        <v>7.97</v>
      </c>
      <c r="BN21" s="555">
        <f t="shared" si="4"/>
        <v>6.95</v>
      </c>
      <c r="BO21" s="555">
        <f>5515026/2174621.7</f>
        <v>2.5360852418606874</v>
      </c>
      <c r="BP21" s="1297">
        <f t="shared" si="4"/>
        <v>3843</v>
      </c>
      <c r="BQ21" s="1297">
        <f t="shared" si="4"/>
        <v>1543</v>
      </c>
      <c r="BR21" s="1297">
        <f t="shared" si="4"/>
        <v>5923</v>
      </c>
      <c r="BS21" s="1297">
        <f t="shared" si="4"/>
        <v>63</v>
      </c>
      <c r="BT21" s="1297">
        <f t="shared" si="4"/>
        <v>11372</v>
      </c>
      <c r="BU21" s="555">
        <f t="shared" si="4"/>
        <v>115.22516525024005</v>
      </c>
      <c r="BV21" s="555">
        <f t="shared" si="4"/>
        <v>176.80646060499473</v>
      </c>
      <c r="BW21" s="555">
        <f t="shared" si="4"/>
        <v>203.72553640520576</v>
      </c>
      <c r="BX21" s="555">
        <f t="shared" si="4"/>
        <v>5.7752849738765413</v>
      </c>
      <c r="BY21" s="555">
        <f t="shared" si="4"/>
        <v>4</v>
      </c>
      <c r="BZ21" s="555">
        <f t="shared" si="4"/>
        <v>6.26</v>
      </c>
      <c r="CA21" s="555">
        <f t="shared" si="4"/>
        <v>12.08</v>
      </c>
      <c r="CB21" s="555">
        <f t="shared" si="4"/>
        <v>5.82</v>
      </c>
      <c r="CC21" s="555">
        <f t="shared" si="4"/>
        <v>10.68</v>
      </c>
      <c r="CD21" s="555">
        <f t="shared" si="4"/>
        <v>13.89</v>
      </c>
      <c r="CE21" s="555">
        <f t="shared" si="4"/>
        <v>3.2100000000000009</v>
      </c>
    </row>
    <row r="22" spans="1:83" s="153" customFormat="1" ht="9" customHeight="1">
      <c r="A22" s="152"/>
      <c r="B22" s="152"/>
      <c r="C22" s="152"/>
      <c r="D22" s="152"/>
      <c r="E22" s="152"/>
      <c r="F22" s="152"/>
      <c r="G22" s="152"/>
      <c r="H22" s="152"/>
      <c r="I22" s="1368" t="s">
        <v>559</v>
      </c>
      <c r="J22" s="416">
        <v>313988.3</v>
      </c>
      <c r="K22" s="416">
        <v>1911.2</v>
      </c>
      <c r="L22" s="416">
        <f t="shared" ref="L22:L40" si="5">J22+K22</f>
        <v>315899.5</v>
      </c>
      <c r="M22" s="416">
        <v>24269.1</v>
      </c>
      <c r="N22" s="416">
        <f t="shared" ref="N22:N46" si="6">L22-M22</f>
        <v>291630.40000000002</v>
      </c>
      <c r="O22" s="416">
        <v>28935.5</v>
      </c>
      <c r="P22" s="416">
        <v>108667.2</v>
      </c>
      <c r="Q22" s="416">
        <v>193208.7</v>
      </c>
      <c r="R22" s="416">
        <v>1540818.2</v>
      </c>
      <c r="S22" s="416">
        <f t="shared" ref="S22:S32" si="7">Q22+R22</f>
        <v>1734026.9</v>
      </c>
      <c r="T22" s="416">
        <f t="shared" ref="T22:T32" si="8">P22+S22</f>
        <v>1842694.0999999999</v>
      </c>
      <c r="U22" s="416">
        <v>567.20000000000005</v>
      </c>
      <c r="V22" s="416">
        <v>389317.1</v>
      </c>
      <c r="W22" s="416">
        <f t="shared" ref="W22:W29" si="9">N22+Q22+U22</f>
        <v>485406.30000000005</v>
      </c>
      <c r="X22" s="416">
        <f t="shared" ref="X22:X29" si="10">R22+W22</f>
        <v>2026224.5</v>
      </c>
      <c r="Y22" s="416">
        <v>2403227.217577802</v>
      </c>
      <c r="Z22" s="229" t="s">
        <v>559</v>
      </c>
      <c r="AA22" s="211">
        <v>0</v>
      </c>
      <c r="AB22" s="416">
        <v>58592.9</v>
      </c>
      <c r="AC22" s="416">
        <v>1559150</v>
      </c>
      <c r="AD22" s="416">
        <f t="shared" ref="AD22:AD40" si="11">AB22+AC22</f>
        <v>1617742.9</v>
      </c>
      <c r="AE22" s="211">
        <v>0</v>
      </c>
      <c r="AF22" s="416">
        <v>503.5</v>
      </c>
      <c r="AG22" s="416">
        <v>38425.300000000003</v>
      </c>
      <c r="AH22" s="416">
        <f t="shared" ref="AH22:AH33" si="12">AF22+AG22</f>
        <v>38928.800000000003</v>
      </c>
      <c r="AI22" s="426">
        <v>27079.8</v>
      </c>
      <c r="AJ22" s="426">
        <v>399240.7</v>
      </c>
      <c r="AK22" s="426">
        <v>29536.1</v>
      </c>
      <c r="AL22" s="426">
        <f t="shared" ref="AL22:AL29" si="13">AJ22+AK22</f>
        <v>428776.8</v>
      </c>
      <c r="AM22" s="426">
        <f t="shared" ref="AM22:AP29" si="14">AA22+AE22+AI22</f>
        <v>27079.8</v>
      </c>
      <c r="AN22" s="426">
        <f t="shared" si="14"/>
        <v>458337.10000000003</v>
      </c>
      <c r="AO22" s="426">
        <f t="shared" si="14"/>
        <v>1627111.4000000001</v>
      </c>
      <c r="AP22" s="426">
        <f t="shared" si="14"/>
        <v>2085448.5</v>
      </c>
      <c r="AQ22" s="229" t="s">
        <v>559</v>
      </c>
      <c r="AR22" s="416">
        <v>15682.6</v>
      </c>
      <c r="AS22" s="416">
        <v>145608</v>
      </c>
      <c r="AT22" s="416">
        <v>35622.800000000003</v>
      </c>
      <c r="AU22" s="416">
        <v>125.3</v>
      </c>
      <c r="AV22" s="416">
        <f>1842738.2-10.5</f>
        <v>1842727.7</v>
      </c>
      <c r="AW22" s="416">
        <v>16270.9</v>
      </c>
      <c r="AX22" s="416">
        <f t="shared" ref="AX22:AX39" si="15">AV22+AW22</f>
        <v>1858998.5999999999</v>
      </c>
      <c r="AY22" s="416">
        <f t="shared" ref="AY22:AY33" si="16">0.04*AX22</f>
        <v>74359.944000000003</v>
      </c>
      <c r="AZ22" s="416">
        <f t="shared" ref="AZ22:AZ28" si="17">BA22-AY22</f>
        <v>-1510.7140000000072</v>
      </c>
      <c r="BA22" s="416">
        <f>72850.4-1.17</f>
        <v>72849.23</v>
      </c>
      <c r="BB22" s="416">
        <v>5144112.3</v>
      </c>
      <c r="BC22" s="416">
        <f t="shared" ref="BC22:BC28" si="18">L22+BA22</f>
        <v>388748.73</v>
      </c>
      <c r="BD22" s="210">
        <v>73393.399999999994</v>
      </c>
      <c r="BE22" s="416">
        <v>72083.899999999994</v>
      </c>
      <c r="BF22" s="416">
        <v>17493.3</v>
      </c>
      <c r="BG22" s="416">
        <v>395113.5</v>
      </c>
      <c r="BH22" s="416">
        <f t="shared" ref="BH22:BH38" si="19">BG22+BF22+BE22+BD22</f>
        <v>558084.1</v>
      </c>
      <c r="BI22" s="229" t="s">
        <v>559</v>
      </c>
      <c r="BJ22" s="495">
        <v>2.99</v>
      </c>
      <c r="BK22" s="231">
        <v>1.05</v>
      </c>
      <c r="BL22" s="231">
        <v>-0.32</v>
      </c>
      <c r="BM22" s="231">
        <v>0.37</v>
      </c>
      <c r="BN22" s="231">
        <v>-0.34</v>
      </c>
      <c r="BO22" s="231" t="s">
        <v>292</v>
      </c>
      <c r="BP22" s="338">
        <v>3835</v>
      </c>
      <c r="BQ22" s="338">
        <v>1543</v>
      </c>
      <c r="BR22" s="338">
        <v>5858</v>
      </c>
      <c r="BS22" s="338">
        <v>63</v>
      </c>
      <c r="BT22" s="338">
        <f t="shared" ref="BT22:BT27" si="20">SUM(BP22:BS22)</f>
        <v>11299</v>
      </c>
      <c r="BU22" s="231">
        <f t="shared" ref="BU22:BU25" si="21">AP22/AV22*100</f>
        <v>113.1718213168446</v>
      </c>
      <c r="BV22" s="231">
        <f t="shared" ref="BV22:BV24" si="22">AV22/BT22</f>
        <v>163.08768032569253</v>
      </c>
      <c r="BW22" s="231">
        <f t="shared" ref="BW22:BW29" si="23">AP22/BT22</f>
        <v>184.56929816797947</v>
      </c>
      <c r="BX22" s="231">
        <f t="shared" ref="BX22:BX26" si="24">(M22+BA22)/AV22*100</f>
        <v>5.2703570907410784</v>
      </c>
      <c r="BY22" s="231">
        <v>4</v>
      </c>
      <c r="BZ22" s="231">
        <v>5.68</v>
      </c>
      <c r="CA22" s="231">
        <v>11.57</v>
      </c>
      <c r="CB22" s="231">
        <f t="shared" ref="CB22:CB24" si="25">CA22-BZ22</f>
        <v>5.8900000000000006</v>
      </c>
      <c r="CC22" s="231">
        <v>9.98</v>
      </c>
      <c r="CD22" s="231">
        <v>13.01</v>
      </c>
      <c r="CE22" s="231">
        <f t="shared" ref="CE22:CE33" si="26">CD22-CC22</f>
        <v>3.0299999999999994</v>
      </c>
    </row>
    <row r="23" spans="1:83" s="153" customFormat="1" ht="9" customHeight="1">
      <c r="A23" s="152"/>
      <c r="B23" s="152"/>
      <c r="C23" s="152"/>
      <c r="D23" s="152"/>
      <c r="E23" s="152"/>
      <c r="F23" s="152"/>
      <c r="G23" s="152"/>
      <c r="H23" s="152"/>
      <c r="I23" s="354" t="s">
        <v>560</v>
      </c>
      <c r="J23" s="411">
        <v>316798.7</v>
      </c>
      <c r="K23" s="411">
        <v>1914.2</v>
      </c>
      <c r="L23" s="411">
        <f t="shared" si="5"/>
        <v>318712.90000000002</v>
      </c>
      <c r="M23" s="411">
        <v>26278.5</v>
      </c>
      <c r="N23" s="411">
        <f t="shared" si="6"/>
        <v>292434.40000000002</v>
      </c>
      <c r="O23" s="411">
        <v>27286.5</v>
      </c>
      <c r="P23" s="411">
        <v>107931.1</v>
      </c>
      <c r="Q23" s="411">
        <v>193471.9</v>
      </c>
      <c r="R23" s="411">
        <v>1537788.8</v>
      </c>
      <c r="S23" s="411">
        <f t="shared" si="7"/>
        <v>1731260.7</v>
      </c>
      <c r="T23" s="411">
        <f t="shared" si="8"/>
        <v>1839191.8</v>
      </c>
      <c r="U23" s="411">
        <v>629.70000000000005</v>
      </c>
      <c r="V23" s="411">
        <v>385796.6</v>
      </c>
      <c r="W23" s="411">
        <f t="shared" si="9"/>
        <v>486536.00000000006</v>
      </c>
      <c r="X23" s="411">
        <f t="shared" si="10"/>
        <v>2024324.8</v>
      </c>
      <c r="Y23" s="411">
        <v>2404720.5774041633</v>
      </c>
      <c r="Z23" s="283" t="s">
        <v>560</v>
      </c>
      <c r="AA23" s="250">
        <v>0</v>
      </c>
      <c r="AB23" s="411">
        <v>58184.2</v>
      </c>
      <c r="AC23" s="411">
        <v>1578740</v>
      </c>
      <c r="AD23" s="411">
        <f t="shared" si="11"/>
        <v>1636924.2</v>
      </c>
      <c r="AE23" s="250">
        <v>0</v>
      </c>
      <c r="AF23" s="411">
        <v>492</v>
      </c>
      <c r="AG23" s="411">
        <v>25847</v>
      </c>
      <c r="AH23" s="411">
        <f t="shared" si="12"/>
        <v>26339</v>
      </c>
      <c r="AI23" s="414">
        <v>26607</v>
      </c>
      <c r="AJ23" s="414">
        <v>406121.3</v>
      </c>
      <c r="AK23" s="414">
        <v>29434.400000000001</v>
      </c>
      <c r="AL23" s="414">
        <f t="shared" si="13"/>
        <v>435555.7</v>
      </c>
      <c r="AM23" s="414">
        <f t="shared" si="14"/>
        <v>26607</v>
      </c>
      <c r="AN23" s="414">
        <f t="shared" si="14"/>
        <v>464797.5</v>
      </c>
      <c r="AO23" s="414">
        <f t="shared" si="14"/>
        <v>1634021.4</v>
      </c>
      <c r="AP23" s="414">
        <f t="shared" si="14"/>
        <v>2098818.9</v>
      </c>
      <c r="AQ23" s="283" t="s">
        <v>560</v>
      </c>
      <c r="AR23" s="411">
        <v>15769.3</v>
      </c>
      <c r="AS23" s="411">
        <v>148495.4</v>
      </c>
      <c r="AT23" s="411">
        <v>32679.599999999999</v>
      </c>
      <c r="AU23" s="411">
        <v>341.6</v>
      </c>
      <c r="AV23" s="411">
        <f>1839235.6-11.05</f>
        <v>1839224.55</v>
      </c>
      <c r="AW23" s="411">
        <v>17519.900000000001</v>
      </c>
      <c r="AX23" s="411">
        <f t="shared" si="15"/>
        <v>1856744.45</v>
      </c>
      <c r="AY23" s="411">
        <f t="shared" si="16"/>
        <v>74269.778000000006</v>
      </c>
      <c r="AZ23" s="411">
        <f t="shared" si="17"/>
        <v>-7817.2646999999997</v>
      </c>
      <c r="BA23" s="411">
        <f>66454-1.4867</f>
        <v>66452.513300000006</v>
      </c>
      <c r="BB23" s="411">
        <v>4669271.5999999996</v>
      </c>
      <c r="BC23" s="411">
        <f t="shared" si="18"/>
        <v>385165.41330000001</v>
      </c>
      <c r="BD23" s="249">
        <v>53854.8</v>
      </c>
      <c r="BE23" s="411">
        <v>72434.7</v>
      </c>
      <c r="BF23" s="411">
        <v>17718.900000000001</v>
      </c>
      <c r="BG23" s="411">
        <v>402003.7</v>
      </c>
      <c r="BH23" s="411">
        <f t="shared" si="19"/>
        <v>546012.10000000009</v>
      </c>
      <c r="BI23" s="283" t="s">
        <v>560</v>
      </c>
      <c r="BJ23" s="401">
        <v>0.32</v>
      </c>
      <c r="BK23" s="256">
        <v>-1.1000000000000001</v>
      </c>
      <c r="BL23" s="256">
        <v>0.09</v>
      </c>
      <c r="BM23" s="256">
        <v>0.11</v>
      </c>
      <c r="BN23" s="256">
        <v>-0.44</v>
      </c>
      <c r="BO23" s="256" t="s">
        <v>292</v>
      </c>
      <c r="BP23" s="257">
        <v>3835</v>
      </c>
      <c r="BQ23" s="257">
        <v>1543</v>
      </c>
      <c r="BR23" s="257">
        <v>5858</v>
      </c>
      <c r="BS23" s="257">
        <v>63</v>
      </c>
      <c r="BT23" s="257">
        <f t="shared" si="20"/>
        <v>11299</v>
      </c>
      <c r="BU23" s="256">
        <f t="shared" si="21"/>
        <v>114.11433693618322</v>
      </c>
      <c r="BV23" s="256">
        <f t="shared" si="22"/>
        <v>162.77763961412515</v>
      </c>
      <c r="BW23" s="256">
        <f t="shared" si="23"/>
        <v>185.75262412602885</v>
      </c>
      <c r="BX23" s="256">
        <f t="shared" si="24"/>
        <v>5.0418538236671537</v>
      </c>
      <c r="BY23" s="256">
        <v>4</v>
      </c>
      <c r="BZ23" s="256">
        <v>5.76</v>
      </c>
      <c r="CA23" s="256">
        <v>11.57</v>
      </c>
      <c r="CB23" s="256">
        <f t="shared" si="25"/>
        <v>5.8100000000000005</v>
      </c>
      <c r="CC23" s="256">
        <v>10.16</v>
      </c>
      <c r="CD23" s="256">
        <v>13.22</v>
      </c>
      <c r="CE23" s="256">
        <f t="shared" si="26"/>
        <v>3.0600000000000005</v>
      </c>
    </row>
    <row r="24" spans="1:83" s="153" customFormat="1" ht="9" customHeight="1">
      <c r="A24" s="152"/>
      <c r="B24" s="152"/>
      <c r="C24" s="152"/>
      <c r="D24" s="152"/>
      <c r="E24" s="152"/>
      <c r="F24" s="152"/>
      <c r="G24" s="152"/>
      <c r="H24" s="152"/>
      <c r="I24" s="1368" t="s">
        <v>554</v>
      </c>
      <c r="J24" s="416">
        <v>309094.2</v>
      </c>
      <c r="K24" s="416">
        <v>1919.5</v>
      </c>
      <c r="L24" s="416">
        <f t="shared" si="5"/>
        <v>311013.7</v>
      </c>
      <c r="M24" s="416">
        <v>27460.3</v>
      </c>
      <c r="N24" s="416">
        <f t="shared" si="6"/>
        <v>283553.40000000002</v>
      </c>
      <c r="O24" s="416">
        <v>27199.3</v>
      </c>
      <c r="P24" s="416">
        <v>108428.8</v>
      </c>
      <c r="Q24" s="416">
        <v>192323.6</v>
      </c>
      <c r="R24" s="416">
        <v>1548685.5</v>
      </c>
      <c r="S24" s="416">
        <f t="shared" si="7"/>
        <v>1741009.1</v>
      </c>
      <c r="T24" s="416">
        <f t="shared" si="8"/>
        <v>1849437.9000000001</v>
      </c>
      <c r="U24" s="416">
        <v>586.20000000000005</v>
      </c>
      <c r="V24" s="416">
        <v>375273.19999999995</v>
      </c>
      <c r="W24" s="416">
        <f t="shared" si="9"/>
        <v>476463.2</v>
      </c>
      <c r="X24" s="416">
        <f t="shared" si="10"/>
        <v>2025148.7</v>
      </c>
      <c r="Y24" s="416">
        <v>2412537.1072327266</v>
      </c>
      <c r="Z24" s="229" t="s">
        <v>554</v>
      </c>
      <c r="AA24" s="211">
        <v>0</v>
      </c>
      <c r="AB24" s="416">
        <v>55435.8</v>
      </c>
      <c r="AC24" s="416">
        <v>1587724.6</v>
      </c>
      <c r="AD24" s="211">
        <f t="shared" si="11"/>
        <v>1643160.4000000001</v>
      </c>
      <c r="AE24" s="211">
        <v>0</v>
      </c>
      <c r="AF24" s="416">
        <v>481.4</v>
      </c>
      <c r="AG24" s="416">
        <v>25950.400000000001</v>
      </c>
      <c r="AH24" s="416">
        <f t="shared" si="12"/>
        <v>26431.800000000003</v>
      </c>
      <c r="AI24" s="426">
        <v>26413.3</v>
      </c>
      <c r="AJ24" s="426">
        <v>411964.5</v>
      </c>
      <c r="AK24" s="426">
        <v>29279.7</v>
      </c>
      <c r="AL24" s="426">
        <f t="shared" si="13"/>
        <v>441244.2</v>
      </c>
      <c r="AM24" s="426">
        <f t="shared" si="14"/>
        <v>26413.3</v>
      </c>
      <c r="AN24" s="426">
        <f t="shared" si="14"/>
        <v>467881.7</v>
      </c>
      <c r="AO24" s="426">
        <f t="shared" si="14"/>
        <v>1642954.7</v>
      </c>
      <c r="AP24" s="426">
        <f t="shared" si="14"/>
        <v>2110836.4000000004</v>
      </c>
      <c r="AQ24" s="229" t="s">
        <v>554</v>
      </c>
      <c r="AR24" s="416">
        <v>15725.6</v>
      </c>
      <c r="AS24" s="416">
        <v>151888.6</v>
      </c>
      <c r="AT24" s="416">
        <v>32247.4</v>
      </c>
      <c r="AU24" s="416">
        <v>473.9</v>
      </c>
      <c r="AV24" s="416">
        <f>1849475.8-11.02</f>
        <v>1849464.78</v>
      </c>
      <c r="AW24" s="416">
        <v>16844.900000000001</v>
      </c>
      <c r="AX24" s="416">
        <f t="shared" si="15"/>
        <v>1866309.68</v>
      </c>
      <c r="AY24" s="416">
        <f t="shared" si="16"/>
        <v>74652.387199999997</v>
      </c>
      <c r="AZ24" s="416">
        <f t="shared" si="17"/>
        <v>-10980.479899999991</v>
      </c>
      <c r="BA24" s="416">
        <f>63673.3-1.3927</f>
        <v>63671.907300000006</v>
      </c>
      <c r="BB24" s="416">
        <v>4724641.2</v>
      </c>
      <c r="BC24" s="416">
        <f t="shared" si="18"/>
        <v>374685.60730000003</v>
      </c>
      <c r="BD24" s="210">
        <v>28356.799999999999</v>
      </c>
      <c r="BE24" s="416">
        <v>74276.7</v>
      </c>
      <c r="BF24" s="416">
        <v>16566.900000000001</v>
      </c>
      <c r="BG24" s="416">
        <v>407858.8</v>
      </c>
      <c r="BH24" s="416">
        <f t="shared" si="19"/>
        <v>527059.20000000007</v>
      </c>
      <c r="BI24" s="229" t="s">
        <v>554</v>
      </c>
      <c r="BJ24" s="495">
        <v>-4.25</v>
      </c>
      <c r="BK24" s="231">
        <v>-4.41</v>
      </c>
      <c r="BL24" s="231">
        <v>0.67</v>
      </c>
      <c r="BM24" s="231">
        <v>-0.44</v>
      </c>
      <c r="BN24" s="231">
        <v>-0.4</v>
      </c>
      <c r="BO24" s="231" t="s">
        <v>292</v>
      </c>
      <c r="BP24" s="338">
        <v>3835</v>
      </c>
      <c r="BQ24" s="338">
        <v>1543</v>
      </c>
      <c r="BR24" s="338">
        <v>5859</v>
      </c>
      <c r="BS24" s="338">
        <v>63</v>
      </c>
      <c r="BT24" s="338">
        <f t="shared" si="20"/>
        <v>11300</v>
      </c>
      <c r="BU24" s="231">
        <f t="shared" si="21"/>
        <v>114.13228426009823</v>
      </c>
      <c r="BV24" s="231">
        <f t="shared" si="22"/>
        <v>163.66944955752211</v>
      </c>
      <c r="BW24" s="231">
        <f t="shared" si="23"/>
        <v>186.79968141592923</v>
      </c>
      <c r="BX24" s="231">
        <f t="shared" si="24"/>
        <v>4.9274908225070391</v>
      </c>
      <c r="BY24" s="231">
        <v>4</v>
      </c>
      <c r="BZ24" s="231">
        <v>5.84</v>
      </c>
      <c r="CA24" s="231">
        <v>11.7</v>
      </c>
      <c r="CB24" s="231">
        <f t="shared" si="25"/>
        <v>5.8599999999999994</v>
      </c>
      <c r="CC24" s="231">
        <v>10.24</v>
      </c>
      <c r="CD24" s="231">
        <v>13.47</v>
      </c>
      <c r="CE24" s="231">
        <f t="shared" si="26"/>
        <v>3.2300000000000004</v>
      </c>
    </row>
    <row r="25" spans="1:83" s="153" customFormat="1" ht="9" customHeight="1">
      <c r="A25" s="152"/>
      <c r="B25" s="152"/>
      <c r="C25" s="152"/>
      <c r="D25" s="152"/>
      <c r="E25" s="152"/>
      <c r="F25" s="152"/>
      <c r="G25" s="152"/>
      <c r="H25" s="152"/>
      <c r="I25" s="354" t="s">
        <v>561</v>
      </c>
      <c r="J25" s="411">
        <v>301078.3</v>
      </c>
      <c r="K25" s="411">
        <v>1924.1</v>
      </c>
      <c r="L25" s="411">
        <f t="shared" si="5"/>
        <v>303002.39999999997</v>
      </c>
      <c r="M25" s="411">
        <v>25191.7</v>
      </c>
      <c r="N25" s="411">
        <f t="shared" si="6"/>
        <v>277810.69999999995</v>
      </c>
      <c r="O25" s="411">
        <v>32532.1</v>
      </c>
      <c r="P25" s="411">
        <v>109880.9</v>
      </c>
      <c r="Q25" s="411">
        <v>194581.2</v>
      </c>
      <c r="R25" s="411">
        <v>1560636.3</v>
      </c>
      <c r="S25" s="411">
        <f t="shared" si="7"/>
        <v>1755217.5</v>
      </c>
      <c r="T25" s="411">
        <f t="shared" si="8"/>
        <v>1865098.4</v>
      </c>
      <c r="U25" s="411">
        <v>482.8</v>
      </c>
      <c r="V25" s="411">
        <v>369255.3</v>
      </c>
      <c r="W25" s="411">
        <f t="shared" si="9"/>
        <v>472874.69999999995</v>
      </c>
      <c r="X25" s="411">
        <f t="shared" si="10"/>
        <v>2033511</v>
      </c>
      <c r="Y25" s="411">
        <v>2417216.3393610516</v>
      </c>
      <c r="Z25" s="283" t="s">
        <v>561</v>
      </c>
      <c r="AA25" s="250">
        <v>0</v>
      </c>
      <c r="AB25" s="411">
        <v>54629.8</v>
      </c>
      <c r="AC25" s="411">
        <v>1592908.2</v>
      </c>
      <c r="AD25" s="411">
        <f t="shared" si="11"/>
        <v>1647538</v>
      </c>
      <c r="AE25" s="411">
        <v>0</v>
      </c>
      <c r="AF25" s="411">
        <v>476.8</v>
      </c>
      <c r="AG25" s="411">
        <v>24852.1</v>
      </c>
      <c r="AH25" s="411">
        <f t="shared" si="12"/>
        <v>25328.899999999998</v>
      </c>
      <c r="AI25" s="414">
        <v>26121</v>
      </c>
      <c r="AJ25" s="414">
        <v>432534.7</v>
      </c>
      <c r="AK25" s="414">
        <v>29561.5</v>
      </c>
      <c r="AL25" s="411">
        <f t="shared" si="13"/>
        <v>462096.2</v>
      </c>
      <c r="AM25" s="411">
        <f t="shared" si="14"/>
        <v>26121</v>
      </c>
      <c r="AN25" s="411">
        <f t="shared" si="14"/>
        <v>487641.30000000005</v>
      </c>
      <c r="AO25" s="411">
        <f t="shared" si="14"/>
        <v>1647321.8</v>
      </c>
      <c r="AP25" s="414">
        <f t="shared" si="14"/>
        <v>2134963.1</v>
      </c>
      <c r="AQ25" s="283" t="s">
        <v>561</v>
      </c>
      <c r="AR25" s="411">
        <v>15843.7</v>
      </c>
      <c r="AS25" s="411">
        <v>155189.5</v>
      </c>
      <c r="AT25" s="411">
        <v>33321.4</v>
      </c>
      <c r="AU25" s="411">
        <v>454.6</v>
      </c>
      <c r="AV25" s="411">
        <f>1863917.6-11.06</f>
        <v>1863906.54</v>
      </c>
      <c r="AW25" s="411">
        <v>17702.3</v>
      </c>
      <c r="AX25" s="411">
        <f t="shared" si="15"/>
        <v>1881608.84</v>
      </c>
      <c r="AY25" s="411">
        <f t="shared" si="16"/>
        <v>75264.353600000002</v>
      </c>
      <c r="AZ25" s="411">
        <f t="shared" si="17"/>
        <v>-9497.1474000000017</v>
      </c>
      <c r="BA25" s="411">
        <f>65770.1-2.8938</f>
        <v>65767.206200000001</v>
      </c>
      <c r="BB25" s="411">
        <v>4829354.7</v>
      </c>
      <c r="BC25" s="411">
        <f t="shared" si="18"/>
        <v>368769.60619999998</v>
      </c>
      <c r="BD25" s="249">
        <v>34193.300000000003</v>
      </c>
      <c r="BE25" s="411">
        <v>71143.100000000006</v>
      </c>
      <c r="BF25" s="411">
        <v>15527.3</v>
      </c>
      <c r="BG25" s="411">
        <v>428429.5</v>
      </c>
      <c r="BH25" s="411">
        <f t="shared" si="19"/>
        <v>549293.20000000007</v>
      </c>
      <c r="BI25" s="283" t="s">
        <v>561</v>
      </c>
      <c r="BJ25" s="401">
        <v>0.56000000000000005</v>
      </c>
      <c r="BK25" s="256">
        <v>-3.94</v>
      </c>
      <c r="BL25" s="256">
        <v>0.91</v>
      </c>
      <c r="BM25" s="256">
        <v>0.73</v>
      </c>
      <c r="BN25" s="256">
        <v>0.01</v>
      </c>
      <c r="BO25" s="256" t="s">
        <v>292</v>
      </c>
      <c r="BP25" s="257">
        <v>3835</v>
      </c>
      <c r="BQ25" s="257">
        <v>1543</v>
      </c>
      <c r="BR25" s="257">
        <v>5860</v>
      </c>
      <c r="BS25" s="257">
        <v>63</v>
      </c>
      <c r="BT25" s="257">
        <f t="shared" si="20"/>
        <v>11301</v>
      </c>
      <c r="BU25" s="256">
        <f t="shared" si="21"/>
        <v>114.54239009215559</v>
      </c>
      <c r="BV25" s="256">
        <f t="shared" ref="BV25:BV30" si="27">AV25/BT25</f>
        <v>164.93288558534644</v>
      </c>
      <c r="BW25" s="256">
        <f t="shared" si="23"/>
        <v>188.91806919741617</v>
      </c>
      <c r="BX25" s="256">
        <f t="shared" si="24"/>
        <v>4.8800143273278067</v>
      </c>
      <c r="BY25" s="256">
        <v>4</v>
      </c>
      <c r="BZ25" s="256">
        <v>5.9</v>
      </c>
      <c r="CA25" s="256">
        <v>11.77</v>
      </c>
      <c r="CB25" s="256">
        <f t="shared" ref="CB25:CB33" si="28">CA25-BZ25</f>
        <v>5.8699999999999992</v>
      </c>
      <c r="CC25" s="256">
        <v>10.35</v>
      </c>
      <c r="CD25" s="256">
        <v>13.58</v>
      </c>
      <c r="CE25" s="256">
        <f t="shared" si="26"/>
        <v>3.2300000000000004</v>
      </c>
    </row>
    <row r="26" spans="1:83" s="153" customFormat="1" ht="9" customHeight="1">
      <c r="A26" s="152"/>
      <c r="B26" s="2070" t="s">
        <v>2690</v>
      </c>
      <c r="C26" s="2070"/>
      <c r="D26" s="2070"/>
      <c r="E26" s="2070"/>
      <c r="F26" s="2070"/>
      <c r="G26" s="152"/>
      <c r="H26" s="152"/>
      <c r="I26" s="1368" t="s">
        <v>562</v>
      </c>
      <c r="J26" s="416">
        <v>299845.8</v>
      </c>
      <c r="K26" s="416">
        <v>1928.8</v>
      </c>
      <c r="L26" s="416">
        <f t="shared" si="5"/>
        <v>301774.59999999998</v>
      </c>
      <c r="M26" s="416">
        <v>24317.9</v>
      </c>
      <c r="N26" s="416">
        <f t="shared" si="6"/>
        <v>277456.69999999995</v>
      </c>
      <c r="O26" s="416">
        <v>34374.1</v>
      </c>
      <c r="P26" s="416">
        <v>112689.5</v>
      </c>
      <c r="Q26" s="416">
        <v>191263.4</v>
      </c>
      <c r="R26" s="416">
        <v>1571592.2</v>
      </c>
      <c r="S26" s="416">
        <f t="shared" si="7"/>
        <v>1762855.5999999999</v>
      </c>
      <c r="T26" s="416">
        <f t="shared" si="8"/>
        <v>1875545.0999999999</v>
      </c>
      <c r="U26" s="416">
        <v>472.7</v>
      </c>
      <c r="V26" s="416">
        <v>388455.9</v>
      </c>
      <c r="W26" s="416">
        <f t="shared" si="9"/>
        <v>469192.8</v>
      </c>
      <c r="X26" s="416">
        <f t="shared" si="10"/>
        <v>2040785</v>
      </c>
      <c r="Y26" s="416">
        <v>2422899.3788606417</v>
      </c>
      <c r="Z26" s="229" t="s">
        <v>562</v>
      </c>
      <c r="AA26" s="211">
        <v>0</v>
      </c>
      <c r="AB26" s="416">
        <v>55618.3</v>
      </c>
      <c r="AC26" s="416">
        <v>1600737.2</v>
      </c>
      <c r="AD26" s="416">
        <f t="shared" si="11"/>
        <v>1656355.5</v>
      </c>
      <c r="AE26" s="416">
        <v>0</v>
      </c>
      <c r="AF26" s="416">
        <v>474.1</v>
      </c>
      <c r="AG26" s="416">
        <v>24737.599999999999</v>
      </c>
      <c r="AH26" s="416">
        <f t="shared" si="12"/>
        <v>25211.699999999997</v>
      </c>
      <c r="AI26" s="426">
        <v>25705.9</v>
      </c>
      <c r="AJ26" s="426">
        <v>444694.1</v>
      </c>
      <c r="AK26" s="426">
        <v>29343.599999999999</v>
      </c>
      <c r="AL26" s="426">
        <f t="shared" si="13"/>
        <v>474037.69999999995</v>
      </c>
      <c r="AM26" s="426">
        <f t="shared" si="14"/>
        <v>25705.9</v>
      </c>
      <c r="AN26" s="426">
        <f t="shared" si="14"/>
        <v>500786.5</v>
      </c>
      <c r="AO26" s="426">
        <f t="shared" si="14"/>
        <v>1654818.4000000001</v>
      </c>
      <c r="AP26" s="426">
        <f t="shared" si="14"/>
        <v>2155604.9</v>
      </c>
      <c r="AQ26" s="229" t="s">
        <v>562</v>
      </c>
      <c r="AR26" s="416">
        <v>16149.4</v>
      </c>
      <c r="AS26" s="416">
        <v>178864.9</v>
      </c>
      <c r="AT26" s="416">
        <v>33099.5</v>
      </c>
      <c r="AU26" s="416">
        <v>430.5</v>
      </c>
      <c r="AV26" s="416">
        <f>1875604.3-10.82</f>
        <v>1875593.48</v>
      </c>
      <c r="AW26" s="416">
        <v>18986.5</v>
      </c>
      <c r="AX26" s="416">
        <f t="shared" si="15"/>
        <v>1894579.98</v>
      </c>
      <c r="AY26" s="416">
        <f t="shared" si="16"/>
        <v>75783.199200000003</v>
      </c>
      <c r="AZ26" s="416">
        <f t="shared" si="17"/>
        <v>10423.463400000008</v>
      </c>
      <c r="BA26" s="416">
        <f>86208.6-1.9374</f>
        <v>86206.662600000011</v>
      </c>
      <c r="BB26" s="416">
        <v>4918707</v>
      </c>
      <c r="BC26" s="416">
        <f t="shared" si="18"/>
        <v>387981.26260000002</v>
      </c>
      <c r="BD26" s="210">
        <v>36307.9</v>
      </c>
      <c r="BE26" s="416">
        <v>71725.899999999994</v>
      </c>
      <c r="BF26" s="416">
        <v>16125.1</v>
      </c>
      <c r="BG26" s="416">
        <v>440596.3</v>
      </c>
      <c r="BH26" s="416">
        <f t="shared" si="19"/>
        <v>564755.19999999995</v>
      </c>
      <c r="BI26" s="229" t="s">
        <v>562</v>
      </c>
      <c r="BJ26" s="495">
        <v>3.24</v>
      </c>
      <c r="BK26" s="231">
        <v>-3.15</v>
      </c>
      <c r="BL26" s="231">
        <v>1.41</v>
      </c>
      <c r="BM26" s="231">
        <v>1.67</v>
      </c>
      <c r="BN26" s="231">
        <v>0.37</v>
      </c>
      <c r="BO26" s="231" t="s">
        <v>292</v>
      </c>
      <c r="BP26" s="338">
        <v>3836</v>
      </c>
      <c r="BQ26" s="338">
        <v>1543</v>
      </c>
      <c r="BR26" s="338">
        <v>5863</v>
      </c>
      <c r="BS26" s="338">
        <v>63</v>
      </c>
      <c r="BT26" s="338">
        <f t="shared" si="20"/>
        <v>11305</v>
      </c>
      <c r="BU26" s="231">
        <f t="shared" ref="BU26:BU31" si="29">AP26/AV26*100</f>
        <v>114.92921696443517</v>
      </c>
      <c r="BV26" s="231">
        <f t="shared" si="27"/>
        <v>165.90831313578062</v>
      </c>
      <c r="BW26" s="231">
        <f t="shared" si="23"/>
        <v>190.67712516585581</v>
      </c>
      <c r="BX26" s="231">
        <f t="shared" si="24"/>
        <v>5.8927781408154614</v>
      </c>
      <c r="BY26" s="231">
        <v>4</v>
      </c>
      <c r="BZ26" s="231">
        <v>5.99</v>
      </c>
      <c r="CA26" s="231">
        <v>11.84</v>
      </c>
      <c r="CB26" s="231">
        <f t="shared" si="28"/>
        <v>5.85</v>
      </c>
      <c r="CC26" s="231">
        <v>10.43</v>
      </c>
      <c r="CD26" s="231">
        <v>13.67</v>
      </c>
      <c r="CE26" s="231">
        <f t="shared" si="26"/>
        <v>3.24</v>
      </c>
    </row>
    <row r="27" spans="1:83" s="153" customFormat="1" ht="9" customHeight="1">
      <c r="A27" s="152"/>
      <c r="B27" s="2070"/>
      <c r="C27" s="2070"/>
      <c r="D27" s="2070"/>
      <c r="E27" s="2070"/>
      <c r="F27" s="2070"/>
      <c r="G27" s="152"/>
      <c r="H27" s="152"/>
      <c r="I27" s="354" t="s">
        <v>555</v>
      </c>
      <c r="J27" s="411">
        <v>302994.59999999998</v>
      </c>
      <c r="K27" s="411">
        <v>1934.1</v>
      </c>
      <c r="L27" s="411">
        <f t="shared" si="5"/>
        <v>304928.69999999995</v>
      </c>
      <c r="M27" s="411">
        <v>28557.200000000001</v>
      </c>
      <c r="N27" s="411">
        <f t="shared" si="6"/>
        <v>276371.49999999994</v>
      </c>
      <c r="O27" s="411">
        <v>37779.9</v>
      </c>
      <c r="P27" s="411">
        <v>118809</v>
      </c>
      <c r="Q27" s="411">
        <v>197985.6</v>
      </c>
      <c r="R27" s="411">
        <v>1578762.3</v>
      </c>
      <c r="S27" s="411">
        <f t="shared" si="7"/>
        <v>1776747.9000000001</v>
      </c>
      <c r="T27" s="411">
        <f t="shared" si="8"/>
        <v>1895556.9000000001</v>
      </c>
      <c r="U27" s="411">
        <v>562.5</v>
      </c>
      <c r="V27" s="411">
        <v>399499.70000000007</v>
      </c>
      <c r="W27" s="411">
        <f t="shared" si="9"/>
        <v>474919.6</v>
      </c>
      <c r="X27" s="411">
        <f t="shared" si="10"/>
        <v>2053681.9</v>
      </c>
      <c r="Y27" s="411">
        <v>2434577.0204889108</v>
      </c>
      <c r="Z27" s="283" t="s">
        <v>555</v>
      </c>
      <c r="AA27" s="250">
        <v>0</v>
      </c>
      <c r="AB27" s="411">
        <v>55517</v>
      </c>
      <c r="AC27" s="411">
        <v>1618209.2</v>
      </c>
      <c r="AD27" s="411">
        <f t="shared" si="11"/>
        <v>1673726.2</v>
      </c>
      <c r="AE27" s="411">
        <v>0</v>
      </c>
      <c r="AF27" s="411">
        <v>468.5</v>
      </c>
      <c r="AG27" s="411">
        <v>28646.5</v>
      </c>
      <c r="AH27" s="411">
        <f t="shared" si="12"/>
        <v>29115</v>
      </c>
      <c r="AI27" s="414">
        <v>25473.599999999999</v>
      </c>
      <c r="AJ27" s="414">
        <v>445383.5</v>
      </c>
      <c r="AK27" s="414">
        <v>28989.1</v>
      </c>
      <c r="AL27" s="414">
        <f t="shared" si="13"/>
        <v>474372.6</v>
      </c>
      <c r="AM27" s="414">
        <f t="shared" si="14"/>
        <v>25473.599999999999</v>
      </c>
      <c r="AN27" s="414">
        <f t="shared" si="14"/>
        <v>501369</v>
      </c>
      <c r="AO27" s="414">
        <f t="shared" si="14"/>
        <v>1675844.8</v>
      </c>
      <c r="AP27" s="414">
        <f t="shared" si="14"/>
        <v>2177213.7999999998</v>
      </c>
      <c r="AQ27" s="283" t="s">
        <v>555</v>
      </c>
      <c r="AR27" s="411">
        <v>16252.2</v>
      </c>
      <c r="AS27" s="411">
        <v>189320.1</v>
      </c>
      <c r="AT27" s="411">
        <v>34612</v>
      </c>
      <c r="AU27" s="411">
        <v>272.3</v>
      </c>
      <c r="AV27" s="411">
        <f>1895617.4-8.67</f>
        <v>1895608.73</v>
      </c>
      <c r="AW27" s="411">
        <v>17253</v>
      </c>
      <c r="AX27" s="411">
        <f t="shared" si="15"/>
        <v>1912861.73</v>
      </c>
      <c r="AY27" s="411">
        <f t="shared" si="16"/>
        <v>76514.469200000007</v>
      </c>
      <c r="AZ27" s="411">
        <f t="shared" si="17"/>
        <v>17492.901999999987</v>
      </c>
      <c r="BA27" s="411">
        <f>94008.5-1.1288</f>
        <v>94007.371199999994</v>
      </c>
      <c r="BB27" s="411">
        <v>4629403.0999999996</v>
      </c>
      <c r="BC27" s="411">
        <f t="shared" si="18"/>
        <v>398936.07119999995</v>
      </c>
      <c r="BD27" s="249">
        <v>19409.599999999999</v>
      </c>
      <c r="BE27" s="411">
        <v>70844.600000000006</v>
      </c>
      <c r="BF27" s="411">
        <v>16573.599999999999</v>
      </c>
      <c r="BG27" s="411">
        <v>441369.1</v>
      </c>
      <c r="BH27" s="411">
        <f t="shared" si="19"/>
        <v>548196.89999999991</v>
      </c>
      <c r="BI27" s="283" t="s">
        <v>555</v>
      </c>
      <c r="BJ27" s="401">
        <v>-2.19</v>
      </c>
      <c r="BK27" s="256">
        <v>1.85</v>
      </c>
      <c r="BL27" s="256">
        <v>2.67</v>
      </c>
      <c r="BM27" s="256">
        <v>1.68</v>
      </c>
      <c r="BN27" s="256">
        <v>1.01</v>
      </c>
      <c r="BO27" s="256" t="s">
        <v>292</v>
      </c>
      <c r="BP27" s="257">
        <v>3843</v>
      </c>
      <c r="BQ27" s="257">
        <v>1543</v>
      </c>
      <c r="BR27" s="257">
        <v>5912</v>
      </c>
      <c r="BS27" s="257">
        <v>63</v>
      </c>
      <c r="BT27" s="257">
        <f t="shared" si="20"/>
        <v>11361</v>
      </c>
      <c r="BU27" s="256">
        <f t="shared" si="29"/>
        <v>114.85565378251871</v>
      </c>
      <c r="BV27" s="256">
        <f t="shared" si="27"/>
        <v>166.85227796848869</v>
      </c>
      <c r="BW27" s="256">
        <f t="shared" si="23"/>
        <v>191.63927471173309</v>
      </c>
      <c r="BX27" s="256">
        <f t="shared" ref="BX27:BX32" si="30">(M27+BA27)/AV27*100</f>
        <v>6.4657104211584837</v>
      </c>
      <c r="BY27" s="256">
        <v>4</v>
      </c>
      <c r="BZ27" s="256">
        <v>6.01</v>
      </c>
      <c r="CA27" s="256">
        <v>11.84</v>
      </c>
      <c r="CB27" s="256">
        <f t="shared" si="28"/>
        <v>5.83</v>
      </c>
      <c r="CC27" s="256">
        <v>10.51</v>
      </c>
      <c r="CD27" s="256">
        <v>13.72</v>
      </c>
      <c r="CE27" s="256">
        <f t="shared" si="26"/>
        <v>3.2100000000000009</v>
      </c>
    </row>
    <row r="28" spans="1:83" s="153" customFormat="1" ht="9" customHeight="1">
      <c r="A28" s="152"/>
      <c r="B28" s="152"/>
      <c r="C28" s="152"/>
      <c r="D28" s="152"/>
      <c r="E28" s="152"/>
      <c r="F28" s="152"/>
      <c r="G28" s="152"/>
      <c r="H28" s="152"/>
      <c r="I28" s="1513" t="s">
        <v>563</v>
      </c>
      <c r="J28" s="416">
        <v>297571.3</v>
      </c>
      <c r="K28" s="416">
        <v>1939.6</v>
      </c>
      <c r="L28" s="416">
        <f t="shared" si="5"/>
        <v>299510.89999999997</v>
      </c>
      <c r="M28" s="416">
        <v>25280</v>
      </c>
      <c r="N28" s="416">
        <f t="shared" si="6"/>
        <v>274230.89999999997</v>
      </c>
      <c r="O28" s="416">
        <v>36615</v>
      </c>
      <c r="P28" s="416">
        <v>115816.8</v>
      </c>
      <c r="Q28" s="416">
        <v>188985.8</v>
      </c>
      <c r="R28" s="416">
        <v>1592301.7</v>
      </c>
      <c r="S28" s="416">
        <f t="shared" si="7"/>
        <v>1781287.5</v>
      </c>
      <c r="T28" s="416">
        <f t="shared" si="8"/>
        <v>1897104.3</v>
      </c>
      <c r="U28" s="416">
        <v>514.4</v>
      </c>
      <c r="V28" s="416">
        <v>378708.3</v>
      </c>
      <c r="W28" s="416">
        <f t="shared" si="9"/>
        <v>463731.1</v>
      </c>
      <c r="X28" s="416">
        <f t="shared" si="10"/>
        <v>2056032.7999999998</v>
      </c>
      <c r="Y28" s="416">
        <v>2431442.2775510582</v>
      </c>
      <c r="Z28" s="229" t="s">
        <v>563</v>
      </c>
      <c r="AA28" s="211">
        <v>0</v>
      </c>
      <c r="AB28" s="416">
        <v>55896.9</v>
      </c>
      <c r="AC28" s="416">
        <v>1611343.5</v>
      </c>
      <c r="AD28" s="416">
        <f t="shared" si="11"/>
        <v>1667240.4</v>
      </c>
      <c r="AE28" s="416">
        <v>0</v>
      </c>
      <c r="AF28" s="416">
        <v>464.7</v>
      </c>
      <c r="AG28" s="416">
        <v>30177.3</v>
      </c>
      <c r="AH28" s="416">
        <f t="shared" si="12"/>
        <v>30642</v>
      </c>
      <c r="AI28" s="426">
        <v>25481.5</v>
      </c>
      <c r="AJ28" s="426">
        <v>462601.3</v>
      </c>
      <c r="AK28" s="426">
        <v>28982.7</v>
      </c>
      <c r="AL28" s="426">
        <f t="shared" si="13"/>
        <v>491584</v>
      </c>
      <c r="AM28" s="426">
        <f t="shared" si="14"/>
        <v>25481.5</v>
      </c>
      <c r="AN28" s="426">
        <f t="shared" si="14"/>
        <v>518962.89999999997</v>
      </c>
      <c r="AO28" s="426">
        <f t="shared" si="14"/>
        <v>1670503.5</v>
      </c>
      <c r="AP28" s="426">
        <f t="shared" si="14"/>
        <v>2189466.4</v>
      </c>
      <c r="AQ28" s="229" t="s">
        <v>563</v>
      </c>
      <c r="AR28" s="416">
        <v>16500.3</v>
      </c>
      <c r="AS28" s="416">
        <v>192132</v>
      </c>
      <c r="AT28" s="416">
        <v>36875.300000000003</v>
      </c>
      <c r="AU28" s="416">
        <v>584.4</v>
      </c>
      <c r="AV28" s="416">
        <f>1897178-9.21</f>
        <v>1897168.79</v>
      </c>
      <c r="AW28" s="416">
        <v>18749.8</v>
      </c>
      <c r="AX28" s="416">
        <f t="shared" si="15"/>
        <v>1915918.59</v>
      </c>
      <c r="AY28" s="416">
        <f t="shared" si="16"/>
        <v>76636.743600000002</v>
      </c>
      <c r="AZ28" s="416">
        <f t="shared" si="17"/>
        <v>2042.7814999999973</v>
      </c>
      <c r="BA28" s="416">
        <f>78683-3.4749</f>
        <v>78679.525099999999</v>
      </c>
      <c r="BB28" s="416">
        <v>4649821.0999999996</v>
      </c>
      <c r="BC28" s="416">
        <f t="shared" si="18"/>
        <v>378190.42509999999</v>
      </c>
      <c r="BD28" s="210">
        <v>22096.7</v>
      </c>
      <c r="BE28" s="416">
        <v>67100.899999999994</v>
      </c>
      <c r="BF28" s="416">
        <v>17288.599999999999</v>
      </c>
      <c r="BG28" s="416">
        <v>458620</v>
      </c>
      <c r="BH28" s="416">
        <f t="shared" si="19"/>
        <v>565106.19999999995</v>
      </c>
      <c r="BI28" s="229" t="s">
        <v>563</v>
      </c>
      <c r="BJ28" s="495">
        <v>2.23</v>
      </c>
      <c r="BK28" s="231">
        <v>1.53</v>
      </c>
      <c r="BL28" s="231">
        <v>2.37</v>
      </c>
      <c r="BM28" s="231">
        <v>2.3199999999999998</v>
      </c>
      <c r="BN28" s="231">
        <v>1.1200000000000001</v>
      </c>
      <c r="BO28" s="231" t="s">
        <v>292</v>
      </c>
      <c r="BP28" s="338">
        <v>3843</v>
      </c>
      <c r="BQ28" s="338">
        <v>1543</v>
      </c>
      <c r="BR28" s="338">
        <v>5912</v>
      </c>
      <c r="BS28" s="338">
        <v>63</v>
      </c>
      <c r="BT28" s="338">
        <f t="shared" ref="BT28:BT41" si="31">SUM(BP28:BS28)</f>
        <v>11361</v>
      </c>
      <c r="BU28" s="231">
        <f t="shared" si="29"/>
        <v>115.40704293369699</v>
      </c>
      <c r="BV28" s="231">
        <f t="shared" si="27"/>
        <v>166.9895951060646</v>
      </c>
      <c r="BW28" s="231">
        <f t="shared" si="23"/>
        <v>192.71775371886278</v>
      </c>
      <c r="BX28" s="231">
        <f t="shared" si="30"/>
        <v>5.4797193401015205</v>
      </c>
      <c r="BY28" s="231">
        <v>4</v>
      </c>
      <c r="BZ28" s="231">
        <v>6.1</v>
      </c>
      <c r="CA28" s="231">
        <v>11.89</v>
      </c>
      <c r="CB28" s="231">
        <f t="shared" si="28"/>
        <v>5.7900000000000009</v>
      </c>
      <c r="CC28" s="231">
        <v>10.54</v>
      </c>
      <c r="CD28" s="231">
        <v>13.78</v>
      </c>
      <c r="CE28" s="231">
        <f t="shared" si="26"/>
        <v>3.24</v>
      </c>
    </row>
    <row r="29" spans="1:83" s="153" customFormat="1" ht="9" customHeight="1">
      <c r="A29" s="152"/>
      <c r="B29" s="152"/>
      <c r="C29" s="152"/>
      <c r="D29" s="152"/>
      <c r="E29" s="152"/>
      <c r="F29" s="152"/>
      <c r="G29" s="152"/>
      <c r="H29" s="152"/>
      <c r="I29" s="354" t="s">
        <v>564</v>
      </c>
      <c r="J29" s="411">
        <v>296437.09999999998</v>
      </c>
      <c r="K29" s="411">
        <v>1945.3</v>
      </c>
      <c r="L29" s="411">
        <f t="shared" si="5"/>
        <v>298382.39999999997</v>
      </c>
      <c r="M29" s="411">
        <v>26886.799999999999</v>
      </c>
      <c r="N29" s="411">
        <f t="shared" si="6"/>
        <v>271495.59999999998</v>
      </c>
      <c r="O29" s="411">
        <v>35318.400000000001</v>
      </c>
      <c r="P29" s="411">
        <v>118191.2</v>
      </c>
      <c r="Q29" s="411">
        <v>190303.3</v>
      </c>
      <c r="R29" s="411">
        <v>1602382.6</v>
      </c>
      <c r="S29" s="411">
        <f t="shared" si="7"/>
        <v>1792685.9000000001</v>
      </c>
      <c r="T29" s="411">
        <f t="shared" si="8"/>
        <v>1910877.1</v>
      </c>
      <c r="U29" s="411">
        <v>478.8</v>
      </c>
      <c r="V29" s="411">
        <v>374602.9</v>
      </c>
      <c r="W29" s="411">
        <f t="shared" si="9"/>
        <v>462277.69999999995</v>
      </c>
      <c r="X29" s="411">
        <f t="shared" si="10"/>
        <v>2064660.3</v>
      </c>
      <c r="Y29" s="411">
        <v>2438641.9448999995</v>
      </c>
      <c r="Z29" s="283" t="s">
        <v>564</v>
      </c>
      <c r="AA29" s="250">
        <v>0</v>
      </c>
      <c r="AB29" s="411">
        <v>55495.8</v>
      </c>
      <c r="AC29" s="411">
        <v>1615286.9</v>
      </c>
      <c r="AD29" s="411">
        <f t="shared" si="11"/>
        <v>1670782.7</v>
      </c>
      <c r="AE29" s="411">
        <v>0</v>
      </c>
      <c r="AF29" s="411">
        <v>461.5</v>
      </c>
      <c r="AG29" s="411">
        <v>30398.3</v>
      </c>
      <c r="AH29" s="411">
        <f t="shared" si="12"/>
        <v>30859.8</v>
      </c>
      <c r="AI29" s="411">
        <v>25209.1</v>
      </c>
      <c r="AJ29" s="411">
        <v>470266</v>
      </c>
      <c r="AK29" s="411">
        <v>29010</v>
      </c>
      <c r="AL29" s="411">
        <f t="shared" si="13"/>
        <v>499276</v>
      </c>
      <c r="AM29" s="411">
        <f t="shared" si="14"/>
        <v>25209.1</v>
      </c>
      <c r="AN29" s="411">
        <f t="shared" si="14"/>
        <v>526223.30000000005</v>
      </c>
      <c r="AO29" s="411">
        <f t="shared" si="14"/>
        <v>1674695.2</v>
      </c>
      <c r="AP29" s="411">
        <f t="shared" si="14"/>
        <v>2200918.5</v>
      </c>
      <c r="AQ29" s="283" t="s">
        <v>564</v>
      </c>
      <c r="AR29" s="411">
        <v>16408.599999999999</v>
      </c>
      <c r="AS29" s="411">
        <v>186612.4</v>
      </c>
      <c r="AT29" s="411">
        <v>35148.800000000003</v>
      </c>
      <c r="AU29" s="411">
        <v>257.5</v>
      </c>
      <c r="AV29" s="411">
        <f>1910943.5-9.38</f>
        <v>1910934.12</v>
      </c>
      <c r="AW29" s="411">
        <v>20602.5</v>
      </c>
      <c r="AX29" s="411">
        <f t="shared" si="15"/>
        <v>1931536.62</v>
      </c>
      <c r="AY29" s="411">
        <f t="shared" si="16"/>
        <v>77261.464800000002</v>
      </c>
      <c r="AZ29" s="411">
        <f>BA29-AY29</f>
        <v>-1522.9844000000012</v>
      </c>
      <c r="BA29" s="411">
        <f>75741.7-3.2196</f>
        <v>75738.4804</v>
      </c>
      <c r="BB29" s="411">
        <v>4751570.2</v>
      </c>
      <c r="BC29" s="411">
        <f>L29+BA29</f>
        <v>374120.88039999997</v>
      </c>
      <c r="BD29" s="411">
        <v>16612.5</v>
      </c>
      <c r="BE29" s="411">
        <v>67879</v>
      </c>
      <c r="BF29" s="411">
        <v>16580.900000000001</v>
      </c>
      <c r="BG29" s="411">
        <v>466287</v>
      </c>
      <c r="BH29" s="411">
        <f t="shared" si="19"/>
        <v>567359.4</v>
      </c>
      <c r="BI29" s="283" t="s">
        <v>564</v>
      </c>
      <c r="BJ29" s="401">
        <v>2.12</v>
      </c>
      <c r="BK29" s="256">
        <v>2.16</v>
      </c>
      <c r="BL29" s="256">
        <v>2.63</v>
      </c>
      <c r="BM29" s="256">
        <v>2.52</v>
      </c>
      <c r="BN29" s="256">
        <v>1.55</v>
      </c>
      <c r="BO29" s="256" t="s">
        <v>292</v>
      </c>
      <c r="BP29" s="257">
        <v>3843</v>
      </c>
      <c r="BQ29" s="257">
        <v>1543</v>
      </c>
      <c r="BR29" s="257">
        <v>5912</v>
      </c>
      <c r="BS29" s="257">
        <v>63</v>
      </c>
      <c r="BT29" s="257">
        <f t="shared" si="31"/>
        <v>11361</v>
      </c>
      <c r="BU29" s="256">
        <f t="shared" si="29"/>
        <v>115.17500666114016</v>
      </c>
      <c r="BV29" s="256">
        <f t="shared" si="27"/>
        <v>168.20122524425668</v>
      </c>
      <c r="BW29" s="256">
        <f t="shared" si="23"/>
        <v>193.72577237919197</v>
      </c>
      <c r="BX29" s="256">
        <f t="shared" si="30"/>
        <v>5.3704248265764383</v>
      </c>
      <c r="BY29" s="256">
        <v>4</v>
      </c>
      <c r="BZ29" s="256">
        <v>6.14</v>
      </c>
      <c r="CA29" s="256">
        <v>11.94</v>
      </c>
      <c r="CB29" s="256">
        <f t="shared" si="28"/>
        <v>5.8</v>
      </c>
      <c r="CC29" s="256">
        <v>10.57</v>
      </c>
      <c r="CD29" s="256">
        <v>13.78</v>
      </c>
      <c r="CE29" s="256">
        <f t="shared" si="26"/>
        <v>3.2099999999999991</v>
      </c>
    </row>
    <row r="30" spans="1:83" s="153" customFormat="1" ht="9" customHeight="1">
      <c r="A30" s="152"/>
      <c r="B30" s="152"/>
      <c r="C30" s="152"/>
      <c r="D30" s="152"/>
      <c r="E30" s="152"/>
      <c r="F30" s="152"/>
      <c r="G30" s="152"/>
      <c r="H30" s="152"/>
      <c r="I30" s="1606" t="s">
        <v>556</v>
      </c>
      <c r="J30" s="416">
        <v>319205.59999999998</v>
      </c>
      <c r="K30" s="416">
        <v>1955.2</v>
      </c>
      <c r="L30" s="416">
        <f t="shared" si="5"/>
        <v>321160.8</v>
      </c>
      <c r="M30" s="416">
        <v>24729.200000000001</v>
      </c>
      <c r="N30" s="416">
        <f t="shared" si="6"/>
        <v>296431.59999999998</v>
      </c>
      <c r="O30" s="416">
        <v>35863.699999999997</v>
      </c>
      <c r="P30" s="416">
        <v>118117</v>
      </c>
      <c r="Q30" s="416">
        <v>192584</v>
      </c>
      <c r="R30" s="416">
        <v>1625559.8</v>
      </c>
      <c r="S30" s="416">
        <f t="shared" si="7"/>
        <v>1818143.8</v>
      </c>
      <c r="T30" s="416">
        <f t="shared" si="8"/>
        <v>1936260.8</v>
      </c>
      <c r="U30" s="416">
        <v>516.6</v>
      </c>
      <c r="V30" s="416">
        <v>402733.60000000003</v>
      </c>
      <c r="W30" s="416">
        <f t="shared" ref="W30:W32" si="32">N30+Q30+U30</f>
        <v>489532.19999999995</v>
      </c>
      <c r="X30" s="416">
        <f t="shared" ref="X30:X32" si="33">R30+W30</f>
        <v>2115092</v>
      </c>
      <c r="Y30" s="416">
        <v>2488810.3949000002</v>
      </c>
      <c r="Z30" s="1004" t="s">
        <v>556</v>
      </c>
      <c r="AA30" s="416">
        <v>0</v>
      </c>
      <c r="AB30" s="416">
        <v>55539.9</v>
      </c>
      <c r="AC30" s="416">
        <v>1651045.9</v>
      </c>
      <c r="AD30" s="416">
        <f t="shared" si="11"/>
        <v>1706585.7999999998</v>
      </c>
      <c r="AE30" s="416">
        <v>0</v>
      </c>
      <c r="AF30" s="416">
        <v>458.2</v>
      </c>
      <c r="AG30" s="416">
        <v>29870.1</v>
      </c>
      <c r="AH30" s="416">
        <f t="shared" si="12"/>
        <v>30328.3</v>
      </c>
      <c r="AI30" s="416">
        <v>25197.599999999999</v>
      </c>
      <c r="AJ30" s="416">
        <v>472309.6</v>
      </c>
      <c r="AK30" s="416">
        <v>29156.6</v>
      </c>
      <c r="AL30" s="416">
        <f t="shared" ref="AL30" si="34">AJ30+AK30</f>
        <v>501466.19999999995</v>
      </c>
      <c r="AM30" s="416">
        <f t="shared" ref="AM30" si="35">AA30+AE30+AI30</f>
        <v>25197.599999999999</v>
      </c>
      <c r="AN30" s="416">
        <f t="shared" ref="AN30" si="36">AB30+AF30+AJ30</f>
        <v>528307.69999999995</v>
      </c>
      <c r="AO30" s="416">
        <f t="shared" ref="AO30" si="37">AC30+AG30+AK30</f>
        <v>1710072.6</v>
      </c>
      <c r="AP30" s="416">
        <f t="shared" ref="AP30" si="38">AD30+AH30+AL30</f>
        <v>2238380.2999999998</v>
      </c>
      <c r="AQ30" s="1004" t="s">
        <v>556</v>
      </c>
      <c r="AR30" s="416">
        <v>15856.4</v>
      </c>
      <c r="AS30" s="416">
        <v>191189.9</v>
      </c>
      <c r="AT30" s="416">
        <v>35320.6</v>
      </c>
      <c r="AU30" s="416">
        <v>286.2</v>
      </c>
      <c r="AV30" s="416">
        <f>1938372.1-8.35</f>
        <v>1938363.75</v>
      </c>
      <c r="AW30" s="416">
        <v>25001.4</v>
      </c>
      <c r="AX30" s="416">
        <f t="shared" si="15"/>
        <v>1963365.15</v>
      </c>
      <c r="AY30" s="416">
        <f t="shared" si="16"/>
        <v>78534.606</v>
      </c>
      <c r="AZ30" s="416">
        <f>BA30-AY30</f>
        <v>2518.7936000000045</v>
      </c>
      <c r="BA30" s="416">
        <f>81056.2-2.8004</f>
        <v>81053.399600000004</v>
      </c>
      <c r="BB30" s="416">
        <v>4873974.5999999996</v>
      </c>
      <c r="BC30" s="416">
        <f>L30+BA30</f>
        <v>402214.19959999999</v>
      </c>
      <c r="BD30" s="416">
        <v>35461.199999999997</v>
      </c>
      <c r="BE30" s="416">
        <v>67051.8</v>
      </c>
      <c r="BF30" s="416">
        <v>17092.8</v>
      </c>
      <c r="BG30" s="416">
        <v>468330.8</v>
      </c>
      <c r="BH30" s="416">
        <f t="shared" si="19"/>
        <v>587936.6</v>
      </c>
      <c r="BI30" s="1004" t="s">
        <v>556</v>
      </c>
      <c r="BJ30" s="495">
        <v>6.89</v>
      </c>
      <c r="BK30" s="495">
        <v>1.21</v>
      </c>
      <c r="BL30" s="495">
        <v>4.7699999999999996</v>
      </c>
      <c r="BM30" s="495">
        <v>5.1100000000000003</v>
      </c>
      <c r="BN30" s="495">
        <v>4.03</v>
      </c>
      <c r="BO30" s="231" t="s">
        <v>292</v>
      </c>
      <c r="BP30" s="338">
        <v>3843</v>
      </c>
      <c r="BQ30" s="338">
        <v>1543</v>
      </c>
      <c r="BR30" s="338">
        <v>5913</v>
      </c>
      <c r="BS30" s="338">
        <v>63</v>
      </c>
      <c r="BT30" s="338">
        <f t="shared" si="31"/>
        <v>11362</v>
      </c>
      <c r="BU30" s="231">
        <f t="shared" si="29"/>
        <v>115.47782504702741</v>
      </c>
      <c r="BV30" s="231">
        <f t="shared" si="27"/>
        <v>170.60057648301355</v>
      </c>
      <c r="BW30" s="231">
        <f t="shared" ref="BW30" si="39">AP30/BT30</f>
        <v>197.00583524027459</v>
      </c>
      <c r="BX30" s="231">
        <f t="shared" si="30"/>
        <v>5.4573141702634507</v>
      </c>
      <c r="BY30" s="231">
        <v>4</v>
      </c>
      <c r="BZ30" s="231">
        <v>6.17</v>
      </c>
      <c r="CA30" s="231">
        <v>12.04</v>
      </c>
      <c r="CB30" s="231">
        <f t="shared" si="28"/>
        <v>5.8699999999999992</v>
      </c>
      <c r="CC30" s="231">
        <v>10.61</v>
      </c>
      <c r="CD30" s="231">
        <v>13.79</v>
      </c>
      <c r="CE30" s="231">
        <f t="shared" si="26"/>
        <v>3.1799999999999997</v>
      </c>
    </row>
    <row r="31" spans="1:83" s="153" customFormat="1" ht="9" customHeight="1">
      <c r="A31" s="152"/>
      <c r="B31" s="152"/>
      <c r="C31" s="9"/>
      <c r="D31" s="9"/>
      <c r="E31" s="9"/>
      <c r="F31" s="9"/>
      <c r="G31" s="9"/>
      <c r="H31" s="152"/>
      <c r="I31" s="1371" t="s">
        <v>565</v>
      </c>
      <c r="J31" s="411">
        <v>300725.8</v>
      </c>
      <c r="K31" s="411">
        <v>1958.4</v>
      </c>
      <c r="L31" s="411">
        <f t="shared" si="5"/>
        <v>302684.2</v>
      </c>
      <c r="M31" s="411">
        <v>25317.3</v>
      </c>
      <c r="N31" s="411">
        <f t="shared" si="6"/>
        <v>277366.90000000002</v>
      </c>
      <c r="O31" s="411">
        <v>33685.300000000003</v>
      </c>
      <c r="P31" s="411">
        <v>120437.2</v>
      </c>
      <c r="Q31" s="411">
        <v>193751</v>
      </c>
      <c r="R31" s="411">
        <v>1626346.9</v>
      </c>
      <c r="S31" s="411">
        <f t="shared" si="7"/>
        <v>1820097.9</v>
      </c>
      <c r="T31" s="411">
        <f t="shared" si="8"/>
        <v>1940535.0999999999</v>
      </c>
      <c r="U31" s="411">
        <v>518.6</v>
      </c>
      <c r="V31" s="411">
        <v>380645.5</v>
      </c>
      <c r="W31" s="411">
        <f t="shared" si="32"/>
        <v>471636.5</v>
      </c>
      <c r="X31" s="411">
        <f t="shared" si="33"/>
        <v>2097983.4</v>
      </c>
      <c r="Y31" s="411">
        <v>2473991.6448999997</v>
      </c>
      <c r="Z31" s="1048" t="s">
        <v>565</v>
      </c>
      <c r="AA31" s="411">
        <v>0</v>
      </c>
      <c r="AB31" s="411">
        <v>57501.8</v>
      </c>
      <c r="AC31" s="411">
        <v>1654510.6</v>
      </c>
      <c r="AD31" s="411">
        <f t="shared" si="11"/>
        <v>1712012.4000000001</v>
      </c>
      <c r="AE31" s="411">
        <v>0</v>
      </c>
      <c r="AF31" s="411">
        <v>456.6</v>
      </c>
      <c r="AG31" s="411">
        <v>28709.200000000001</v>
      </c>
      <c r="AH31" s="411">
        <f t="shared" si="12"/>
        <v>29165.8</v>
      </c>
      <c r="AI31" s="411">
        <v>25166.1</v>
      </c>
      <c r="AJ31" s="411">
        <v>487633.4</v>
      </c>
      <c r="AK31" s="411">
        <v>29367.1</v>
      </c>
      <c r="AL31" s="411">
        <f t="shared" ref="AL31" si="40">AJ31+AK31</f>
        <v>517000.5</v>
      </c>
      <c r="AM31" s="411">
        <f t="shared" ref="AM31" si="41">AA31+AE31+AI31</f>
        <v>25166.1</v>
      </c>
      <c r="AN31" s="411">
        <f t="shared" ref="AN31" si="42">AB31+AF31+AJ31</f>
        <v>545591.80000000005</v>
      </c>
      <c r="AO31" s="411">
        <f t="shared" ref="AO31" si="43">AC31+AG31+AK31</f>
        <v>1712586.9000000001</v>
      </c>
      <c r="AP31" s="411">
        <f t="shared" ref="AP31" si="44">AD31+AH31+AL31</f>
        <v>2258178.7000000002</v>
      </c>
      <c r="AQ31" s="1048" t="s">
        <v>565</v>
      </c>
      <c r="AR31" s="411">
        <v>15465.3</v>
      </c>
      <c r="AS31" s="411">
        <v>188898.2</v>
      </c>
      <c r="AT31" s="411">
        <v>36768.5</v>
      </c>
      <c r="AU31" s="411">
        <v>572.4</v>
      </c>
      <c r="AV31" s="411">
        <f>1952333-7.117</f>
        <v>1952325.8829999999</v>
      </c>
      <c r="AW31" s="411">
        <v>18308.2</v>
      </c>
      <c r="AX31" s="411">
        <f t="shared" si="15"/>
        <v>1970634.0829999999</v>
      </c>
      <c r="AY31" s="411">
        <f t="shared" si="16"/>
        <v>78825.363319999989</v>
      </c>
      <c r="AZ31" s="411">
        <f>BA31-AY31</f>
        <v>-1384.3385199999902</v>
      </c>
      <c r="BA31" s="411">
        <f>77442.7-1.6752</f>
        <v>77441.024799999999</v>
      </c>
      <c r="BB31" s="411">
        <v>4932042.5999999996</v>
      </c>
      <c r="BC31" s="411">
        <f>L31+BA31</f>
        <v>380125.22480000003</v>
      </c>
      <c r="BD31" s="411">
        <v>24558.5</v>
      </c>
      <c r="BE31" s="411">
        <v>67193.399999999994</v>
      </c>
      <c r="BF31" s="411">
        <v>17970.3</v>
      </c>
      <c r="BG31" s="411">
        <v>483688.2</v>
      </c>
      <c r="BH31" s="411">
        <f t="shared" si="19"/>
        <v>593410.4</v>
      </c>
      <c r="BI31" s="1048" t="s">
        <v>565</v>
      </c>
      <c r="BJ31" s="401">
        <v>7.66</v>
      </c>
      <c r="BK31" s="401">
        <v>3.35</v>
      </c>
      <c r="BL31" s="401">
        <v>4.91</v>
      </c>
      <c r="BM31" s="401">
        <v>5.43</v>
      </c>
      <c r="BN31" s="401">
        <v>3.18</v>
      </c>
      <c r="BO31" s="256" t="s">
        <v>292</v>
      </c>
      <c r="BP31" s="257">
        <v>3843</v>
      </c>
      <c r="BQ31" s="257">
        <v>1543</v>
      </c>
      <c r="BR31" s="257">
        <v>5915</v>
      </c>
      <c r="BS31" s="257">
        <v>63</v>
      </c>
      <c r="BT31" s="257">
        <f t="shared" si="31"/>
        <v>11364</v>
      </c>
      <c r="BU31" s="256">
        <f t="shared" si="29"/>
        <v>115.66607397172946</v>
      </c>
      <c r="BV31" s="256">
        <f t="shared" ref="BV31" si="45">AV31/BT31</f>
        <v>171.79918013023581</v>
      </c>
      <c r="BW31" s="256">
        <f t="shared" ref="BW31" si="46">AP31/BT31</f>
        <v>198.7133667722633</v>
      </c>
      <c r="BX31" s="256">
        <f t="shared" si="30"/>
        <v>5.2633797305447088</v>
      </c>
      <c r="BY31" s="256">
        <v>4</v>
      </c>
      <c r="BZ31" s="256">
        <v>6.23</v>
      </c>
      <c r="CA31" s="256">
        <v>12.05</v>
      </c>
      <c r="CB31" s="256">
        <f t="shared" si="28"/>
        <v>5.82</v>
      </c>
      <c r="CC31" s="256">
        <v>10.65</v>
      </c>
      <c r="CD31" s="256">
        <v>13.82</v>
      </c>
      <c r="CE31" s="256">
        <f t="shared" si="26"/>
        <v>3.17</v>
      </c>
    </row>
    <row r="32" spans="1:83" s="153" customFormat="1" ht="9" customHeight="1">
      <c r="A32" s="152"/>
      <c r="B32" s="152"/>
      <c r="C32" s="9"/>
      <c r="D32" s="9"/>
      <c r="E32" s="9"/>
      <c r="F32" s="9"/>
      <c r="G32" s="9"/>
      <c r="H32" s="152"/>
      <c r="I32" s="1370" t="s">
        <v>566</v>
      </c>
      <c r="J32" s="416">
        <v>317986.2</v>
      </c>
      <c r="K32" s="416">
        <v>1962.9</v>
      </c>
      <c r="L32" s="416">
        <f t="shared" si="5"/>
        <v>319949.10000000003</v>
      </c>
      <c r="M32" s="416">
        <v>26170.5</v>
      </c>
      <c r="N32" s="416">
        <f t="shared" si="6"/>
        <v>293778.60000000003</v>
      </c>
      <c r="O32" s="416">
        <v>33573.599999999999</v>
      </c>
      <c r="P32" s="416">
        <v>120040.5</v>
      </c>
      <c r="Q32" s="416">
        <v>195239.5</v>
      </c>
      <c r="R32" s="416">
        <v>1636825.7</v>
      </c>
      <c r="S32" s="416">
        <f t="shared" si="7"/>
        <v>1832065.2</v>
      </c>
      <c r="T32" s="416">
        <f t="shared" si="8"/>
        <v>1952105.7</v>
      </c>
      <c r="U32" s="416">
        <v>506.8</v>
      </c>
      <c r="V32" s="416">
        <v>398848.5</v>
      </c>
      <c r="W32" s="416">
        <f t="shared" si="32"/>
        <v>489524.9</v>
      </c>
      <c r="X32" s="416">
        <f t="shared" si="33"/>
        <v>2126350.6</v>
      </c>
      <c r="Y32" s="416">
        <v>2504847.0999999996</v>
      </c>
      <c r="Z32" s="838" t="s">
        <v>566</v>
      </c>
      <c r="AA32" s="416">
        <v>0</v>
      </c>
      <c r="AB32" s="416">
        <v>58263.5</v>
      </c>
      <c r="AC32" s="416">
        <v>1671855.8</v>
      </c>
      <c r="AD32" s="416">
        <f t="shared" si="11"/>
        <v>1730119.3</v>
      </c>
      <c r="AE32" s="416">
        <v>0</v>
      </c>
      <c r="AF32" s="416">
        <v>453.1</v>
      </c>
      <c r="AG32" s="416">
        <v>28344.400000000001</v>
      </c>
      <c r="AH32" s="416">
        <f t="shared" si="12"/>
        <v>28797.5</v>
      </c>
      <c r="AI32" s="416">
        <v>24831.3</v>
      </c>
      <c r="AJ32" s="416">
        <v>496788.4</v>
      </c>
      <c r="AK32" s="416">
        <v>29257.9</v>
      </c>
      <c r="AL32" s="416">
        <f t="shared" ref="AL32" si="47">AJ32+AK32</f>
        <v>526046.30000000005</v>
      </c>
      <c r="AM32" s="416">
        <f t="shared" ref="AM32" si="48">AA32+AE32+AI32</f>
        <v>24831.3</v>
      </c>
      <c r="AN32" s="416">
        <f t="shared" ref="AN32" si="49">AB32+AF32+AJ32</f>
        <v>555505</v>
      </c>
      <c r="AO32" s="416">
        <f t="shared" ref="AO32" si="50">AC32+AG32+AK32</f>
        <v>1729458.0999999999</v>
      </c>
      <c r="AP32" s="416">
        <f t="shared" ref="AP32" si="51">AD32+AH32+AL32</f>
        <v>2284963.1</v>
      </c>
      <c r="AQ32" s="838" t="s">
        <v>566</v>
      </c>
      <c r="AR32" s="416">
        <v>15963.8</v>
      </c>
      <c r="AS32" s="416">
        <v>196622</v>
      </c>
      <c r="AT32" s="416">
        <v>34310.699999999997</v>
      </c>
      <c r="AU32" s="416">
        <v>334.2</v>
      </c>
      <c r="AV32" s="416">
        <f>1964448.5-7.48</f>
        <v>1964441.02</v>
      </c>
      <c r="AW32" s="416">
        <v>18130.900000000001</v>
      </c>
      <c r="AX32" s="416">
        <f t="shared" si="15"/>
        <v>1982571.92</v>
      </c>
      <c r="AY32" s="416">
        <f t="shared" si="16"/>
        <v>79302.876799999998</v>
      </c>
      <c r="AZ32" s="416">
        <f>BA32-AY32</f>
        <v>-911.7381999999925</v>
      </c>
      <c r="BA32" s="416">
        <f>78392.6-1.4614</f>
        <v>78391.138600000006</v>
      </c>
      <c r="BB32" s="416">
        <v>5006435.4000000004</v>
      </c>
      <c r="BC32" s="416">
        <f>L32+BA32</f>
        <v>398340.23860000004</v>
      </c>
      <c r="BD32" s="416">
        <v>29233.1</v>
      </c>
      <c r="BE32" s="416">
        <v>65160.4</v>
      </c>
      <c r="BF32" s="416">
        <v>18813.7</v>
      </c>
      <c r="BG32" s="416">
        <v>492878</v>
      </c>
      <c r="BH32" s="416">
        <f t="shared" si="19"/>
        <v>606085.19999999995</v>
      </c>
      <c r="BI32" s="838" t="s">
        <v>566</v>
      </c>
      <c r="BJ32" s="495">
        <v>10.69</v>
      </c>
      <c r="BK32" s="495">
        <v>3.12</v>
      </c>
      <c r="BL32" s="495">
        <v>5.94</v>
      </c>
      <c r="BM32" s="495">
        <v>6.83</v>
      </c>
      <c r="BN32" s="495">
        <v>4.58</v>
      </c>
      <c r="BO32" s="231" t="s">
        <v>292</v>
      </c>
      <c r="BP32" s="338">
        <v>3843</v>
      </c>
      <c r="BQ32" s="338">
        <v>1543</v>
      </c>
      <c r="BR32" s="338">
        <v>5917</v>
      </c>
      <c r="BS32" s="338">
        <v>63</v>
      </c>
      <c r="BT32" s="338">
        <f t="shared" si="31"/>
        <v>11366</v>
      </c>
      <c r="BU32" s="231">
        <f t="shared" ref="BU32" si="52">AP32/AV32*100</f>
        <v>116.31619767337173</v>
      </c>
      <c r="BV32" s="231">
        <f t="shared" ref="BV32" si="53">AV32/BT32</f>
        <v>172.83486010909732</v>
      </c>
      <c r="BW32" s="231">
        <f>AP32/BT32</f>
        <v>201.03493753299315</v>
      </c>
      <c r="BX32" s="231">
        <f t="shared" si="30"/>
        <v>5.3227171259129991</v>
      </c>
      <c r="BY32" s="231">
        <v>4</v>
      </c>
      <c r="BZ32" s="231">
        <v>6.29</v>
      </c>
      <c r="CA32" s="231">
        <v>12.11</v>
      </c>
      <c r="CB32" s="231">
        <f t="shared" si="28"/>
        <v>5.8199999999999994</v>
      </c>
      <c r="CC32" s="231">
        <v>10.69</v>
      </c>
      <c r="CD32" s="231">
        <v>13.85</v>
      </c>
      <c r="CE32" s="231">
        <f t="shared" si="26"/>
        <v>3.16</v>
      </c>
    </row>
    <row r="33" spans="1:87" s="153" customFormat="1" ht="9" customHeight="1">
      <c r="A33" s="152"/>
      <c r="B33" s="152"/>
      <c r="C33" s="9"/>
      <c r="D33" s="9"/>
      <c r="E33" s="9"/>
      <c r="F33" s="9"/>
      <c r="G33" s="9"/>
      <c r="H33" s="152"/>
      <c r="I33" s="1371" t="s">
        <v>557</v>
      </c>
      <c r="J33" s="411">
        <v>324728.5</v>
      </c>
      <c r="K33" s="411">
        <v>1968.1</v>
      </c>
      <c r="L33" s="411">
        <f t="shared" si="5"/>
        <v>326696.59999999998</v>
      </c>
      <c r="M33" s="411">
        <v>30244.7</v>
      </c>
      <c r="N33" s="411">
        <f t="shared" si="6"/>
        <v>296451.89999999997</v>
      </c>
      <c r="O33" s="411">
        <v>37852.800000000003</v>
      </c>
      <c r="P33" s="411">
        <v>120252.5</v>
      </c>
      <c r="Q33" s="411">
        <v>213109.9</v>
      </c>
      <c r="R33" s="411">
        <v>1664454.7</v>
      </c>
      <c r="S33" s="411">
        <f t="shared" ref="S33:S38" si="54">Q33+R33</f>
        <v>1877564.5999999999</v>
      </c>
      <c r="T33" s="411">
        <f t="shared" ref="T33:T38" si="55">P33+S33</f>
        <v>1997817.0999999999</v>
      </c>
      <c r="U33" s="411">
        <v>605.20000000000005</v>
      </c>
      <c r="V33" s="411">
        <v>413179</v>
      </c>
      <c r="W33" s="411">
        <f t="shared" ref="W33" si="56">N33+Q33+U33</f>
        <v>510166.99999999994</v>
      </c>
      <c r="X33" s="411">
        <f t="shared" ref="X33" si="57">R33+W33</f>
        <v>2174621.6999999997</v>
      </c>
      <c r="Y33" s="411">
        <v>2552900.8000000003</v>
      </c>
      <c r="Z33" s="1048" t="s">
        <v>557</v>
      </c>
      <c r="AA33" s="411">
        <v>0</v>
      </c>
      <c r="AB33" s="411">
        <v>53989.5</v>
      </c>
      <c r="AC33" s="411">
        <v>1681592.8</v>
      </c>
      <c r="AD33" s="411">
        <f t="shared" si="11"/>
        <v>1735582.3</v>
      </c>
      <c r="AE33" s="411">
        <v>0</v>
      </c>
      <c r="AF33" s="411">
        <v>448.5</v>
      </c>
      <c r="AG33" s="411">
        <v>28082.2</v>
      </c>
      <c r="AH33" s="411">
        <f t="shared" si="12"/>
        <v>28530.7</v>
      </c>
      <c r="AI33" s="411">
        <v>25427.4</v>
      </c>
      <c r="AJ33" s="411">
        <v>523929.59999999998</v>
      </c>
      <c r="AK33" s="411">
        <v>28724.2</v>
      </c>
      <c r="AL33" s="411">
        <f t="shared" ref="AL33" si="58">AJ33+AK33</f>
        <v>552653.79999999993</v>
      </c>
      <c r="AM33" s="411">
        <f t="shared" ref="AM33" si="59">AA33+AE33+AI33</f>
        <v>25427.4</v>
      </c>
      <c r="AN33" s="411">
        <f t="shared" ref="AN33" si="60">AB33+AF33+AJ33</f>
        <v>578367.6</v>
      </c>
      <c r="AO33" s="411">
        <f t="shared" ref="AO33" si="61">AC33+AG33+AK33</f>
        <v>1738399.2</v>
      </c>
      <c r="AP33" s="411">
        <f t="shared" ref="AP33" si="62">AD33+AH33+AL33</f>
        <v>2316766.7999999998</v>
      </c>
      <c r="AQ33" s="1048" t="s">
        <v>557</v>
      </c>
      <c r="AR33" s="411">
        <v>16534.8</v>
      </c>
      <c r="AS33" s="411">
        <v>197261.4</v>
      </c>
      <c r="AT33" s="411">
        <v>35027.300000000003</v>
      </c>
      <c r="AU33" s="411">
        <v>182.9</v>
      </c>
      <c r="AV33" s="411">
        <f>2010654.1-11.03</f>
        <v>2010643.07</v>
      </c>
      <c r="AW33" s="411">
        <v>18899.400000000001</v>
      </c>
      <c r="AX33" s="411">
        <f t="shared" si="15"/>
        <v>2029542.47</v>
      </c>
      <c r="AY33" s="411">
        <f t="shared" si="16"/>
        <v>81181.698799999998</v>
      </c>
      <c r="AZ33" s="411">
        <f>BA33-AY33</f>
        <v>4693.9682999999932</v>
      </c>
      <c r="BA33" s="411">
        <f>85877.2-1.5329</f>
        <v>85875.667099999991</v>
      </c>
      <c r="BB33" s="411">
        <v>5146852.3</v>
      </c>
      <c r="BC33" s="411">
        <f>L33+BA33</f>
        <v>412572.26709999994</v>
      </c>
      <c r="BD33" s="411">
        <v>23431.5</v>
      </c>
      <c r="BE33" s="411">
        <v>64010.7</v>
      </c>
      <c r="BF33" s="411">
        <v>17015.7</v>
      </c>
      <c r="BG33" s="411">
        <v>520021</v>
      </c>
      <c r="BH33" s="411">
        <f t="shared" si="19"/>
        <v>624478.89999999991</v>
      </c>
      <c r="BI33" s="1048" t="s">
        <v>557</v>
      </c>
      <c r="BJ33" s="401">
        <v>14.83</v>
      </c>
      <c r="BK33" s="401">
        <v>-1.88</v>
      </c>
      <c r="BL33" s="401">
        <v>6.49</v>
      </c>
      <c r="BM33" s="401">
        <v>7.97</v>
      </c>
      <c r="BN33" s="401">
        <v>6.95</v>
      </c>
      <c r="BO33" s="256" t="s">
        <v>292</v>
      </c>
      <c r="BP33" s="257">
        <v>3843</v>
      </c>
      <c r="BQ33" s="257">
        <v>1543</v>
      </c>
      <c r="BR33" s="257">
        <v>5923</v>
      </c>
      <c r="BS33" s="257">
        <v>63</v>
      </c>
      <c r="BT33" s="257">
        <f t="shared" si="31"/>
        <v>11372</v>
      </c>
      <c r="BU33" s="256">
        <f t="shared" ref="BU33" si="63">AP33/AV33*100</f>
        <v>115.22516525024005</v>
      </c>
      <c r="BV33" s="256">
        <f t="shared" ref="BV33" si="64">AV33/BT33</f>
        <v>176.80646060499473</v>
      </c>
      <c r="BW33" s="256">
        <f>AP33/BT33</f>
        <v>203.72553640520576</v>
      </c>
      <c r="BX33" s="256">
        <f t="shared" ref="BX33" si="65">(M33+BA33)/AV33*100</f>
        <v>5.7752849738765413</v>
      </c>
      <c r="BY33" s="256">
        <v>4</v>
      </c>
      <c r="BZ33" s="256">
        <v>6.26</v>
      </c>
      <c r="CA33" s="256">
        <v>12.08</v>
      </c>
      <c r="CB33" s="256">
        <f t="shared" si="28"/>
        <v>5.82</v>
      </c>
      <c r="CC33" s="256">
        <v>10.68</v>
      </c>
      <c r="CD33" s="256">
        <v>13.89</v>
      </c>
      <c r="CE33" s="256">
        <f t="shared" si="26"/>
        <v>3.2100000000000009</v>
      </c>
    </row>
    <row r="34" spans="1:87" s="153" customFormat="1" ht="10.5" customHeight="1">
      <c r="A34" s="152"/>
      <c r="B34" s="152"/>
      <c r="C34" s="9"/>
      <c r="D34" s="9"/>
      <c r="E34" s="9"/>
      <c r="F34" s="9"/>
      <c r="G34" s="9"/>
      <c r="H34" s="152"/>
      <c r="I34" s="763" t="s">
        <v>2664</v>
      </c>
      <c r="J34" s="490">
        <f>J46</f>
        <v>368286.6</v>
      </c>
      <c r="K34" s="490">
        <f>K46</f>
        <v>1981.9</v>
      </c>
      <c r="L34" s="490">
        <f t="shared" ref="L34:Y34" si="66">L46</f>
        <v>370268.5</v>
      </c>
      <c r="M34" s="490">
        <f t="shared" si="66"/>
        <v>33893.300000000003</v>
      </c>
      <c r="N34" s="490">
        <f t="shared" si="66"/>
        <v>336375.2</v>
      </c>
      <c r="O34" s="490">
        <f t="shared" si="66"/>
        <v>32966.1</v>
      </c>
      <c r="P34" s="490">
        <f t="shared" si="66"/>
        <v>126716.3</v>
      </c>
      <c r="Q34" s="490">
        <f t="shared" si="66"/>
        <v>227254.2</v>
      </c>
      <c r="R34" s="490">
        <f t="shared" si="66"/>
        <v>1852042.5</v>
      </c>
      <c r="S34" s="490">
        <f t="shared" si="66"/>
        <v>2079296.7</v>
      </c>
      <c r="T34" s="490">
        <f t="shared" si="66"/>
        <v>2206013</v>
      </c>
      <c r="U34" s="490">
        <f t="shared" si="66"/>
        <v>614.4</v>
      </c>
      <c r="V34" s="490">
        <f t="shared" si="66"/>
        <v>476368.6</v>
      </c>
      <c r="W34" s="490">
        <f t="shared" si="66"/>
        <v>564243.80000000005</v>
      </c>
      <c r="X34" s="490">
        <f t="shared" si="66"/>
        <v>2416286.2999999998</v>
      </c>
      <c r="Y34" s="490">
        <f t="shared" si="66"/>
        <v>2795588.5999999996</v>
      </c>
      <c r="Z34" s="763" t="s">
        <v>2664</v>
      </c>
      <c r="AA34" s="490">
        <f t="shared" ref="AA34:AP34" si="67">AA46</f>
        <v>0</v>
      </c>
      <c r="AB34" s="490">
        <f t="shared" si="67"/>
        <v>54174.5</v>
      </c>
      <c r="AC34" s="490">
        <f t="shared" si="67"/>
        <v>1757178</v>
      </c>
      <c r="AD34" s="490">
        <f t="shared" si="67"/>
        <v>1811352.5</v>
      </c>
      <c r="AE34" s="490">
        <f t="shared" si="67"/>
        <v>0</v>
      </c>
      <c r="AF34" s="490">
        <f t="shared" si="67"/>
        <v>413.9</v>
      </c>
      <c r="AG34" s="490">
        <f t="shared" si="67"/>
        <v>26958.799999999999</v>
      </c>
      <c r="AH34" s="490">
        <f t="shared" si="67"/>
        <v>27372.7</v>
      </c>
      <c r="AI34" s="490">
        <f t="shared" si="67"/>
        <v>24996.6</v>
      </c>
      <c r="AJ34" s="490">
        <f t="shared" si="67"/>
        <v>698071.6</v>
      </c>
      <c r="AK34" s="490">
        <f t="shared" si="67"/>
        <v>32950.6</v>
      </c>
      <c r="AL34" s="490">
        <f t="shared" si="67"/>
        <v>731022.2</v>
      </c>
      <c r="AM34" s="490">
        <f t="shared" si="67"/>
        <v>24996.6</v>
      </c>
      <c r="AN34" s="490">
        <f t="shared" si="67"/>
        <v>752660</v>
      </c>
      <c r="AO34" s="490">
        <f t="shared" si="67"/>
        <v>1817087.4000000001</v>
      </c>
      <c r="AP34" s="490">
        <f t="shared" si="67"/>
        <v>2569747.4</v>
      </c>
      <c r="AQ34" s="763" t="s">
        <v>2664</v>
      </c>
      <c r="AR34" s="490">
        <f t="shared" ref="AR34:BH34" si="68">AR46</f>
        <v>17253.400000000001</v>
      </c>
      <c r="AS34" s="490">
        <f t="shared" si="68"/>
        <v>228765.7</v>
      </c>
      <c r="AT34" s="490">
        <f t="shared" si="68"/>
        <v>30079.9</v>
      </c>
      <c r="AU34" s="490">
        <f t="shared" si="68"/>
        <v>349.2</v>
      </c>
      <c r="AV34" s="490">
        <f t="shared" si="68"/>
        <v>2221635.1562000001</v>
      </c>
      <c r="AW34" s="490">
        <f t="shared" si="68"/>
        <v>25839.200000000001</v>
      </c>
      <c r="AX34" s="490">
        <f>AX46</f>
        <v>2247474.3562000003</v>
      </c>
      <c r="AY34" s="490">
        <f t="shared" si="68"/>
        <v>89898.974248000013</v>
      </c>
      <c r="AZ34" s="490">
        <f t="shared" si="68"/>
        <v>15583.441551999989</v>
      </c>
      <c r="BA34" s="490">
        <f t="shared" si="68"/>
        <v>105482.4158</v>
      </c>
      <c r="BB34" s="490">
        <f t="shared" si="68"/>
        <v>6607380.4000000004</v>
      </c>
      <c r="BC34" s="490">
        <f t="shared" si="68"/>
        <v>475750.91580000002</v>
      </c>
      <c r="BD34" s="490">
        <f t="shared" si="68"/>
        <v>23697.3</v>
      </c>
      <c r="BE34" s="490">
        <f t="shared" si="68"/>
        <v>64777.4</v>
      </c>
      <c r="BF34" s="490">
        <f t="shared" si="68"/>
        <v>21900.6</v>
      </c>
      <c r="BG34" s="490">
        <f t="shared" si="68"/>
        <v>695134</v>
      </c>
      <c r="BH34" s="490">
        <f t="shared" si="68"/>
        <v>805509.3</v>
      </c>
      <c r="BI34" s="763" t="s">
        <v>2664</v>
      </c>
      <c r="BJ34" s="489">
        <f t="shared" ref="BJ34:CE34" si="69">BJ46</f>
        <v>34.510000000000005</v>
      </c>
      <c r="BK34" s="489">
        <f t="shared" si="69"/>
        <v>-10.72</v>
      </c>
      <c r="BL34" s="489">
        <f t="shared" si="69"/>
        <v>4.47</v>
      </c>
      <c r="BM34" s="489">
        <f t="shared" si="69"/>
        <v>10.57</v>
      </c>
      <c r="BN34" s="489">
        <f t="shared" si="69"/>
        <v>11.110000000000001</v>
      </c>
      <c r="BO34" s="489">
        <f>6120209.4/2416286.2</f>
        <v>2.5328992070558529</v>
      </c>
      <c r="BP34" s="557">
        <f t="shared" si="69"/>
        <v>3847</v>
      </c>
      <c r="BQ34" s="557">
        <f t="shared" si="69"/>
        <v>1543</v>
      </c>
      <c r="BR34" s="557">
        <f t="shared" si="69"/>
        <v>5972</v>
      </c>
      <c r="BS34" s="557">
        <f t="shared" si="69"/>
        <v>63</v>
      </c>
      <c r="BT34" s="557">
        <f t="shared" si="69"/>
        <v>11425</v>
      </c>
      <c r="BU34" s="489">
        <f t="shared" si="69"/>
        <v>115.66919045318984</v>
      </c>
      <c r="BV34" s="489">
        <f t="shared" si="69"/>
        <v>194.45384299343544</v>
      </c>
      <c r="BW34" s="489">
        <f t="shared" si="69"/>
        <v>224.92318599562361</v>
      </c>
      <c r="BX34" s="489">
        <f t="shared" si="69"/>
        <v>6.2735645594659859</v>
      </c>
      <c r="BY34" s="489">
        <f t="shared" si="69"/>
        <v>4</v>
      </c>
      <c r="BZ34" s="489">
        <f t="shared" si="69"/>
        <v>6.16</v>
      </c>
      <c r="CA34" s="489">
        <f t="shared" si="69"/>
        <v>11.86</v>
      </c>
      <c r="CB34" s="489">
        <f t="shared" si="69"/>
        <v>5.6999999999999993</v>
      </c>
      <c r="CC34" s="489">
        <f t="shared" si="69"/>
        <v>10.11</v>
      </c>
      <c r="CD34" s="489">
        <f t="shared" si="69"/>
        <v>13.76</v>
      </c>
      <c r="CE34" s="489">
        <f t="shared" si="69"/>
        <v>3.6500000000000004</v>
      </c>
    </row>
    <row r="35" spans="1:87" s="153" customFormat="1" ht="9" customHeight="1">
      <c r="A35" s="152"/>
      <c r="B35" s="152"/>
      <c r="C35" s="9"/>
      <c r="D35" s="9"/>
      <c r="E35" s="9"/>
      <c r="F35" s="9"/>
      <c r="G35" s="9"/>
      <c r="H35" s="152"/>
      <c r="I35" s="1371" t="s">
        <v>559</v>
      </c>
      <c r="J35" s="411">
        <v>313334.5</v>
      </c>
      <c r="K35" s="411">
        <v>1975.1</v>
      </c>
      <c r="L35" s="411">
        <f t="shared" si="5"/>
        <v>315309.59999999998</v>
      </c>
      <c r="M35" s="411">
        <v>28015.5</v>
      </c>
      <c r="N35" s="411">
        <f t="shared" si="6"/>
        <v>287294.09999999998</v>
      </c>
      <c r="O35" s="411">
        <v>35250.1</v>
      </c>
      <c r="P35" s="411">
        <v>117698.3</v>
      </c>
      <c r="Q35" s="411">
        <v>197558.39999999999</v>
      </c>
      <c r="R35" s="411">
        <v>1682549.5</v>
      </c>
      <c r="S35" s="411">
        <f t="shared" si="54"/>
        <v>1880107.9</v>
      </c>
      <c r="T35" s="411">
        <f t="shared" si="55"/>
        <v>1997806.2</v>
      </c>
      <c r="U35" s="411">
        <v>494</v>
      </c>
      <c r="V35" s="411">
        <v>399045.89999999997</v>
      </c>
      <c r="W35" s="411">
        <f t="shared" ref="W35:W41" si="70">N35+Q35+U35</f>
        <v>485346.5</v>
      </c>
      <c r="X35" s="411">
        <f t="shared" ref="X35:X41" si="71">R35+W35</f>
        <v>2167896</v>
      </c>
      <c r="Y35" s="411">
        <v>2546854.7999999998</v>
      </c>
      <c r="Z35" s="1371" t="s">
        <v>559</v>
      </c>
      <c r="AA35" s="411">
        <v>0</v>
      </c>
      <c r="AB35" s="411">
        <v>55502.1</v>
      </c>
      <c r="AC35" s="411">
        <v>1677712.5</v>
      </c>
      <c r="AD35" s="411">
        <f t="shared" si="11"/>
        <v>1733214.6</v>
      </c>
      <c r="AE35" s="411">
        <v>0</v>
      </c>
      <c r="AF35" s="411">
        <v>445.7</v>
      </c>
      <c r="AG35" s="411">
        <v>26793.8</v>
      </c>
      <c r="AH35" s="411">
        <f t="shared" ref="AH35:AH46" si="72">AF35+AG35</f>
        <v>27239.5</v>
      </c>
      <c r="AI35" s="411">
        <v>25109.200000000001</v>
      </c>
      <c r="AJ35" s="411">
        <v>530556.69999999995</v>
      </c>
      <c r="AK35" s="411">
        <v>28869.8</v>
      </c>
      <c r="AL35" s="411">
        <f t="shared" ref="AL35:AL40" si="73">AJ35+AK35</f>
        <v>559426.5</v>
      </c>
      <c r="AM35" s="411">
        <f t="shared" ref="AM35:AM38" si="74">AA35+AE35+AI35</f>
        <v>25109.200000000001</v>
      </c>
      <c r="AN35" s="411">
        <f t="shared" ref="AN35:AN38" si="75">AB35+AF35+AJ35</f>
        <v>586504.5</v>
      </c>
      <c r="AO35" s="411">
        <f t="shared" ref="AO35:AO38" si="76">AC35+AG35+AK35</f>
        <v>1733376.1</v>
      </c>
      <c r="AP35" s="411">
        <f t="shared" ref="AP35:AP41" si="77">AD35+AH35+AL35</f>
        <v>2319880.6</v>
      </c>
      <c r="AQ35" s="1371" t="s">
        <v>559</v>
      </c>
      <c r="AR35" s="411">
        <v>15987.3</v>
      </c>
      <c r="AS35" s="411">
        <v>185187.4</v>
      </c>
      <c r="AT35" s="411">
        <v>34960.6</v>
      </c>
      <c r="AU35" s="411">
        <v>180.9</v>
      </c>
      <c r="AV35" s="411">
        <f>2010898.3-10.73</f>
        <v>2010887.57</v>
      </c>
      <c r="AW35" s="411">
        <v>18547.8</v>
      </c>
      <c r="AX35" s="411">
        <f t="shared" si="15"/>
        <v>2029435.37</v>
      </c>
      <c r="AY35" s="411">
        <f t="shared" ref="AY35:AY40" si="78">0.04*AX35</f>
        <v>81177.414800000013</v>
      </c>
      <c r="AZ35" s="411">
        <f t="shared" ref="AZ35:AZ41" si="79">BA35-AY35</f>
        <v>2063.623299999992</v>
      </c>
      <c r="BA35" s="411">
        <f>83242.3-1.2619</f>
        <v>83241.038100000005</v>
      </c>
      <c r="BB35" s="411">
        <v>5131968.4000000004</v>
      </c>
      <c r="BC35" s="411">
        <f t="shared" ref="BC35:BC46" si="80">L35+BA35</f>
        <v>398550.63809999998</v>
      </c>
      <c r="BD35" s="411">
        <v>28230.9</v>
      </c>
      <c r="BE35" s="411">
        <v>60526.5</v>
      </c>
      <c r="BF35" s="411">
        <v>18783.400000000001</v>
      </c>
      <c r="BG35" s="411">
        <v>526648.6</v>
      </c>
      <c r="BH35" s="411">
        <f t="shared" si="19"/>
        <v>634189.4</v>
      </c>
      <c r="BI35" s="1371" t="s">
        <v>559</v>
      </c>
      <c r="BJ35" s="401">
        <v>2.64</v>
      </c>
      <c r="BK35" s="401">
        <v>0.53</v>
      </c>
      <c r="BL35" s="401">
        <v>-0.28999999999999998</v>
      </c>
      <c r="BM35" s="401">
        <v>0.36</v>
      </c>
      <c r="BN35" s="401">
        <v>-0.31</v>
      </c>
      <c r="BO35" s="256" t="s">
        <v>292</v>
      </c>
      <c r="BP35" s="257">
        <v>3843</v>
      </c>
      <c r="BQ35" s="257">
        <v>1543</v>
      </c>
      <c r="BR35" s="257">
        <v>5923</v>
      </c>
      <c r="BS35" s="257">
        <v>63</v>
      </c>
      <c r="BT35" s="257">
        <f t="shared" si="31"/>
        <v>11372</v>
      </c>
      <c r="BU35" s="401">
        <f t="shared" ref="BU35" si="81">AP35/AV35*100</f>
        <v>115.36600228723877</v>
      </c>
      <c r="BV35" s="401">
        <f t="shared" ref="BV35" si="82">AV35/BT35</f>
        <v>176.82796078086528</v>
      </c>
      <c r="BW35" s="401">
        <f t="shared" ref="BW35:BW40" si="83">AP35/BT35</f>
        <v>203.99934927893071</v>
      </c>
      <c r="BX35" s="401">
        <f t="shared" ref="BX35" si="84">(M35+BA35)/AV35*100</f>
        <v>5.5327080320059858</v>
      </c>
      <c r="BY35" s="256">
        <v>4</v>
      </c>
      <c r="BZ35" s="256">
        <v>6.39</v>
      </c>
      <c r="CA35" s="256">
        <v>12.14</v>
      </c>
      <c r="CB35" s="256">
        <f t="shared" ref="CB35:CB48" si="85">CA35-BZ35</f>
        <v>5.7500000000000009</v>
      </c>
      <c r="CC35" s="256">
        <v>10.69</v>
      </c>
      <c r="CD35" s="256">
        <v>13.87</v>
      </c>
      <c r="CE35" s="256">
        <f t="shared" ref="CE35:CE48" si="86">CD35-CC35</f>
        <v>3.1799999999999997</v>
      </c>
    </row>
    <row r="36" spans="1:87" s="153" customFormat="1" ht="9" customHeight="1">
      <c r="A36" s="152"/>
      <c r="B36" s="152"/>
      <c r="C36" s="9"/>
      <c r="D36" s="9"/>
      <c r="E36" s="9"/>
      <c r="F36" s="9"/>
      <c r="G36" s="9"/>
      <c r="H36" s="152"/>
      <c r="I36" s="1370" t="s">
        <v>560</v>
      </c>
      <c r="J36" s="416">
        <v>305011.8</v>
      </c>
      <c r="K36" s="416">
        <v>1983.8</v>
      </c>
      <c r="L36" s="416">
        <f t="shared" si="5"/>
        <v>306995.59999999998</v>
      </c>
      <c r="M36" s="416">
        <v>30501</v>
      </c>
      <c r="N36" s="416">
        <f t="shared" si="6"/>
        <v>276494.59999999998</v>
      </c>
      <c r="O36" s="416">
        <v>36827.199999999997</v>
      </c>
      <c r="P36" s="416">
        <v>122268.7</v>
      </c>
      <c r="Q36" s="416">
        <v>200808.4</v>
      </c>
      <c r="R36" s="416">
        <v>1703931.8</v>
      </c>
      <c r="S36" s="416">
        <f t="shared" si="54"/>
        <v>1904740.2</v>
      </c>
      <c r="T36" s="416">
        <f t="shared" si="55"/>
        <v>2027008.9</v>
      </c>
      <c r="U36" s="416">
        <v>530.29999999999995</v>
      </c>
      <c r="V36" s="416">
        <v>390508.3</v>
      </c>
      <c r="W36" s="416">
        <f t="shared" si="70"/>
        <v>477833.3</v>
      </c>
      <c r="X36" s="416">
        <f t="shared" si="71"/>
        <v>2181765.1</v>
      </c>
      <c r="Y36" s="416">
        <v>2560875.3000000003</v>
      </c>
      <c r="Z36" s="1370" t="s">
        <v>560</v>
      </c>
      <c r="AA36" s="416">
        <v>0</v>
      </c>
      <c r="AB36" s="416">
        <v>55250.8</v>
      </c>
      <c r="AC36" s="416">
        <v>1680788.8</v>
      </c>
      <c r="AD36" s="416">
        <f t="shared" si="11"/>
        <v>1736039.6</v>
      </c>
      <c r="AE36" s="416">
        <v>0</v>
      </c>
      <c r="AF36" s="416">
        <v>444.1</v>
      </c>
      <c r="AG36" s="416">
        <v>28035.5</v>
      </c>
      <c r="AH36" s="416">
        <f t="shared" si="72"/>
        <v>28479.599999999999</v>
      </c>
      <c r="AI36" s="416">
        <v>25205</v>
      </c>
      <c r="AJ36" s="416">
        <v>541821.5</v>
      </c>
      <c r="AK36" s="416">
        <v>29224.2</v>
      </c>
      <c r="AL36" s="416">
        <f t="shared" si="73"/>
        <v>571045.69999999995</v>
      </c>
      <c r="AM36" s="416">
        <f t="shared" si="74"/>
        <v>25205</v>
      </c>
      <c r="AN36" s="416">
        <f t="shared" si="75"/>
        <v>597516.4</v>
      </c>
      <c r="AO36" s="416">
        <f t="shared" si="76"/>
        <v>1738048.5</v>
      </c>
      <c r="AP36" s="416">
        <f t="shared" si="77"/>
        <v>2335564.9000000004</v>
      </c>
      <c r="AQ36" s="1370" t="s">
        <v>560</v>
      </c>
      <c r="AR36" s="416">
        <v>14913.3</v>
      </c>
      <c r="AS36" s="416">
        <v>175931</v>
      </c>
      <c r="AT36" s="416">
        <v>33610.300000000003</v>
      </c>
      <c r="AU36" s="416">
        <v>307.89999999999998</v>
      </c>
      <c r="AV36" s="416">
        <f>2040586.2-11.16</f>
        <v>2040575.04</v>
      </c>
      <c r="AW36" s="416">
        <v>17063.5</v>
      </c>
      <c r="AX36" s="416">
        <f t="shared" si="15"/>
        <v>2057638.54</v>
      </c>
      <c r="AY36" s="416">
        <f t="shared" si="78"/>
        <v>82305.541599999997</v>
      </c>
      <c r="AZ36" s="416">
        <f t="shared" si="79"/>
        <v>673.97269999999844</v>
      </c>
      <c r="BA36" s="416">
        <f>82982.4-2.8857</f>
        <v>82979.514299999995</v>
      </c>
      <c r="BB36" s="416">
        <f>5227311.5</f>
        <v>5227311.5</v>
      </c>
      <c r="BC36" s="416">
        <f t="shared" si="80"/>
        <v>389975.11429999996</v>
      </c>
      <c r="BD36" s="416">
        <v>17887.900000000001</v>
      </c>
      <c r="BE36" s="416">
        <v>60585.9</v>
      </c>
      <c r="BF36" s="416">
        <v>18481.3</v>
      </c>
      <c r="BG36" s="416">
        <v>537888.19999999995</v>
      </c>
      <c r="BH36" s="416">
        <f t="shared" si="19"/>
        <v>634843.30000000005</v>
      </c>
      <c r="BI36" s="1370" t="s">
        <v>560</v>
      </c>
      <c r="BJ36" s="495">
        <v>1.79</v>
      </c>
      <c r="BK36" s="495">
        <v>0.08</v>
      </c>
      <c r="BL36" s="495">
        <v>-0.03</v>
      </c>
      <c r="BM36" s="495">
        <v>0.36</v>
      </c>
      <c r="BN36" s="495">
        <v>0.33</v>
      </c>
      <c r="BO36" s="231" t="s">
        <v>292</v>
      </c>
      <c r="BP36" s="338">
        <v>3843</v>
      </c>
      <c r="BQ36" s="338">
        <v>1543</v>
      </c>
      <c r="BR36" s="338">
        <v>5923</v>
      </c>
      <c r="BS36" s="338">
        <v>63</v>
      </c>
      <c r="BT36" s="338">
        <f t="shared" si="31"/>
        <v>11372</v>
      </c>
      <c r="BU36" s="231">
        <f t="shared" ref="BU36" si="87">AP36/AV36*100</f>
        <v>114.45621230376317</v>
      </c>
      <c r="BV36" s="231">
        <f t="shared" ref="BV36" si="88">AV36/BT36</f>
        <v>179.43853675694689</v>
      </c>
      <c r="BW36" s="231">
        <f t="shared" si="83"/>
        <v>205.37855258529726</v>
      </c>
      <c r="BX36" s="231">
        <f t="shared" ref="BX36" si="89">(M36+BA36)/AV36*100</f>
        <v>5.5612027039201646</v>
      </c>
      <c r="BY36" s="231">
        <v>4</v>
      </c>
      <c r="BZ36" s="231">
        <v>6.39</v>
      </c>
      <c r="CA36" s="231">
        <v>12.15</v>
      </c>
      <c r="CB36" s="231">
        <f t="shared" si="85"/>
        <v>5.7600000000000007</v>
      </c>
      <c r="CC36" s="231">
        <v>10.68</v>
      </c>
      <c r="CD36" s="231">
        <v>13.87</v>
      </c>
      <c r="CE36" s="231">
        <f t="shared" si="86"/>
        <v>3.1899999999999995</v>
      </c>
    </row>
    <row r="37" spans="1:87" s="153" customFormat="1" ht="9" customHeight="1">
      <c r="A37" s="152"/>
      <c r="B37" s="152"/>
      <c r="C37" s="9"/>
      <c r="D37" s="9"/>
      <c r="E37" s="9"/>
      <c r="F37" s="9"/>
      <c r="G37" s="9"/>
      <c r="H37" s="152"/>
      <c r="I37" s="1371" t="s">
        <v>554</v>
      </c>
      <c r="J37" s="411">
        <v>301494.40000000002</v>
      </c>
      <c r="K37" s="411">
        <v>1991.5</v>
      </c>
      <c r="L37" s="411">
        <f t="shared" si="5"/>
        <v>303485.90000000002</v>
      </c>
      <c r="M37" s="411">
        <v>28761.7</v>
      </c>
      <c r="N37" s="411">
        <f t="shared" si="6"/>
        <v>274724.2</v>
      </c>
      <c r="O37" s="411">
        <v>37736.300000000003</v>
      </c>
      <c r="P37" s="411">
        <v>120286.2</v>
      </c>
      <c r="Q37" s="411">
        <v>195654.8</v>
      </c>
      <c r="R37" s="411">
        <v>1719089.7</v>
      </c>
      <c r="S37" s="411">
        <f t="shared" si="54"/>
        <v>1914744.5</v>
      </c>
      <c r="T37" s="411">
        <f t="shared" si="55"/>
        <v>2035030.7</v>
      </c>
      <c r="U37" s="411">
        <v>518.4</v>
      </c>
      <c r="V37" s="411">
        <v>388196.4</v>
      </c>
      <c r="W37" s="411">
        <f t="shared" si="70"/>
        <v>470897.4</v>
      </c>
      <c r="X37" s="411">
        <f t="shared" si="71"/>
        <v>2189987.1</v>
      </c>
      <c r="Y37" s="411">
        <v>2568885.4999999995</v>
      </c>
      <c r="Z37" s="1371" t="s">
        <v>554</v>
      </c>
      <c r="AA37" s="411">
        <v>0</v>
      </c>
      <c r="AB37" s="411">
        <v>53393.8</v>
      </c>
      <c r="AC37" s="411">
        <v>1689460.7</v>
      </c>
      <c r="AD37" s="411">
        <f t="shared" si="11"/>
        <v>1742854.5</v>
      </c>
      <c r="AE37" s="411">
        <v>0</v>
      </c>
      <c r="AF37" s="411">
        <v>437.9</v>
      </c>
      <c r="AG37" s="411">
        <v>28337.4</v>
      </c>
      <c r="AH37" s="411">
        <f t="shared" si="72"/>
        <v>28775.300000000003</v>
      </c>
      <c r="AI37" s="411">
        <v>24761</v>
      </c>
      <c r="AJ37" s="411">
        <v>555244.30000000005</v>
      </c>
      <c r="AK37" s="411">
        <v>29429.599999999999</v>
      </c>
      <c r="AL37" s="411">
        <f t="shared" si="73"/>
        <v>584673.9</v>
      </c>
      <c r="AM37" s="411">
        <f t="shared" si="74"/>
        <v>24761</v>
      </c>
      <c r="AN37" s="411">
        <f t="shared" si="75"/>
        <v>609076</v>
      </c>
      <c r="AO37" s="411">
        <f t="shared" si="76"/>
        <v>1747227.7</v>
      </c>
      <c r="AP37" s="411">
        <f t="shared" si="77"/>
        <v>2356303.7000000002</v>
      </c>
      <c r="AQ37" s="1371" t="s">
        <v>554</v>
      </c>
      <c r="AR37" s="411">
        <v>14231.5</v>
      </c>
      <c r="AS37" s="411">
        <v>173829</v>
      </c>
      <c r="AT37" s="411">
        <v>33593.4</v>
      </c>
      <c r="AU37" s="411">
        <v>239.5</v>
      </c>
      <c r="AV37" s="411">
        <f>2048443.4-11.1</f>
        <v>2048432.2999999998</v>
      </c>
      <c r="AW37" s="411">
        <v>21321.9</v>
      </c>
      <c r="AX37" s="411">
        <f t="shared" si="15"/>
        <v>2069754.1999999997</v>
      </c>
      <c r="AY37" s="411">
        <f t="shared" si="78"/>
        <v>82790.167999999991</v>
      </c>
      <c r="AZ37" s="411">
        <f t="shared" si="79"/>
        <v>1399.8819000000221</v>
      </c>
      <c r="BA37" s="411">
        <f>84192.1-2.0501</f>
        <v>84190.049900000013</v>
      </c>
      <c r="BB37" s="411">
        <v>5330322.2</v>
      </c>
      <c r="BC37" s="411">
        <f t="shared" si="80"/>
        <v>387675.94990000001</v>
      </c>
      <c r="BD37" s="411">
        <v>24740.7</v>
      </c>
      <c r="BE37" s="411">
        <v>60611.4</v>
      </c>
      <c r="BF37" s="411">
        <v>17551</v>
      </c>
      <c r="BG37" s="411">
        <v>551383.4</v>
      </c>
      <c r="BH37" s="411">
        <f t="shared" si="19"/>
        <v>654286.5</v>
      </c>
      <c r="BI37" s="1371" t="s">
        <v>554</v>
      </c>
      <c r="BJ37" s="401">
        <v>6.02</v>
      </c>
      <c r="BK37" s="401">
        <v>-2</v>
      </c>
      <c r="BL37" s="401">
        <v>0.48</v>
      </c>
      <c r="BM37" s="401">
        <v>1.61</v>
      </c>
      <c r="BN37" s="401">
        <v>0.71</v>
      </c>
      <c r="BO37" s="256" t="s">
        <v>292</v>
      </c>
      <c r="BP37" s="257">
        <v>3843</v>
      </c>
      <c r="BQ37" s="257">
        <v>1543</v>
      </c>
      <c r="BR37" s="257">
        <v>5925</v>
      </c>
      <c r="BS37" s="257">
        <v>63</v>
      </c>
      <c r="BT37" s="257">
        <f t="shared" si="31"/>
        <v>11374</v>
      </c>
      <c r="BU37" s="256">
        <f t="shared" ref="BU37:BU38" si="90">AP37/AV37*100</f>
        <v>115.02961069301634</v>
      </c>
      <c r="BV37" s="256">
        <f t="shared" ref="BV37" si="91">AV37/BT37</f>
        <v>180.09779321259009</v>
      </c>
      <c r="BW37" s="256">
        <f t="shared" si="83"/>
        <v>207.16579039915598</v>
      </c>
      <c r="BX37" s="256">
        <f t="shared" ref="BX37" si="92">(M37+BA37)/AV37*100</f>
        <v>5.5140582337038921</v>
      </c>
      <c r="BY37" s="256">
        <v>4</v>
      </c>
      <c r="BZ37" s="256">
        <v>6.42</v>
      </c>
      <c r="CA37" s="256">
        <v>12.16</v>
      </c>
      <c r="CB37" s="256">
        <f t="shared" si="85"/>
        <v>5.74</v>
      </c>
      <c r="CC37" s="256">
        <v>10.65</v>
      </c>
      <c r="CD37" s="256">
        <v>13.86</v>
      </c>
      <c r="CE37" s="256">
        <f t="shared" si="86"/>
        <v>3.2099999999999991</v>
      </c>
    </row>
    <row r="38" spans="1:87" s="9" customFormat="1" ht="9" customHeight="1">
      <c r="I38" s="1472" t="s">
        <v>561</v>
      </c>
      <c r="J38" s="1473">
        <v>296761.40000000002</v>
      </c>
      <c r="K38" s="1473">
        <v>1999</v>
      </c>
      <c r="L38" s="1473">
        <f t="shared" si="5"/>
        <v>298760.40000000002</v>
      </c>
      <c r="M38" s="1473">
        <v>28310.7</v>
      </c>
      <c r="N38" s="1473">
        <f t="shared" si="6"/>
        <v>270449.7</v>
      </c>
      <c r="O38" s="1473">
        <v>33127.199999999997</v>
      </c>
      <c r="P38" s="1473">
        <v>119187.5</v>
      </c>
      <c r="Q38" s="1473">
        <v>195153.5</v>
      </c>
      <c r="R38" s="1473">
        <v>1728968.1</v>
      </c>
      <c r="S38" s="1473">
        <f t="shared" si="54"/>
        <v>1924121.6000000001</v>
      </c>
      <c r="T38" s="1473">
        <f t="shared" si="55"/>
        <v>2043309.1</v>
      </c>
      <c r="U38" s="1473">
        <v>514.1</v>
      </c>
      <c r="V38" s="1473">
        <v>380887.4</v>
      </c>
      <c r="W38" s="1473">
        <f t="shared" si="70"/>
        <v>466117.3</v>
      </c>
      <c r="X38" s="1473">
        <f t="shared" si="71"/>
        <v>2195085.4</v>
      </c>
      <c r="Y38" s="1473">
        <v>2575440</v>
      </c>
      <c r="Z38" s="1474" t="s">
        <v>561</v>
      </c>
      <c r="AA38" s="1473">
        <v>0</v>
      </c>
      <c r="AB38" s="1473">
        <v>53805.8</v>
      </c>
      <c r="AC38" s="1473">
        <v>1692192.6</v>
      </c>
      <c r="AD38" s="1473">
        <f t="shared" si="11"/>
        <v>1745998.4000000001</v>
      </c>
      <c r="AE38" s="1473">
        <v>0</v>
      </c>
      <c r="AF38" s="1473">
        <v>434.2</v>
      </c>
      <c r="AG38" s="1473">
        <v>28610.1</v>
      </c>
      <c r="AH38" s="1473">
        <f t="shared" si="72"/>
        <v>29044.3</v>
      </c>
      <c r="AI38" s="1473">
        <v>25064.2</v>
      </c>
      <c r="AJ38" s="1473">
        <v>564425.19999999995</v>
      </c>
      <c r="AK38" s="1473">
        <v>30259.200000000001</v>
      </c>
      <c r="AL38" s="1473">
        <f t="shared" si="73"/>
        <v>594684.39999999991</v>
      </c>
      <c r="AM38" s="1473">
        <f t="shared" si="74"/>
        <v>25064.2</v>
      </c>
      <c r="AN38" s="1473">
        <f t="shared" si="75"/>
        <v>618665.19999999995</v>
      </c>
      <c r="AO38" s="1473">
        <f t="shared" si="76"/>
        <v>1751061.9000000001</v>
      </c>
      <c r="AP38" s="1473">
        <f t="shared" si="77"/>
        <v>2369727.1</v>
      </c>
      <c r="AQ38" s="1474" t="s">
        <v>561</v>
      </c>
      <c r="AR38" s="1473">
        <v>13313.9</v>
      </c>
      <c r="AS38" s="1473">
        <v>172437.6</v>
      </c>
      <c r="AT38" s="1473">
        <v>37193.800000000003</v>
      </c>
      <c r="AU38" s="1473">
        <v>380.6</v>
      </c>
      <c r="AV38" s="416">
        <f>2057320.9-11.2284</f>
        <v>2057309.6716</v>
      </c>
      <c r="AW38" s="1473">
        <v>21395.3</v>
      </c>
      <c r="AX38" s="1473">
        <f t="shared" si="15"/>
        <v>2078704.9716</v>
      </c>
      <c r="AY38" s="1473">
        <f t="shared" si="78"/>
        <v>83148.198864000005</v>
      </c>
      <c r="AZ38" s="1473">
        <f t="shared" si="79"/>
        <v>-1537.7180640000151</v>
      </c>
      <c r="BA38" s="416">
        <f>81612.9-2.4192</f>
        <v>81610.48079999999</v>
      </c>
      <c r="BB38" s="1473">
        <v>5387225.5</v>
      </c>
      <c r="BC38" s="1473">
        <f t="shared" si="80"/>
        <v>380370.88080000004</v>
      </c>
      <c r="BD38" s="1473">
        <v>26466.7</v>
      </c>
      <c r="BE38" s="1473">
        <v>60774.8</v>
      </c>
      <c r="BF38" s="1473">
        <v>18678.400000000001</v>
      </c>
      <c r="BG38" s="1473">
        <v>561154.30000000005</v>
      </c>
      <c r="BH38" s="1473">
        <f t="shared" si="19"/>
        <v>667074.20000000007</v>
      </c>
      <c r="BI38" s="1474" t="s">
        <v>561</v>
      </c>
      <c r="BJ38" s="1475">
        <v>8.6199999999999992</v>
      </c>
      <c r="BK38" s="1475">
        <v>-4.6900000000000004</v>
      </c>
      <c r="BL38" s="1475">
        <v>0.67</v>
      </c>
      <c r="BM38" s="1475">
        <v>2.2599999999999998</v>
      </c>
      <c r="BN38" s="1475">
        <v>0.94</v>
      </c>
      <c r="BO38" s="1163" t="s">
        <v>292</v>
      </c>
      <c r="BP38" s="1215">
        <v>3843</v>
      </c>
      <c r="BQ38" s="1215">
        <v>1543</v>
      </c>
      <c r="BR38" s="1215">
        <v>5925</v>
      </c>
      <c r="BS38" s="1215">
        <v>63</v>
      </c>
      <c r="BT38" s="1215">
        <f t="shared" si="31"/>
        <v>11374</v>
      </c>
      <c r="BU38" s="1163">
        <f t="shared" si="90"/>
        <v>115.18572690892121</v>
      </c>
      <c r="BV38" s="1163">
        <f t="shared" ref="BV38:BV40" si="93">AV38/BT38</f>
        <v>180.87829010022858</v>
      </c>
      <c r="BW38" s="1163">
        <f t="shared" si="83"/>
        <v>208.3459732723756</v>
      </c>
      <c r="BX38" s="1163">
        <f t="shared" ref="BX38" si="94">(M38+BA38)/AV38*100</f>
        <v>5.3429574709826095</v>
      </c>
      <c r="BY38" s="1163">
        <v>4</v>
      </c>
      <c r="BZ38" s="1163">
        <v>6.4</v>
      </c>
      <c r="CA38" s="1163">
        <v>12.14</v>
      </c>
      <c r="CB38" s="1163">
        <f t="shared" si="85"/>
        <v>5.74</v>
      </c>
      <c r="CC38" s="1163">
        <v>10.6</v>
      </c>
      <c r="CD38" s="1163">
        <v>13.89</v>
      </c>
      <c r="CE38" s="1163">
        <f t="shared" si="86"/>
        <v>3.2900000000000009</v>
      </c>
    </row>
    <row r="39" spans="1:87" s="9" customFormat="1" ht="9" customHeight="1">
      <c r="I39" s="1371" t="s">
        <v>562</v>
      </c>
      <c r="J39" s="411">
        <v>297779</v>
      </c>
      <c r="K39" s="411">
        <v>2006.7</v>
      </c>
      <c r="L39" s="411">
        <f t="shared" si="5"/>
        <v>299785.7</v>
      </c>
      <c r="M39" s="411">
        <v>30767.5</v>
      </c>
      <c r="N39" s="411">
        <f t="shared" si="6"/>
        <v>269018.2</v>
      </c>
      <c r="O39" s="411">
        <v>31391.8</v>
      </c>
      <c r="P39" s="411">
        <v>122315.4</v>
      </c>
      <c r="Q39" s="411">
        <v>202223.6</v>
      </c>
      <c r="R39" s="411">
        <v>1751072.2</v>
      </c>
      <c r="S39" s="411">
        <f t="shared" ref="S39:S42" si="95">Q39+R39</f>
        <v>1953295.8</v>
      </c>
      <c r="T39" s="411">
        <f t="shared" ref="T39:T42" si="96">P39+S39</f>
        <v>2075611.2</v>
      </c>
      <c r="U39" s="411">
        <v>498.7</v>
      </c>
      <c r="V39" s="411">
        <v>405352.2</v>
      </c>
      <c r="W39" s="411">
        <f t="shared" si="70"/>
        <v>471740.50000000006</v>
      </c>
      <c r="X39" s="411">
        <f t="shared" si="71"/>
        <v>2222812.7000000002</v>
      </c>
      <c r="Y39" s="411">
        <v>2601904.4</v>
      </c>
      <c r="Z39" s="1371" t="s">
        <v>562</v>
      </c>
      <c r="AA39" s="411">
        <v>0</v>
      </c>
      <c r="AB39" s="411">
        <v>56086.1</v>
      </c>
      <c r="AC39" s="411">
        <v>1711276.1</v>
      </c>
      <c r="AD39" s="411">
        <f t="shared" si="11"/>
        <v>1767362.2000000002</v>
      </c>
      <c r="AE39" s="411">
        <v>0</v>
      </c>
      <c r="AF39" s="411">
        <v>430.4</v>
      </c>
      <c r="AG39" s="411">
        <v>24570.9</v>
      </c>
      <c r="AH39" s="411">
        <f t="shared" si="72"/>
        <v>25001.300000000003</v>
      </c>
      <c r="AI39" s="411">
        <v>25045.200000000001</v>
      </c>
      <c r="AJ39" s="411">
        <v>571881.19999999995</v>
      </c>
      <c r="AK39" s="411">
        <v>30229.200000000001</v>
      </c>
      <c r="AL39" s="411">
        <f t="shared" si="73"/>
        <v>602110.39999999991</v>
      </c>
      <c r="AM39" s="411">
        <f t="shared" ref="AM39" si="97">AA39+AE39+AI39</f>
        <v>25045.200000000001</v>
      </c>
      <c r="AN39" s="411">
        <f t="shared" ref="AN39:AN41" si="98">AB39+AF39+AJ39</f>
        <v>628397.69999999995</v>
      </c>
      <c r="AO39" s="411">
        <f t="shared" ref="AO39:AO41" si="99">AC39+AG39+AK39</f>
        <v>1766076.2</v>
      </c>
      <c r="AP39" s="411">
        <f t="shared" si="77"/>
        <v>2394473.9000000004</v>
      </c>
      <c r="AQ39" s="1371" t="s">
        <v>562</v>
      </c>
      <c r="AR39" s="411">
        <v>14943.4</v>
      </c>
      <c r="AS39" s="411">
        <v>175317.4</v>
      </c>
      <c r="AT39" s="411">
        <v>34280.699999999997</v>
      </c>
      <c r="AU39" s="411">
        <v>548.6</v>
      </c>
      <c r="AV39" s="411">
        <f>2089548.8-11.2264</f>
        <v>2089537.5736</v>
      </c>
      <c r="AW39" s="411">
        <v>20271</v>
      </c>
      <c r="AX39" s="411">
        <f t="shared" si="15"/>
        <v>2109808.5735999998</v>
      </c>
      <c r="AY39" s="411">
        <f t="shared" si="78"/>
        <v>84392.342943999989</v>
      </c>
      <c r="AZ39" s="411">
        <f t="shared" si="79"/>
        <v>20670.702956000008</v>
      </c>
      <c r="BA39" s="411">
        <f>105067.8-4.7541</f>
        <v>105063.0459</v>
      </c>
      <c r="BB39" s="411">
        <v>5486023.7999999998</v>
      </c>
      <c r="BC39" s="411">
        <f t="shared" si="80"/>
        <v>404848.74589999998</v>
      </c>
      <c r="BD39" s="411">
        <v>45657.3</v>
      </c>
      <c r="BE39" s="411">
        <v>60445.5</v>
      </c>
      <c r="BF39" s="411">
        <v>21519.8</v>
      </c>
      <c r="BG39" s="411">
        <v>568615.19999999995</v>
      </c>
      <c r="BH39" s="411">
        <f t="shared" ref="BH39:BH44" si="100">BG39+BF39+BE39+BD39</f>
        <v>696237.8</v>
      </c>
      <c r="BI39" s="1371" t="s">
        <v>562</v>
      </c>
      <c r="BJ39" s="401">
        <v>13.46</v>
      </c>
      <c r="BK39" s="401">
        <v>-5.85</v>
      </c>
      <c r="BL39" s="401">
        <v>1.5</v>
      </c>
      <c r="BM39" s="401">
        <v>3.9</v>
      </c>
      <c r="BN39" s="401">
        <v>2.2200000000000002</v>
      </c>
      <c r="BO39" s="401" t="s">
        <v>292</v>
      </c>
      <c r="BP39" s="257">
        <v>3843</v>
      </c>
      <c r="BQ39" s="257">
        <v>1543</v>
      </c>
      <c r="BR39" s="257">
        <v>5925</v>
      </c>
      <c r="BS39" s="257">
        <v>63</v>
      </c>
      <c r="BT39" s="257">
        <f t="shared" si="31"/>
        <v>11374</v>
      </c>
      <c r="BU39" s="256">
        <f t="shared" ref="BU39:BU43" si="101">AP39/AV39*100</f>
        <v>114.59348375701303</v>
      </c>
      <c r="BV39" s="256">
        <f t="shared" si="93"/>
        <v>183.7117613504484</v>
      </c>
      <c r="BW39" s="256">
        <f t="shared" si="83"/>
        <v>210.52170740284865</v>
      </c>
      <c r="BX39" s="256">
        <f t="shared" ref="BX39:BX44" si="102">(M39+BA39)/AV39*100</f>
        <v>6.5005074623272607</v>
      </c>
      <c r="BY39" s="256">
        <v>4</v>
      </c>
      <c r="BZ39" s="256">
        <v>6.36</v>
      </c>
      <c r="CA39" s="256">
        <v>12.14</v>
      </c>
      <c r="CB39" s="256">
        <f t="shared" si="85"/>
        <v>5.78</v>
      </c>
      <c r="CC39" s="256">
        <v>10.51</v>
      </c>
      <c r="CD39" s="256">
        <v>13.88</v>
      </c>
      <c r="CE39" s="256">
        <f t="shared" si="86"/>
        <v>3.370000000000001</v>
      </c>
    </row>
    <row r="40" spans="1:87" s="9" customFormat="1" ht="9" customHeight="1">
      <c r="I40" s="1513" t="s">
        <v>555</v>
      </c>
      <c r="J40" s="416">
        <v>303257.40000000002</v>
      </c>
      <c r="K40" s="416">
        <v>2011.3</v>
      </c>
      <c r="L40" s="416">
        <f t="shared" si="5"/>
        <v>305268.7</v>
      </c>
      <c r="M40" s="416">
        <v>29925.3</v>
      </c>
      <c r="N40" s="416">
        <f t="shared" si="6"/>
        <v>275343.40000000002</v>
      </c>
      <c r="O40" s="416">
        <v>33036.6</v>
      </c>
      <c r="P40" s="416">
        <v>123320.4</v>
      </c>
      <c r="Q40" s="416">
        <v>210743.7</v>
      </c>
      <c r="R40" s="416">
        <v>1763214.1</v>
      </c>
      <c r="S40" s="416">
        <f>Q40+R40</f>
        <v>1973957.8</v>
      </c>
      <c r="T40" s="416">
        <f t="shared" si="96"/>
        <v>2097278.2000000002</v>
      </c>
      <c r="U40" s="416">
        <v>583.4</v>
      </c>
      <c r="V40" s="416">
        <v>436324.8</v>
      </c>
      <c r="W40" s="416">
        <f t="shared" si="70"/>
        <v>486670.50000000006</v>
      </c>
      <c r="X40" s="416">
        <f t="shared" si="71"/>
        <v>2249884.6</v>
      </c>
      <c r="Y40" s="416">
        <v>2631476.9000000004</v>
      </c>
      <c r="Z40" s="1370" t="s">
        <v>555</v>
      </c>
      <c r="AA40" s="416">
        <v>0</v>
      </c>
      <c r="AB40" s="416">
        <v>64096.1</v>
      </c>
      <c r="AC40" s="416">
        <v>1714769.9</v>
      </c>
      <c r="AD40" s="416">
        <f t="shared" si="11"/>
        <v>1778866</v>
      </c>
      <c r="AE40" s="416">
        <v>0</v>
      </c>
      <c r="AF40" s="416">
        <v>427.1</v>
      </c>
      <c r="AG40" s="416">
        <v>25130</v>
      </c>
      <c r="AH40" s="416">
        <f t="shared" si="72"/>
        <v>25557.1</v>
      </c>
      <c r="AI40" s="416">
        <v>24586.5</v>
      </c>
      <c r="AJ40" s="416">
        <v>566504.5</v>
      </c>
      <c r="AK40" s="416">
        <v>31072.2</v>
      </c>
      <c r="AL40" s="416">
        <f t="shared" si="73"/>
        <v>597576.69999999995</v>
      </c>
      <c r="AM40" s="416">
        <f t="shared" ref="AM40:AM41" si="103">AA40+AE40+AI40</f>
        <v>24586.5</v>
      </c>
      <c r="AN40" s="416">
        <f t="shared" ref="AN40" si="104">AB40+AF40+AJ40</f>
        <v>631027.69999999995</v>
      </c>
      <c r="AO40" s="416">
        <f t="shared" ref="AO40" si="105">AC40+AG40+AK40</f>
        <v>1770972.0999999999</v>
      </c>
      <c r="AP40" s="416">
        <f t="shared" si="77"/>
        <v>2401999.7999999998</v>
      </c>
      <c r="AQ40" s="1370" t="s">
        <v>555</v>
      </c>
      <c r="AR40" s="416">
        <v>15496.3</v>
      </c>
      <c r="AS40" s="416">
        <v>176605</v>
      </c>
      <c r="AT40" s="416">
        <v>29366.6</v>
      </c>
      <c r="AU40" s="416">
        <v>322.89999999999998</v>
      </c>
      <c r="AV40" s="416">
        <f>2111680.4-11.47004</f>
        <v>2111668.9299599999</v>
      </c>
      <c r="AW40" s="416">
        <v>21725.9</v>
      </c>
      <c r="AX40" s="416">
        <f>AV40+AW40</f>
        <v>2133394.8299599998</v>
      </c>
      <c r="AY40" s="416">
        <f t="shared" si="78"/>
        <v>85335.793198399988</v>
      </c>
      <c r="AZ40" s="416">
        <f t="shared" si="79"/>
        <v>45132.434081500003</v>
      </c>
      <c r="BA40" s="416">
        <f>130472.7-4.4727201</f>
        <v>130468.22727989999</v>
      </c>
      <c r="BB40" s="416">
        <v>5127549.5999999996</v>
      </c>
      <c r="BC40" s="416">
        <f t="shared" si="80"/>
        <v>435736.9272799</v>
      </c>
      <c r="BD40" s="416">
        <v>42901.9</v>
      </c>
      <c r="BE40" s="416">
        <v>59875.9</v>
      </c>
      <c r="BF40" s="416">
        <v>27280.6</v>
      </c>
      <c r="BG40" s="416">
        <v>563502</v>
      </c>
      <c r="BH40" s="416">
        <f t="shared" si="100"/>
        <v>693560.4</v>
      </c>
      <c r="BI40" s="1370" t="s">
        <v>555</v>
      </c>
      <c r="BJ40" s="495">
        <v>12.53</v>
      </c>
      <c r="BK40" s="495">
        <v>-1.7999999999999998</v>
      </c>
      <c r="BL40" s="495">
        <v>2.31</v>
      </c>
      <c r="BM40" s="495">
        <v>4.3999999999999995</v>
      </c>
      <c r="BN40" s="495">
        <v>3.46</v>
      </c>
      <c r="BO40" s="495" t="s">
        <v>292</v>
      </c>
      <c r="BP40" s="338">
        <v>3843</v>
      </c>
      <c r="BQ40" s="338">
        <v>1543</v>
      </c>
      <c r="BR40" s="338">
        <v>5925</v>
      </c>
      <c r="BS40" s="338">
        <v>63</v>
      </c>
      <c r="BT40" s="338">
        <f t="shared" ref="BT40" si="106">SUM(BP40:BS40)</f>
        <v>11374</v>
      </c>
      <c r="BU40" s="231">
        <f t="shared" si="101"/>
        <v>113.74888202979334</v>
      </c>
      <c r="BV40" s="231">
        <f t="shared" si="93"/>
        <v>185.65754615438718</v>
      </c>
      <c r="BW40" s="231">
        <f t="shared" si="83"/>
        <v>211.18338315456302</v>
      </c>
      <c r="BX40" s="231">
        <f t="shared" si="102"/>
        <v>7.5955811540466351</v>
      </c>
      <c r="BY40" s="231">
        <v>4</v>
      </c>
      <c r="BZ40" s="231">
        <v>6.34</v>
      </c>
      <c r="CA40" s="231">
        <v>12.03</v>
      </c>
      <c r="CB40" s="231">
        <f t="shared" si="85"/>
        <v>5.6899999999999995</v>
      </c>
      <c r="CC40" s="231">
        <v>10.44</v>
      </c>
      <c r="CD40" s="231">
        <v>13.85</v>
      </c>
      <c r="CE40" s="231">
        <f t="shared" si="86"/>
        <v>3.41</v>
      </c>
      <c r="CH40" s="150"/>
      <c r="CI40" s="150"/>
    </row>
    <row r="41" spans="1:87" s="9" customFormat="1" ht="9" customHeight="1">
      <c r="I41" s="354" t="s">
        <v>563</v>
      </c>
      <c r="J41" s="411">
        <v>310150.8</v>
      </c>
      <c r="K41" s="411">
        <v>2015.1</v>
      </c>
      <c r="L41" s="411">
        <f t="shared" ref="L41:L46" si="107">J41+K41</f>
        <v>312165.89999999997</v>
      </c>
      <c r="M41" s="411">
        <v>29539.1</v>
      </c>
      <c r="N41" s="411">
        <f t="shared" si="6"/>
        <v>282626.8</v>
      </c>
      <c r="O41" s="411">
        <v>29365</v>
      </c>
      <c r="P41" s="411">
        <v>122935.3</v>
      </c>
      <c r="Q41" s="411">
        <v>198404.8</v>
      </c>
      <c r="R41" s="411">
        <v>1768974.3</v>
      </c>
      <c r="S41" s="411">
        <f t="shared" si="95"/>
        <v>1967379.1</v>
      </c>
      <c r="T41" s="411">
        <f t="shared" si="96"/>
        <v>2090314.4000000001</v>
      </c>
      <c r="U41" s="411">
        <v>527.4</v>
      </c>
      <c r="V41" s="411">
        <v>417955.1</v>
      </c>
      <c r="W41" s="411">
        <f t="shared" si="70"/>
        <v>481559</v>
      </c>
      <c r="X41" s="411">
        <f t="shared" si="71"/>
        <v>2250533.2999999998</v>
      </c>
      <c r="Y41" s="411">
        <v>2629420</v>
      </c>
      <c r="Z41" s="1371" t="s">
        <v>563</v>
      </c>
      <c r="AA41" s="411">
        <v>0</v>
      </c>
      <c r="AB41" s="411">
        <v>64544.5</v>
      </c>
      <c r="AC41" s="411">
        <v>1707995</v>
      </c>
      <c r="AD41" s="411">
        <v>1772539.5</v>
      </c>
      <c r="AE41" s="411">
        <v>0</v>
      </c>
      <c r="AF41" s="411">
        <v>424.3</v>
      </c>
      <c r="AG41" s="411">
        <v>25121.4</v>
      </c>
      <c r="AH41" s="411">
        <f t="shared" si="72"/>
        <v>25545.7</v>
      </c>
      <c r="AI41" s="411">
        <v>24553.5</v>
      </c>
      <c r="AJ41" s="411">
        <v>587809.19999999995</v>
      </c>
      <c r="AK41" s="411">
        <v>31337.5</v>
      </c>
      <c r="AL41" s="411">
        <f t="shared" ref="AL41" si="108">AJ41+AK41</f>
        <v>619146.69999999995</v>
      </c>
      <c r="AM41" s="411">
        <f t="shared" si="103"/>
        <v>24553.5</v>
      </c>
      <c r="AN41" s="411">
        <f t="shared" si="98"/>
        <v>652778</v>
      </c>
      <c r="AO41" s="411">
        <f t="shared" si="99"/>
        <v>1764453.9</v>
      </c>
      <c r="AP41" s="411">
        <f t="shared" si="77"/>
        <v>2417231.9</v>
      </c>
      <c r="AQ41" s="1371" t="s">
        <v>563</v>
      </c>
      <c r="AR41" s="411">
        <v>15071.9</v>
      </c>
      <c r="AS41" s="411">
        <v>179169</v>
      </c>
      <c r="AT41" s="411">
        <v>32069.1</v>
      </c>
      <c r="AU41" s="411">
        <v>380.2</v>
      </c>
      <c r="AV41" s="411">
        <f>2106594.5-11.8836845</f>
        <v>2106582.6163154999</v>
      </c>
      <c r="AW41" s="411">
        <v>20486.599999999999</v>
      </c>
      <c r="AX41" s="411">
        <f t="shared" ref="AX41:AX43" si="109">AV41+AW41</f>
        <v>2127069.2163155</v>
      </c>
      <c r="AY41" s="411">
        <f t="shared" ref="AY41" si="110">0.04*AX41</f>
        <v>85082.768652619998</v>
      </c>
      <c r="AZ41" s="411">
        <f t="shared" si="79"/>
        <v>20174.890747380006</v>
      </c>
      <c r="BA41" s="411">
        <f>105261.8-4.1406</f>
        <v>105257.6594</v>
      </c>
      <c r="BB41" s="411">
        <v>5133259.5</v>
      </c>
      <c r="BC41" s="411">
        <f t="shared" si="80"/>
        <v>417423.55939999997</v>
      </c>
      <c r="BD41" s="411">
        <v>35609.800000000003</v>
      </c>
      <c r="BE41" s="411">
        <v>59510.3</v>
      </c>
      <c r="BF41" s="411">
        <v>27514</v>
      </c>
      <c r="BG41" s="411">
        <v>584819.80000000005</v>
      </c>
      <c r="BH41" s="411">
        <f t="shared" si="100"/>
        <v>707453.90000000014</v>
      </c>
      <c r="BI41" s="1371" t="s">
        <v>563</v>
      </c>
      <c r="BJ41" s="401">
        <v>15.370000000000001</v>
      </c>
      <c r="BK41" s="401">
        <v>-0.86999999999999988</v>
      </c>
      <c r="BL41" s="401">
        <v>1.9300000000000002</v>
      </c>
      <c r="BM41" s="401">
        <v>4.74</v>
      </c>
      <c r="BN41" s="401">
        <v>3.49</v>
      </c>
      <c r="BO41" s="401" t="s">
        <v>292</v>
      </c>
      <c r="BP41" s="257">
        <v>3843</v>
      </c>
      <c r="BQ41" s="257">
        <v>1543</v>
      </c>
      <c r="BR41" s="257">
        <v>5925</v>
      </c>
      <c r="BS41" s="257">
        <v>63</v>
      </c>
      <c r="BT41" s="257">
        <f t="shared" si="31"/>
        <v>11374</v>
      </c>
      <c r="BU41" s="256">
        <f t="shared" si="101"/>
        <v>114.74659865122396</v>
      </c>
      <c r="BV41" s="256">
        <f t="shared" ref="BV41" si="111">AV41/BT41</f>
        <v>185.21035838891331</v>
      </c>
      <c r="BW41" s="256">
        <f t="shared" ref="BW41" si="112">AP41/BT41</f>
        <v>212.52258660101987</v>
      </c>
      <c r="BX41" s="256">
        <f t="shared" si="102"/>
        <v>6.3988356476502739</v>
      </c>
      <c r="BY41" s="256">
        <v>4</v>
      </c>
      <c r="BZ41" s="256">
        <v>6.37</v>
      </c>
      <c r="CA41" s="256">
        <v>12.02</v>
      </c>
      <c r="CB41" s="256">
        <f t="shared" si="85"/>
        <v>5.6499999999999995</v>
      </c>
      <c r="CC41" s="256">
        <v>10.35</v>
      </c>
      <c r="CD41" s="256">
        <v>13.83</v>
      </c>
      <c r="CE41" s="256">
        <f t="shared" si="86"/>
        <v>3.4800000000000004</v>
      </c>
      <c r="CF41" s="8"/>
      <c r="CG41" s="8"/>
      <c r="CH41" s="150"/>
      <c r="CI41" s="150"/>
    </row>
    <row r="42" spans="1:87" ht="9" customHeight="1">
      <c r="A42" s="9"/>
      <c r="B42" s="9"/>
      <c r="C42" s="9"/>
      <c r="D42" s="9"/>
      <c r="E42" s="9"/>
      <c r="F42" s="9"/>
      <c r="G42" s="9"/>
      <c r="H42" s="9"/>
      <c r="I42" s="1606" t="s">
        <v>564</v>
      </c>
      <c r="J42" s="416">
        <v>315910.7</v>
      </c>
      <c r="K42" s="416">
        <v>2018.8</v>
      </c>
      <c r="L42" s="416">
        <f t="shared" si="107"/>
        <v>317929.5</v>
      </c>
      <c r="M42" s="416">
        <v>31525.4</v>
      </c>
      <c r="N42" s="416">
        <f t="shared" si="6"/>
        <v>286404.09999999998</v>
      </c>
      <c r="O42" s="416">
        <v>29712.3</v>
      </c>
      <c r="P42" s="416">
        <v>123184.5</v>
      </c>
      <c r="Q42" s="416">
        <v>202786</v>
      </c>
      <c r="R42" s="416">
        <v>1792128.1</v>
      </c>
      <c r="S42" s="416">
        <f t="shared" si="95"/>
        <v>1994914.1</v>
      </c>
      <c r="T42" s="416">
        <f t="shared" si="96"/>
        <v>2118098.6</v>
      </c>
      <c r="U42" s="416">
        <v>547.20000000000005</v>
      </c>
      <c r="V42" s="416">
        <v>424618.8</v>
      </c>
      <c r="W42" s="416">
        <f>N42+Q42+U42</f>
        <v>489737.3</v>
      </c>
      <c r="X42" s="416">
        <f>R42+W42</f>
        <v>2281865.4</v>
      </c>
      <c r="Y42" s="416">
        <v>2659910.8000000003</v>
      </c>
      <c r="Z42" s="1370" t="s">
        <v>564</v>
      </c>
      <c r="AA42" s="416">
        <v>0</v>
      </c>
      <c r="AB42" s="416">
        <v>63243.8</v>
      </c>
      <c r="AC42" s="416">
        <v>1712649.7</v>
      </c>
      <c r="AD42" s="416">
        <v>1775893.5</v>
      </c>
      <c r="AE42" s="416">
        <v>0</v>
      </c>
      <c r="AF42" s="416">
        <v>422.5</v>
      </c>
      <c r="AG42" s="416">
        <v>24730.400000000001</v>
      </c>
      <c r="AH42" s="416">
        <f t="shared" si="72"/>
        <v>25152.9</v>
      </c>
      <c r="AI42" s="416">
        <v>24456.5</v>
      </c>
      <c r="AJ42" s="416">
        <v>610958.6</v>
      </c>
      <c r="AK42" s="416">
        <v>31519.8</v>
      </c>
      <c r="AL42" s="416">
        <f t="shared" ref="AL42:AL43" si="113">AJ42+AK42</f>
        <v>642478.4</v>
      </c>
      <c r="AM42" s="416">
        <f t="shared" ref="AM42" si="114">AA42+AE42+AI42</f>
        <v>24456.5</v>
      </c>
      <c r="AN42" s="416">
        <f t="shared" ref="AN42" si="115">AB42+AF42+AJ42</f>
        <v>674624.9</v>
      </c>
      <c r="AO42" s="416">
        <f t="shared" ref="AO42" si="116">AC42+AG42+AK42</f>
        <v>1768899.9</v>
      </c>
      <c r="AP42" s="416">
        <f t="shared" ref="AP42" si="117">AD42+AH42+AL42</f>
        <v>2443524.7999999998</v>
      </c>
      <c r="AQ42" s="1370" t="s">
        <v>564</v>
      </c>
      <c r="AR42" s="416">
        <v>14586.3</v>
      </c>
      <c r="AS42" s="416">
        <v>187839.7</v>
      </c>
      <c r="AT42" s="416">
        <v>32101.5</v>
      </c>
      <c r="AU42" s="416">
        <v>459.7</v>
      </c>
      <c r="AV42" s="416">
        <f>2132379.6-11.4044674</f>
        <v>2132368.1955325999</v>
      </c>
      <c r="AW42" s="416">
        <v>21509.3</v>
      </c>
      <c r="AX42" s="416">
        <f t="shared" si="109"/>
        <v>2153877.4955325997</v>
      </c>
      <c r="AY42" s="416">
        <f t="shared" ref="AY42" si="118">0.04*AX42</f>
        <v>86155.099821303986</v>
      </c>
      <c r="AZ42" s="416">
        <f t="shared" ref="AZ42" si="119">BA42-AY42</f>
        <v>19983.305878696017</v>
      </c>
      <c r="BA42" s="416">
        <f>106142.1-3.6943</f>
        <v>106138.4057</v>
      </c>
      <c r="BB42" s="416">
        <v>5207683.4000000004</v>
      </c>
      <c r="BC42" s="416">
        <f t="shared" si="80"/>
        <v>424067.9057</v>
      </c>
      <c r="BD42" s="416">
        <v>31584.5</v>
      </c>
      <c r="BE42" s="416">
        <v>59726.2</v>
      </c>
      <c r="BF42" s="416">
        <v>26064.3</v>
      </c>
      <c r="BG42" s="416">
        <v>607928.9</v>
      </c>
      <c r="BH42" s="416">
        <f t="shared" si="100"/>
        <v>725303.9</v>
      </c>
      <c r="BI42" s="1370" t="s">
        <v>564</v>
      </c>
      <c r="BJ42" s="495">
        <v>18.709999999999997</v>
      </c>
      <c r="BK42" s="495">
        <v>-0.47000000000000003</v>
      </c>
      <c r="BL42" s="495">
        <v>2.19</v>
      </c>
      <c r="BM42" s="495">
        <v>5.67</v>
      </c>
      <c r="BN42" s="495">
        <v>4.93</v>
      </c>
      <c r="BO42" s="495" t="s">
        <v>292</v>
      </c>
      <c r="BP42" s="338">
        <v>3843</v>
      </c>
      <c r="BQ42" s="338">
        <v>1543</v>
      </c>
      <c r="BR42" s="338">
        <v>5925</v>
      </c>
      <c r="BS42" s="338">
        <v>63</v>
      </c>
      <c r="BT42" s="338">
        <f t="shared" ref="BT42" si="120">SUM(BP42:BS42)</f>
        <v>11374</v>
      </c>
      <c r="BU42" s="231">
        <f t="shared" si="101"/>
        <v>114.59206740746208</v>
      </c>
      <c r="BV42" s="231">
        <f t="shared" ref="BV42" si="121">AV42/BT42</f>
        <v>187.47742179818886</v>
      </c>
      <c r="BW42" s="231">
        <f t="shared" ref="BW42" si="122">AP42/BT42</f>
        <v>214.83425356075259</v>
      </c>
      <c r="BX42" s="231">
        <f t="shared" si="102"/>
        <v>6.4559116004642814</v>
      </c>
      <c r="BY42" s="231">
        <v>4</v>
      </c>
      <c r="BZ42" s="231">
        <v>6.31</v>
      </c>
      <c r="CA42" s="231">
        <v>11.96</v>
      </c>
      <c r="CB42" s="231">
        <f t="shared" si="85"/>
        <v>5.6500000000000012</v>
      </c>
      <c r="CC42" s="231">
        <v>10.3</v>
      </c>
      <c r="CD42" s="231">
        <v>13.8</v>
      </c>
      <c r="CE42" s="231">
        <f t="shared" si="86"/>
        <v>3.5</v>
      </c>
      <c r="CH42" s="150"/>
      <c r="CI42" s="150"/>
    </row>
    <row r="43" spans="1:87" ht="9" customHeight="1">
      <c r="A43" s="9"/>
      <c r="B43" s="9"/>
      <c r="H43" s="9"/>
      <c r="I43" s="354" t="s">
        <v>556</v>
      </c>
      <c r="J43" s="411">
        <v>340067.2</v>
      </c>
      <c r="K43" s="411">
        <v>2017.9</v>
      </c>
      <c r="L43" s="411">
        <f t="shared" si="107"/>
        <v>342085.10000000003</v>
      </c>
      <c r="M43" s="411">
        <v>39066.400000000001</v>
      </c>
      <c r="N43" s="411">
        <f t="shared" si="6"/>
        <v>303018.7</v>
      </c>
      <c r="O43" s="411">
        <v>28587.4</v>
      </c>
      <c r="P43" s="411">
        <v>123764.2</v>
      </c>
      <c r="Q43" s="411">
        <v>215279.3</v>
      </c>
      <c r="R43" s="411">
        <v>1816757.8</v>
      </c>
      <c r="S43" s="411">
        <f t="shared" ref="S43" si="123">Q43+R43</f>
        <v>2032037.1</v>
      </c>
      <c r="T43" s="411">
        <f t="shared" ref="T43" si="124">P43+S43</f>
        <v>2155801.3000000003</v>
      </c>
      <c r="U43" s="411">
        <v>542.1</v>
      </c>
      <c r="V43" s="411">
        <v>443269.5</v>
      </c>
      <c r="W43" s="411">
        <f>N43+Q43+U43</f>
        <v>518840.1</v>
      </c>
      <c r="X43" s="411">
        <f>R43+W43</f>
        <v>2335597.9</v>
      </c>
      <c r="Y43" s="411">
        <v>2711974.6000000006</v>
      </c>
      <c r="Z43" s="1523" t="s">
        <v>556</v>
      </c>
      <c r="AA43" s="411">
        <v>0</v>
      </c>
      <c r="AB43" s="411">
        <v>58849.1</v>
      </c>
      <c r="AC43" s="411">
        <v>1728454.5</v>
      </c>
      <c r="AD43" s="411">
        <v>1787303.6</v>
      </c>
      <c r="AE43" s="411">
        <v>0</v>
      </c>
      <c r="AF43" s="411">
        <v>425.4</v>
      </c>
      <c r="AG43" s="411">
        <v>23284.400000000001</v>
      </c>
      <c r="AH43" s="411">
        <f t="shared" si="72"/>
        <v>23709.800000000003</v>
      </c>
      <c r="AI43" s="411">
        <v>24718.6</v>
      </c>
      <c r="AJ43" s="411">
        <v>623656.9</v>
      </c>
      <c r="AK43" s="411">
        <v>31562.799999999999</v>
      </c>
      <c r="AL43" s="411">
        <f t="shared" si="113"/>
        <v>655219.70000000007</v>
      </c>
      <c r="AM43" s="411">
        <f t="shared" ref="AM43" si="125">AA43+AE43+AI43</f>
        <v>24718.6</v>
      </c>
      <c r="AN43" s="411">
        <f t="shared" ref="AN43" si="126">AB43+AF43+AJ43</f>
        <v>682931.4</v>
      </c>
      <c r="AO43" s="411">
        <f t="shared" ref="AO43" si="127">AC43+AG43+AK43</f>
        <v>1783301.7</v>
      </c>
      <c r="AP43" s="411">
        <f t="shared" ref="AP43" si="128">AD43+AH43+AL43</f>
        <v>2466233.1</v>
      </c>
      <c r="AQ43" s="1523" t="s">
        <v>556</v>
      </c>
      <c r="AR43" s="411">
        <v>15388.3</v>
      </c>
      <c r="AS43" s="411">
        <v>189548.79999999999</v>
      </c>
      <c r="AT43" s="411">
        <v>31030.799999999999</v>
      </c>
      <c r="AU43" s="411">
        <v>623.70000000000005</v>
      </c>
      <c r="AV43" s="411">
        <f>2170534.7-17.7195</f>
        <v>2170516.9805000001</v>
      </c>
      <c r="AW43" s="411">
        <v>20152.099999999999</v>
      </c>
      <c r="AX43" s="411">
        <f t="shared" si="109"/>
        <v>2190669.0805000002</v>
      </c>
      <c r="AY43" s="411">
        <f t="shared" ref="AY43" si="129">0.04*AX43</f>
        <v>87626.763220000008</v>
      </c>
      <c r="AZ43" s="411">
        <v>13014.827999999994</v>
      </c>
      <c r="BA43" s="411">
        <f>100642.3-12.2635</f>
        <v>100630.0365</v>
      </c>
      <c r="BB43" s="411">
        <v>5353001.7</v>
      </c>
      <c r="BC43" s="411">
        <f t="shared" si="80"/>
        <v>442715.13650000002</v>
      </c>
      <c r="BD43" s="411">
        <v>59185.8</v>
      </c>
      <c r="BE43" s="411">
        <v>59764.800000000003</v>
      </c>
      <c r="BF43" s="411">
        <v>24060.3</v>
      </c>
      <c r="BG43" s="411">
        <v>620643.9</v>
      </c>
      <c r="BH43" s="411">
        <v>763654.80000000016</v>
      </c>
      <c r="BI43" s="1371" t="s">
        <v>556</v>
      </c>
      <c r="BJ43" s="401">
        <v>26.44</v>
      </c>
      <c r="BK43" s="401">
        <v>-5.41</v>
      </c>
      <c r="BL43" s="401">
        <v>3.02</v>
      </c>
      <c r="BM43" s="401">
        <v>7.85</v>
      </c>
      <c r="BN43" s="401">
        <v>7.3999999999999995</v>
      </c>
      <c r="BO43" s="401" t="s">
        <v>292</v>
      </c>
      <c r="BP43" s="257">
        <v>3847</v>
      </c>
      <c r="BQ43" s="257">
        <v>1543</v>
      </c>
      <c r="BR43" s="257">
        <v>5969</v>
      </c>
      <c r="BS43" s="257">
        <v>63</v>
      </c>
      <c r="BT43" s="257">
        <f>SUM(BP43:BS43)</f>
        <v>11422</v>
      </c>
      <c r="BU43" s="256">
        <f t="shared" si="101"/>
        <v>113.6242251111935</v>
      </c>
      <c r="BV43" s="256">
        <f t="shared" ref="BV43" si="130">AV43/BT43</f>
        <v>190.02950275783576</v>
      </c>
      <c r="BW43" s="256">
        <f t="shared" ref="BW43" si="131">AP43/BT43</f>
        <v>215.91954999124496</v>
      </c>
      <c r="BX43" s="256">
        <f t="shared" si="102"/>
        <v>6.4360904685398745</v>
      </c>
      <c r="BY43" s="256">
        <v>4</v>
      </c>
      <c r="BZ43" s="256">
        <v>6.24</v>
      </c>
      <c r="CA43" s="256">
        <v>11.96</v>
      </c>
      <c r="CB43" s="256">
        <f t="shared" si="85"/>
        <v>5.7200000000000006</v>
      </c>
      <c r="CC43" s="256">
        <v>10.24</v>
      </c>
      <c r="CD43" s="256">
        <v>13.78</v>
      </c>
      <c r="CE43" s="256">
        <f t="shared" si="86"/>
        <v>3.5399999999999991</v>
      </c>
      <c r="CH43" s="150"/>
      <c r="CI43" s="150"/>
    </row>
    <row r="44" spans="1:87" ht="11.25" customHeight="1">
      <c r="A44" s="9"/>
      <c r="B44" s="9"/>
      <c r="H44" s="9"/>
      <c r="I44" s="1642" t="s">
        <v>565</v>
      </c>
      <c r="J44" s="416">
        <v>328997.90000000002</v>
      </c>
      <c r="K44" s="416">
        <v>2020.6</v>
      </c>
      <c r="L44" s="416">
        <f t="shared" si="107"/>
        <v>331018.5</v>
      </c>
      <c r="M44" s="416">
        <v>31592.9</v>
      </c>
      <c r="N44" s="416">
        <f t="shared" si="6"/>
        <v>299425.59999999998</v>
      </c>
      <c r="O44" s="416">
        <v>29088.1</v>
      </c>
      <c r="P44" s="416">
        <v>126888.1</v>
      </c>
      <c r="Q44" s="416">
        <v>208841.60000000001</v>
      </c>
      <c r="R44" s="416">
        <v>1829401.9</v>
      </c>
      <c r="S44" s="416">
        <f t="shared" ref="S44" si="132">Q44+R44</f>
        <v>2038243.5</v>
      </c>
      <c r="T44" s="416">
        <f t="shared" ref="T44" si="133">P44+S44</f>
        <v>2165131.6</v>
      </c>
      <c r="U44" s="416">
        <v>531.29999999999995</v>
      </c>
      <c r="V44" s="416">
        <v>435407.1</v>
      </c>
      <c r="W44" s="416">
        <f>N44+Q44+U44</f>
        <v>508798.49999999994</v>
      </c>
      <c r="X44" s="416">
        <f>R44+W44</f>
        <v>2338200.4</v>
      </c>
      <c r="Y44" s="416">
        <v>2716973.8</v>
      </c>
      <c r="Z44" s="1004" t="s">
        <v>565</v>
      </c>
      <c r="AA44" s="416">
        <v>0</v>
      </c>
      <c r="AB44" s="416">
        <v>59556.1</v>
      </c>
      <c r="AC44" s="416">
        <v>1731150.4</v>
      </c>
      <c r="AD44" s="416">
        <v>1790706.5</v>
      </c>
      <c r="AE44" s="416">
        <v>0</v>
      </c>
      <c r="AF44" s="416">
        <v>419.4</v>
      </c>
      <c r="AG44" s="416">
        <v>23126.1</v>
      </c>
      <c r="AH44" s="416">
        <f t="shared" si="72"/>
        <v>23545.5</v>
      </c>
      <c r="AI44" s="416">
        <v>24554.7</v>
      </c>
      <c r="AJ44" s="416">
        <v>630854.9</v>
      </c>
      <c r="AK44" s="416">
        <v>31965.9</v>
      </c>
      <c r="AL44" s="416">
        <f t="shared" ref="AL44" si="134">AJ44+AK44</f>
        <v>662820.80000000005</v>
      </c>
      <c r="AM44" s="416">
        <f t="shared" ref="AM44" si="135">AA44+AE44+AI44</f>
        <v>24554.7</v>
      </c>
      <c r="AN44" s="416">
        <f t="shared" ref="AN44:AP45" si="136">AB44+AF44+AJ44</f>
        <v>690830.4</v>
      </c>
      <c r="AO44" s="416">
        <f t="shared" si="136"/>
        <v>1786242.4</v>
      </c>
      <c r="AP44" s="416">
        <f t="shared" si="136"/>
        <v>2477072.7999999998</v>
      </c>
      <c r="AQ44" s="1004" t="s">
        <v>565</v>
      </c>
      <c r="AR44" s="416">
        <v>15243.3</v>
      </c>
      <c r="AS44" s="416">
        <v>187817.3</v>
      </c>
      <c r="AT44" s="416">
        <v>30829</v>
      </c>
      <c r="AU44" s="416">
        <v>272.2</v>
      </c>
      <c r="AV44" s="416">
        <f>2180579.2-10.153</f>
        <v>2180569.0470000003</v>
      </c>
      <c r="AW44" s="416">
        <v>22836.7</v>
      </c>
      <c r="AX44" s="416">
        <f t="shared" ref="AX44" si="137">AV44+AW44</f>
        <v>2203405.7470000004</v>
      </c>
      <c r="AY44" s="416">
        <f t="shared" ref="AY44" si="138">0.04*AX44</f>
        <v>88136.229880000014</v>
      </c>
      <c r="AZ44" s="416">
        <f t="shared" ref="AZ44" si="139">BA44-AY44</f>
        <v>15710.098819999985</v>
      </c>
      <c r="BA44" s="416">
        <f>103857.3-10.9713</f>
        <v>103846.3287</v>
      </c>
      <c r="BB44" s="416">
        <v>5438595.4000000004</v>
      </c>
      <c r="BC44" s="416">
        <f t="shared" si="80"/>
        <v>434864.82870000001</v>
      </c>
      <c r="BD44" s="416">
        <v>32621.8</v>
      </c>
      <c r="BE44" s="416">
        <v>59893.4</v>
      </c>
      <c r="BF44" s="416">
        <v>24991.8</v>
      </c>
      <c r="BG44" s="416">
        <v>627877.9</v>
      </c>
      <c r="BH44" s="416">
        <f t="shared" si="100"/>
        <v>745384.90000000014</v>
      </c>
      <c r="BI44" s="1370" t="s">
        <v>565</v>
      </c>
      <c r="BJ44" s="495">
        <v>22.16</v>
      </c>
      <c r="BK44" s="495">
        <v>-5.94</v>
      </c>
      <c r="BL44" s="495">
        <v>3.2</v>
      </c>
      <c r="BM44" s="495">
        <v>7.0499999999999989</v>
      </c>
      <c r="BN44" s="495">
        <v>7.5200000000000005</v>
      </c>
      <c r="BO44" s="495" t="s">
        <v>292</v>
      </c>
      <c r="BP44" s="338">
        <v>3847</v>
      </c>
      <c r="BQ44" s="338">
        <v>1543</v>
      </c>
      <c r="BR44" s="338">
        <v>5969</v>
      </c>
      <c r="BS44" s="338">
        <v>63</v>
      </c>
      <c r="BT44" s="338">
        <f>SUM(BP44:BS44)</f>
        <v>11422</v>
      </c>
      <c r="BU44" s="231">
        <f>AP44/AV44*100</f>
        <v>113.59754021125474</v>
      </c>
      <c r="BV44" s="231">
        <f t="shared" ref="BV44" si="140">AV44/BT44</f>
        <v>190.909564612152</v>
      </c>
      <c r="BW44" s="231">
        <f>AP44/BT44</f>
        <v>216.86856942742074</v>
      </c>
      <c r="BX44" s="231">
        <f t="shared" si="102"/>
        <v>6.2111873451719219</v>
      </c>
      <c r="BY44" s="231">
        <v>4</v>
      </c>
      <c r="BZ44" s="231">
        <v>6.24</v>
      </c>
      <c r="CA44" s="231">
        <v>11.96</v>
      </c>
      <c r="CB44" s="231">
        <f t="shared" si="85"/>
        <v>5.7200000000000006</v>
      </c>
      <c r="CC44" s="231">
        <v>10.19</v>
      </c>
      <c r="CD44" s="231">
        <v>13.75</v>
      </c>
      <c r="CE44" s="231">
        <f t="shared" si="86"/>
        <v>3.5600000000000005</v>
      </c>
    </row>
    <row r="45" spans="1:87" ht="11.25" customHeight="1">
      <c r="I45" s="354" t="s">
        <v>566</v>
      </c>
      <c r="J45" s="411">
        <v>368237.6</v>
      </c>
      <c r="K45" s="411">
        <v>1978</v>
      </c>
      <c r="L45" s="411">
        <f t="shared" si="107"/>
        <v>370215.6</v>
      </c>
      <c r="M45" s="411">
        <v>20841.599999999999</v>
      </c>
      <c r="N45" s="411">
        <f t="shared" si="6"/>
        <v>349374</v>
      </c>
      <c r="O45" s="411">
        <v>29075.7</v>
      </c>
      <c r="P45" s="411">
        <v>124175.6</v>
      </c>
      <c r="Q45" s="411">
        <v>205424.9</v>
      </c>
      <c r="R45" s="411">
        <v>1835674.4</v>
      </c>
      <c r="S45" s="411">
        <f t="shared" ref="S45" si="141">Q45+R45</f>
        <v>2041099.2999999998</v>
      </c>
      <c r="T45" s="411">
        <f t="shared" ref="T45" si="142">P45+S45</f>
        <v>2165274.9</v>
      </c>
      <c r="U45" s="411">
        <v>593.4</v>
      </c>
      <c r="V45" s="411">
        <v>485542.3</v>
      </c>
      <c r="W45" s="411">
        <f>N45+Q45+U45</f>
        <v>555392.30000000005</v>
      </c>
      <c r="X45" s="411">
        <f>R45+W45</f>
        <v>2391066.7000000002</v>
      </c>
      <c r="Y45" s="411">
        <v>2771022.9</v>
      </c>
      <c r="Z45" s="1523" t="s">
        <v>566</v>
      </c>
      <c r="AA45" s="411">
        <v>0</v>
      </c>
      <c r="AB45" s="411">
        <v>56986.1</v>
      </c>
      <c r="AC45" s="411">
        <v>1749879.4</v>
      </c>
      <c r="AD45" s="411">
        <v>1806865.5</v>
      </c>
      <c r="AE45" s="411">
        <v>0</v>
      </c>
      <c r="AF45" s="411">
        <v>417.8</v>
      </c>
      <c r="AG45" s="411">
        <v>25047.9</v>
      </c>
      <c r="AH45" s="411">
        <f t="shared" si="72"/>
        <v>25465.7</v>
      </c>
      <c r="AI45" s="411">
        <v>25110.1</v>
      </c>
      <c r="AJ45" s="411">
        <v>614249.6</v>
      </c>
      <c r="AK45" s="411">
        <v>32758</v>
      </c>
      <c r="AL45" s="411">
        <f t="shared" ref="AL45:AL46" si="143">AJ45+AK45</f>
        <v>647007.6</v>
      </c>
      <c r="AM45" s="411">
        <f t="shared" ref="AM45" si="144">AA45+AE45+AI45</f>
        <v>25110.1</v>
      </c>
      <c r="AN45" s="411">
        <f t="shared" si="136"/>
        <v>671653.5</v>
      </c>
      <c r="AO45" s="411">
        <f t="shared" si="136"/>
        <v>1807685.2999999998</v>
      </c>
      <c r="AP45" s="411">
        <f t="shared" si="136"/>
        <v>2479338.7999999998</v>
      </c>
      <c r="AQ45" s="1523" t="s">
        <v>566</v>
      </c>
      <c r="AR45" s="411">
        <v>15800.4</v>
      </c>
      <c r="AS45" s="411">
        <v>192310.2</v>
      </c>
      <c r="AT45" s="411">
        <v>33205.699999999997</v>
      </c>
      <c r="AU45" s="411">
        <v>230.7</v>
      </c>
      <c r="AV45" s="411">
        <f>2181014.1-10.9486</f>
        <v>2181003.1514000003</v>
      </c>
      <c r="AW45" s="411">
        <v>23732</v>
      </c>
      <c r="AX45" s="411">
        <f t="shared" ref="AX45" si="145">AV45+AW45</f>
        <v>2204735.1514000003</v>
      </c>
      <c r="AY45" s="411">
        <f t="shared" ref="AY45" si="146">0.04*AX45</f>
        <v>88189.406056000022</v>
      </c>
      <c r="AZ45" s="411">
        <f t="shared" ref="AZ45" si="147">BA45-AY45</f>
        <v>26540.191843999986</v>
      </c>
      <c r="BA45" s="411">
        <f>114733.3-3.7021</f>
        <v>114729.59790000001</v>
      </c>
      <c r="BB45" s="411">
        <v>5509669.5999999996</v>
      </c>
      <c r="BC45" s="411">
        <f t="shared" si="80"/>
        <v>484945.19789999997</v>
      </c>
      <c r="BD45" s="411">
        <v>35802.1</v>
      </c>
      <c r="BE45" s="411">
        <v>59867.4</v>
      </c>
      <c r="BF45" s="411">
        <v>24480.799999999999</v>
      </c>
      <c r="BG45" s="411">
        <v>611292.69999999995</v>
      </c>
      <c r="BH45" s="411">
        <v>731443</v>
      </c>
      <c r="BI45" s="1371" t="s">
        <v>566</v>
      </c>
      <c r="BJ45" s="401">
        <v>20.04</v>
      </c>
      <c r="BK45" s="401">
        <v>-10.220000000000001</v>
      </c>
      <c r="BL45" s="401">
        <v>4.45</v>
      </c>
      <c r="BM45" s="401">
        <v>7.4700000000000006</v>
      </c>
      <c r="BN45" s="401">
        <v>9.9500000000000011</v>
      </c>
      <c r="BO45" s="401" t="s">
        <v>292</v>
      </c>
      <c r="BP45" s="257">
        <v>3847</v>
      </c>
      <c r="BQ45" s="257">
        <v>1543</v>
      </c>
      <c r="BR45" s="257">
        <v>5969</v>
      </c>
      <c r="BS45" s="257">
        <v>63</v>
      </c>
      <c r="BT45" s="257">
        <f>SUM(BP45:BS45)</f>
        <v>11422</v>
      </c>
      <c r="BU45" s="256">
        <f>AP45/AV45*100</f>
        <v>113.67882703005247</v>
      </c>
      <c r="BV45" s="256">
        <f t="shared" ref="BV45" si="148">AV45/BT45</f>
        <v>190.94757060059538</v>
      </c>
      <c r="BW45" s="256">
        <f>AP45/BT45</f>
        <v>217.06695850113815</v>
      </c>
      <c r="BX45" s="256">
        <f t="shared" ref="BX45:BX46" si="149">(M45+BA45)/AV45*100</f>
        <v>6.2160019261309163</v>
      </c>
      <c r="BY45" s="256">
        <v>4</v>
      </c>
      <c r="BZ45" s="256">
        <v>6.22</v>
      </c>
      <c r="CA45" s="256">
        <v>11.92</v>
      </c>
      <c r="CB45" s="256">
        <f t="shared" si="85"/>
        <v>5.7</v>
      </c>
      <c r="CC45" s="256">
        <v>10.14</v>
      </c>
      <c r="CD45" s="256">
        <v>13.75</v>
      </c>
      <c r="CE45" s="256">
        <f t="shared" si="86"/>
        <v>3.6099999999999994</v>
      </c>
    </row>
    <row r="46" spans="1:87" ht="11.25" customHeight="1">
      <c r="I46" s="1730" t="s">
        <v>557</v>
      </c>
      <c r="J46" s="416">
        <v>368286.6</v>
      </c>
      <c r="K46" s="416">
        <v>1981.9</v>
      </c>
      <c r="L46" s="416">
        <f t="shared" si="107"/>
        <v>370268.5</v>
      </c>
      <c r="M46" s="416">
        <v>33893.300000000003</v>
      </c>
      <c r="N46" s="416">
        <f t="shared" si="6"/>
        <v>336375.2</v>
      </c>
      <c r="O46" s="416">
        <v>32966.1</v>
      </c>
      <c r="P46" s="416">
        <v>126716.3</v>
      </c>
      <c r="Q46" s="416">
        <v>227254.2</v>
      </c>
      <c r="R46" s="416">
        <v>1852042.5</v>
      </c>
      <c r="S46" s="416">
        <f t="shared" ref="S46" si="150">Q46+R46</f>
        <v>2079296.7</v>
      </c>
      <c r="T46" s="416">
        <f t="shared" ref="T46" si="151">P46+S46</f>
        <v>2206013</v>
      </c>
      <c r="U46" s="416">
        <v>614.4</v>
      </c>
      <c r="V46" s="416">
        <v>476368.6</v>
      </c>
      <c r="W46" s="416">
        <f>N46+Q46+U46</f>
        <v>564243.80000000005</v>
      </c>
      <c r="X46" s="416">
        <f>R46+W46</f>
        <v>2416286.2999999998</v>
      </c>
      <c r="Y46" s="416">
        <v>2795588.5999999996</v>
      </c>
      <c r="Z46" s="1004" t="s">
        <v>557</v>
      </c>
      <c r="AA46" s="416">
        <v>0</v>
      </c>
      <c r="AB46" s="416">
        <v>54174.5</v>
      </c>
      <c r="AC46" s="416">
        <v>1757178</v>
      </c>
      <c r="AD46" s="416">
        <v>1811352.5</v>
      </c>
      <c r="AE46" s="416">
        <v>0</v>
      </c>
      <c r="AF46" s="416">
        <v>413.9</v>
      </c>
      <c r="AG46" s="416">
        <v>26958.799999999999</v>
      </c>
      <c r="AH46" s="416">
        <f t="shared" si="72"/>
        <v>27372.7</v>
      </c>
      <c r="AI46" s="416">
        <v>24996.6</v>
      </c>
      <c r="AJ46" s="416">
        <v>698071.6</v>
      </c>
      <c r="AK46" s="416">
        <v>32950.6</v>
      </c>
      <c r="AL46" s="416">
        <f t="shared" si="143"/>
        <v>731022.2</v>
      </c>
      <c r="AM46" s="416">
        <f t="shared" ref="AM46" si="152">AA46+AE46+AI46</f>
        <v>24996.6</v>
      </c>
      <c r="AN46" s="416">
        <f t="shared" ref="AN46" si="153">AB46+AF46+AJ46</f>
        <v>752660</v>
      </c>
      <c r="AO46" s="416">
        <f t="shared" ref="AO46" si="154">AC46+AG46+AK46</f>
        <v>1817087.4000000001</v>
      </c>
      <c r="AP46" s="416">
        <f>AD46+AH46+AL46</f>
        <v>2569747.4</v>
      </c>
      <c r="AQ46" s="1004" t="s">
        <v>557</v>
      </c>
      <c r="AR46" s="416">
        <v>17253.400000000001</v>
      </c>
      <c r="AS46" s="416">
        <v>228765.7</v>
      </c>
      <c r="AT46" s="416">
        <v>30079.9</v>
      </c>
      <c r="AU46" s="416">
        <v>349.2</v>
      </c>
      <c r="AV46" s="416">
        <f>2221646.9-11.7438</f>
        <v>2221635.1562000001</v>
      </c>
      <c r="AW46" s="416">
        <v>25839.200000000001</v>
      </c>
      <c r="AX46" s="416">
        <f>AV46+AW46</f>
        <v>2247474.3562000003</v>
      </c>
      <c r="AY46" s="416">
        <f>0.04*AX46</f>
        <v>89898.974248000013</v>
      </c>
      <c r="AZ46" s="416">
        <f t="shared" ref="AZ46" si="155">BA46-AY46</f>
        <v>15583.441551999989</v>
      </c>
      <c r="BA46" s="416">
        <f>105485.7-3.2842</f>
        <v>105482.4158</v>
      </c>
      <c r="BB46" s="416">
        <v>6607380.4000000004</v>
      </c>
      <c r="BC46" s="416">
        <f t="shared" si="80"/>
        <v>475750.91580000002</v>
      </c>
      <c r="BD46" s="416">
        <v>23697.3</v>
      </c>
      <c r="BE46" s="416">
        <v>64777.4</v>
      </c>
      <c r="BF46" s="416">
        <v>21900.6</v>
      </c>
      <c r="BG46" s="416">
        <v>695134</v>
      </c>
      <c r="BH46" s="416">
        <v>805509.3</v>
      </c>
      <c r="BI46" s="1370" t="s">
        <v>557</v>
      </c>
      <c r="BJ46" s="495">
        <v>34.510000000000005</v>
      </c>
      <c r="BK46" s="495">
        <v>-10.72</v>
      </c>
      <c r="BL46" s="495">
        <v>4.47</v>
      </c>
      <c r="BM46" s="495">
        <v>10.57</v>
      </c>
      <c r="BN46" s="495">
        <v>11.110000000000001</v>
      </c>
      <c r="BO46" s="495" t="s">
        <v>292</v>
      </c>
      <c r="BP46" s="338">
        <v>3847</v>
      </c>
      <c r="BQ46" s="338">
        <v>1543</v>
      </c>
      <c r="BR46" s="338">
        <v>5972</v>
      </c>
      <c r="BS46" s="338">
        <v>63</v>
      </c>
      <c r="BT46" s="338">
        <f>SUM(BP46:BS46)</f>
        <v>11425</v>
      </c>
      <c r="BU46" s="231">
        <f>AP46/AV46*100</f>
        <v>115.66919045318984</v>
      </c>
      <c r="BV46" s="231">
        <f t="shared" ref="BV46" si="156">AV46/BT46</f>
        <v>194.45384299343544</v>
      </c>
      <c r="BW46" s="231">
        <f>AP46/BT46</f>
        <v>224.92318599562361</v>
      </c>
      <c r="BX46" s="231">
        <f t="shared" si="149"/>
        <v>6.2735645594659859</v>
      </c>
      <c r="BY46" s="231">
        <v>4</v>
      </c>
      <c r="BZ46" s="231">
        <v>6.16</v>
      </c>
      <c r="CA46" s="231">
        <v>11.86</v>
      </c>
      <c r="CB46" s="231">
        <f t="shared" si="85"/>
        <v>5.6999999999999993</v>
      </c>
      <c r="CC46" s="231">
        <v>10.11</v>
      </c>
      <c r="CD46" s="231">
        <v>13.76</v>
      </c>
      <c r="CE46" s="231">
        <f t="shared" si="86"/>
        <v>3.6500000000000004</v>
      </c>
    </row>
    <row r="47" spans="1:87" s="1744" customFormat="1" ht="10.5" customHeight="1">
      <c r="I47" s="832" t="s">
        <v>2929</v>
      </c>
      <c r="J47" s="411"/>
      <c r="K47" s="411"/>
      <c r="L47" s="411"/>
      <c r="M47" s="411"/>
      <c r="N47" s="411"/>
      <c r="O47" s="411"/>
      <c r="P47" s="411"/>
      <c r="Q47" s="411"/>
      <c r="R47" s="411"/>
      <c r="S47" s="411"/>
      <c r="T47" s="411"/>
      <c r="U47" s="411"/>
      <c r="V47" s="411"/>
      <c r="W47" s="411"/>
      <c r="X47" s="411"/>
      <c r="Y47" s="411"/>
      <c r="Z47" s="832" t="s">
        <v>2929</v>
      </c>
      <c r="AA47" s="411"/>
      <c r="AB47" s="411"/>
      <c r="AC47" s="411"/>
      <c r="AD47" s="411"/>
      <c r="AE47" s="411"/>
      <c r="AF47" s="411"/>
      <c r="AG47" s="411"/>
      <c r="AH47" s="411"/>
      <c r="AI47" s="411"/>
      <c r="AJ47" s="411"/>
      <c r="AK47" s="411"/>
      <c r="AL47" s="411"/>
      <c r="AM47" s="411"/>
      <c r="AN47" s="411"/>
      <c r="AO47" s="411"/>
      <c r="AP47" s="411"/>
      <c r="AQ47" s="832" t="s">
        <v>2929</v>
      </c>
      <c r="AR47" s="411"/>
      <c r="AS47" s="411"/>
      <c r="AT47" s="411"/>
      <c r="AU47" s="411"/>
      <c r="AV47" s="411"/>
      <c r="AW47" s="411"/>
      <c r="AX47" s="411"/>
      <c r="AY47" s="411"/>
      <c r="AZ47" s="411"/>
      <c r="BA47" s="411"/>
      <c r="BB47" s="411"/>
      <c r="BC47" s="411"/>
      <c r="BD47" s="411"/>
      <c r="BE47" s="411"/>
      <c r="BF47" s="411"/>
      <c r="BG47" s="411"/>
      <c r="BH47" s="411"/>
      <c r="BI47" s="832" t="s">
        <v>2929</v>
      </c>
      <c r="BJ47" s="401"/>
      <c r="BK47" s="401"/>
      <c r="BL47" s="401"/>
      <c r="BM47" s="401"/>
      <c r="BN47" s="401"/>
      <c r="BO47" s="401"/>
      <c r="BP47" s="257"/>
      <c r="BQ47" s="257"/>
      <c r="BR47" s="257"/>
      <c r="BS47" s="257"/>
      <c r="BT47" s="257"/>
      <c r="BU47" s="256"/>
      <c r="BV47" s="256"/>
      <c r="BW47" s="256"/>
      <c r="BX47" s="256"/>
      <c r="BY47" s="256"/>
      <c r="BZ47" s="256"/>
      <c r="CA47" s="256"/>
      <c r="CB47" s="256"/>
      <c r="CC47" s="256"/>
      <c r="CD47" s="256"/>
      <c r="CE47" s="256"/>
    </row>
    <row r="48" spans="1:87" ht="12" thickBot="1">
      <c r="I48" s="1933" t="s">
        <v>559</v>
      </c>
      <c r="J48" s="1477">
        <v>361680.6</v>
      </c>
      <c r="K48" s="1477">
        <v>1986</v>
      </c>
      <c r="L48" s="1477">
        <v>363666.6</v>
      </c>
      <c r="M48" s="1477">
        <v>34998.400000000001</v>
      </c>
      <c r="N48" s="1477">
        <v>328668.19999999995</v>
      </c>
      <c r="O48" s="1477">
        <v>30429.8</v>
      </c>
      <c r="P48" s="1477">
        <v>124860.1</v>
      </c>
      <c r="Q48" s="1477">
        <v>213726.9</v>
      </c>
      <c r="R48" s="1477">
        <v>1879977.1</v>
      </c>
      <c r="S48" s="1477">
        <v>2093704</v>
      </c>
      <c r="T48" s="1477">
        <v>2218564.1</v>
      </c>
      <c r="U48" s="1477">
        <v>573.29999999999995</v>
      </c>
      <c r="V48" s="1477">
        <v>463461.4</v>
      </c>
      <c r="W48" s="1477">
        <v>542968.4</v>
      </c>
      <c r="X48" s="1477">
        <v>2422945.5</v>
      </c>
      <c r="Y48" s="1477">
        <v>2804526.6</v>
      </c>
      <c r="Z48" s="1933" t="s">
        <v>559</v>
      </c>
      <c r="AA48" s="1477">
        <v>0</v>
      </c>
      <c r="AB48" s="1477">
        <v>56121.599999999999</v>
      </c>
      <c r="AC48" s="1477">
        <v>1753190.5</v>
      </c>
      <c r="AD48" s="1477">
        <v>1809312.1</v>
      </c>
      <c r="AE48" s="1477">
        <v>0</v>
      </c>
      <c r="AF48" s="1477">
        <v>404.7</v>
      </c>
      <c r="AG48" s="1477">
        <v>27696.2</v>
      </c>
      <c r="AH48" s="1477">
        <v>28100.9</v>
      </c>
      <c r="AI48" s="1477">
        <v>24972.1</v>
      </c>
      <c r="AJ48" s="1477">
        <v>710657</v>
      </c>
      <c r="AK48" s="1477">
        <v>33004.9</v>
      </c>
      <c r="AL48" s="1477">
        <v>743661.9</v>
      </c>
      <c r="AM48" s="1477">
        <v>24972.1</v>
      </c>
      <c r="AN48" s="1477">
        <v>767183.3</v>
      </c>
      <c r="AO48" s="1477">
        <v>1813891.5999999999</v>
      </c>
      <c r="AP48" s="1477">
        <v>2581074.9</v>
      </c>
      <c r="AQ48" s="1933" t="s">
        <v>559</v>
      </c>
      <c r="AR48" s="1477">
        <v>17476.2</v>
      </c>
      <c r="AS48" s="1477">
        <v>222972.5</v>
      </c>
      <c r="AT48" s="1477">
        <v>34080.400000000001</v>
      </c>
      <c r="AU48" s="1477">
        <v>609.70000000000005</v>
      </c>
      <c r="AV48" s="1477">
        <f>2234440.4-14.2822</f>
        <v>2234426.1178000001</v>
      </c>
      <c r="AW48" s="1477">
        <v>22698.6</v>
      </c>
      <c r="AX48" s="1477">
        <f>AV48+AW48</f>
        <v>2257124.7178000002</v>
      </c>
      <c r="AY48" s="1477">
        <f>0.04*AX48</f>
        <v>90284.988712000006</v>
      </c>
      <c r="AZ48" s="1477">
        <f t="shared" ref="AZ48" si="157">BA48-AY48</f>
        <v>8931.8756880000001</v>
      </c>
      <c r="BA48" s="1477">
        <f>99221.5-4.6356</f>
        <v>99216.864400000006</v>
      </c>
      <c r="BB48" s="1718">
        <v>6692101.5</v>
      </c>
      <c r="BC48" s="1477">
        <f t="shared" ref="BC48" si="158">L48+BA48</f>
        <v>462883.4644</v>
      </c>
      <c r="BD48" s="1477">
        <v>22520.9</v>
      </c>
      <c r="BE48" s="1477">
        <v>64313.1</v>
      </c>
      <c r="BF48" s="1477">
        <v>23523.7</v>
      </c>
      <c r="BG48" s="1477">
        <v>707695.4</v>
      </c>
      <c r="BH48" s="1477">
        <v>818053.1</v>
      </c>
      <c r="BI48" s="1933" t="s">
        <v>559</v>
      </c>
      <c r="BJ48" s="1934">
        <v>34.11</v>
      </c>
      <c r="BK48" s="1934">
        <v>-10.59</v>
      </c>
      <c r="BL48" s="1934">
        <v>4.62</v>
      </c>
      <c r="BM48" s="1934">
        <v>10.74</v>
      </c>
      <c r="BN48" s="1934">
        <v>11.76</v>
      </c>
      <c r="BO48" s="1934" t="s">
        <v>292</v>
      </c>
      <c r="BP48" s="1436">
        <v>3847</v>
      </c>
      <c r="BQ48" s="1436">
        <v>1543</v>
      </c>
      <c r="BR48" s="1436">
        <v>5972</v>
      </c>
      <c r="BS48" s="1436">
        <v>63</v>
      </c>
      <c r="BT48" s="1436">
        <f>SUM(BP48:BS48)</f>
        <v>11425</v>
      </c>
      <c r="BU48" s="633">
        <f>AP48/AV48*100</f>
        <v>115.51399616386992</v>
      </c>
      <c r="BV48" s="633">
        <f t="shared" ref="BV48" si="159">AV48/BT48</f>
        <v>195.57340199562364</v>
      </c>
      <c r="BW48" s="633">
        <f>AP48/BT48</f>
        <v>225.91465207877462</v>
      </c>
      <c r="BX48" s="633">
        <f t="shared" ref="BX48" si="160">(M48+BA48)/AV48*100</f>
        <v>6.0066995874603988</v>
      </c>
      <c r="BY48" s="633">
        <v>4</v>
      </c>
      <c r="BZ48" s="633">
        <v>6.21</v>
      </c>
      <c r="CA48" s="633">
        <v>11.81</v>
      </c>
      <c r="CB48" s="633">
        <f t="shared" si="85"/>
        <v>5.6000000000000005</v>
      </c>
      <c r="CC48" s="633">
        <v>10.07</v>
      </c>
      <c r="CD48" s="633">
        <v>13.69</v>
      </c>
      <c r="CE48" s="633">
        <f t="shared" si="86"/>
        <v>3.6199999999999992</v>
      </c>
    </row>
    <row r="49" spans="9:83">
      <c r="I49" s="1415" t="s">
        <v>30</v>
      </c>
      <c r="J49" s="2038" t="s">
        <v>1393</v>
      </c>
      <c r="K49" s="2038"/>
      <c r="L49" s="2038"/>
      <c r="M49" s="2038"/>
      <c r="N49" s="2038"/>
      <c r="O49" s="2038"/>
      <c r="P49" s="2038"/>
      <c r="Q49" s="2038"/>
      <c r="R49" s="1416" t="s">
        <v>2273</v>
      </c>
      <c r="S49" s="2071" t="s">
        <v>185</v>
      </c>
      <c r="T49" s="2071"/>
      <c r="U49" s="2071"/>
      <c r="V49" s="2071"/>
      <c r="W49" s="2071"/>
      <c r="X49" s="2071"/>
      <c r="Y49" s="2071"/>
      <c r="Z49" s="1415" t="s">
        <v>30</v>
      </c>
      <c r="AA49" s="2072" t="s">
        <v>1779</v>
      </c>
      <c r="AB49" s="2072"/>
      <c r="AC49" s="2072"/>
      <c r="AD49" s="2072"/>
      <c r="AE49" s="2072"/>
      <c r="AF49" s="2072"/>
      <c r="AG49" s="2072"/>
      <c r="AH49" s="2072"/>
      <c r="AI49" s="1417" t="s">
        <v>2650</v>
      </c>
      <c r="AJ49" s="2065" t="s">
        <v>1189</v>
      </c>
      <c r="AK49" s="2065"/>
      <c r="AL49" s="2065"/>
      <c r="AM49" s="2065"/>
      <c r="AN49" s="2065"/>
      <c r="AO49" s="2065"/>
      <c r="AP49" s="2065"/>
      <c r="AQ49" s="1418"/>
      <c r="AR49" s="1419"/>
      <c r="AS49" s="1419"/>
      <c r="AT49" s="1419"/>
      <c r="AU49" s="1419"/>
      <c r="AV49" s="1419"/>
      <c r="AW49" s="1419"/>
      <c r="AX49" s="211"/>
      <c r="AY49" s="1415" t="s">
        <v>675</v>
      </c>
      <c r="AZ49" s="1420" t="s">
        <v>1303</v>
      </c>
      <c r="BA49" s="1420"/>
      <c r="BB49" s="1420"/>
      <c r="BC49" s="1420"/>
      <c r="BD49" s="1420"/>
      <c r="BE49" s="1420"/>
      <c r="BF49" s="1420"/>
      <c r="BG49" s="1420"/>
      <c r="BH49" s="1420"/>
      <c r="BI49" s="1421"/>
      <c r="BJ49" s="2038"/>
      <c r="BK49" s="2038"/>
      <c r="BL49" s="2038"/>
      <c r="BM49" s="2038"/>
      <c r="BN49" s="2038"/>
      <c r="BO49" s="2038"/>
      <c r="BP49" s="2038"/>
      <c r="BQ49" s="2038"/>
      <c r="BR49" s="2038"/>
      <c r="BS49" s="2038"/>
      <c r="BT49" s="1420"/>
      <c r="BU49" s="1415" t="s">
        <v>980</v>
      </c>
      <c r="BV49" s="1420" t="s">
        <v>981</v>
      </c>
      <c r="BW49" s="1420"/>
      <c r="BX49" s="1420"/>
      <c r="BY49" s="406"/>
      <c r="BZ49" s="406"/>
      <c r="CA49" s="406"/>
      <c r="CB49" s="407"/>
      <c r="CC49" s="35"/>
      <c r="CD49" s="407"/>
      <c r="CE49" s="407"/>
    </row>
    <row r="50" spans="9:83" ht="12">
      <c r="I50" s="407"/>
      <c r="J50" s="2037" t="s">
        <v>2103</v>
      </c>
      <c r="K50" s="2037"/>
      <c r="L50" s="2037"/>
      <c r="M50" s="2037"/>
      <c r="N50" s="2037"/>
      <c r="O50" s="2037"/>
      <c r="P50" s="2037"/>
      <c r="Q50" s="2037"/>
      <c r="R50" s="407"/>
      <c r="S50" s="2021" t="s">
        <v>1167</v>
      </c>
      <c r="T50" s="2021"/>
      <c r="U50" s="407"/>
      <c r="V50" s="793"/>
      <c r="W50" s="793"/>
      <c r="X50" s="793"/>
      <c r="Y50" s="793"/>
      <c r="Z50" s="870"/>
      <c r="AA50" s="579"/>
      <c r="AB50" s="579"/>
      <c r="AC50" s="579"/>
      <c r="AD50" s="579"/>
      <c r="AE50" s="579"/>
      <c r="AF50" s="579"/>
      <c r="AG50" s="579"/>
      <c r="AH50" s="579"/>
      <c r="AI50" s="405"/>
      <c r="AJ50" s="2066" t="s">
        <v>1204</v>
      </c>
      <c r="AK50" s="2066"/>
      <c r="AL50" s="2066"/>
      <c r="AM50" s="2066"/>
      <c r="AN50" s="2066"/>
      <c r="AO50" s="2066"/>
      <c r="AP50" s="2066"/>
      <c r="AQ50" s="408"/>
      <c r="AR50" s="802"/>
      <c r="AS50" s="406"/>
      <c r="AT50" s="406"/>
      <c r="AU50" s="406"/>
      <c r="AV50" s="408"/>
      <c r="AW50" s="416"/>
      <c r="AX50" s="416"/>
      <c r="AY50" s="407"/>
      <c r="AZ50" s="2021" t="s">
        <v>1501</v>
      </c>
      <c r="BA50" s="2021"/>
      <c r="BB50" s="2021"/>
      <c r="BC50" s="2021"/>
      <c r="BD50" s="2021"/>
      <c r="BE50" s="2021"/>
      <c r="BF50" s="2021"/>
      <c r="BG50" s="2021"/>
      <c r="BH50" s="2021"/>
      <c r="BI50" s="407"/>
      <c r="BJ50" s="405"/>
      <c r="BK50" s="405"/>
      <c r="BL50" s="405"/>
      <c r="BM50" s="9"/>
      <c r="BN50" s="9"/>
      <c r="BO50" s="9"/>
      <c r="BU50" s="407"/>
      <c r="BV50" s="407" t="s">
        <v>1277</v>
      </c>
      <c r="BW50" s="406"/>
      <c r="BX50" s="406"/>
      <c r="BY50" s="406"/>
      <c r="BZ50" s="406"/>
      <c r="CA50" s="406"/>
      <c r="CB50" s="407"/>
      <c r="CC50" s="407"/>
      <c r="CD50" s="407"/>
      <c r="CE50" s="407"/>
    </row>
    <row r="51" spans="9:83" ht="12">
      <c r="I51" s="404"/>
      <c r="J51" s="2021" t="s">
        <v>1275</v>
      </c>
      <c r="K51" s="2021"/>
      <c r="L51" s="2021"/>
      <c r="M51" s="2021"/>
      <c r="N51" s="2021"/>
      <c r="O51" s="2021"/>
      <c r="P51" s="2021"/>
      <c r="Q51" s="2021"/>
      <c r="R51" s="802"/>
      <c r="S51" s="802"/>
      <c r="T51" s="9"/>
      <c r="U51" s="802"/>
      <c r="V51" s="1056"/>
      <c r="W51" s="793"/>
      <c r="X51" s="1283"/>
      <c r="Y51" s="793"/>
      <c r="Z51" s="870"/>
      <c r="AA51" s="2022"/>
      <c r="AB51" s="2022"/>
      <c r="AC51" s="2022"/>
      <c r="AD51" s="2022"/>
      <c r="AE51" s="2022"/>
      <c r="AF51" s="2022"/>
      <c r="AG51" s="2022"/>
      <c r="AH51" s="2022"/>
      <c r="AI51" s="406"/>
      <c r="AJ51" s="426"/>
      <c r="AK51" s="426"/>
      <c r="AL51" s="406"/>
      <c r="AM51" s="406"/>
      <c r="AN51" s="406"/>
      <c r="AO51" s="406"/>
      <c r="AP51" s="408"/>
      <c r="AQ51" s="408"/>
      <c r="AR51" s="406"/>
      <c r="AS51" s="406"/>
      <c r="AT51" s="406"/>
      <c r="AU51" s="406"/>
      <c r="AV51" s="1571"/>
      <c r="AW51" s="416"/>
      <c r="AX51" s="408"/>
      <c r="AY51" s="409"/>
      <c r="AZ51" s="2021" t="s">
        <v>1302</v>
      </c>
      <c r="BA51" s="2021"/>
      <c r="BB51" s="2021"/>
      <c r="BC51" s="2021"/>
      <c r="BD51" s="2021"/>
      <c r="BE51" s="2021"/>
      <c r="BF51" s="2021"/>
      <c r="BG51" s="2021"/>
      <c r="BH51" s="2021"/>
      <c r="BI51" s="407"/>
      <c r="BJ51" s="407"/>
      <c r="BK51" s="407"/>
      <c r="BL51" s="407"/>
      <c r="BM51" s="407"/>
      <c r="BN51" s="9"/>
      <c r="BO51" s="9"/>
      <c r="BP51" s="9"/>
      <c r="BQ51" s="9"/>
      <c r="BR51" s="9"/>
      <c r="BS51" s="9"/>
      <c r="BT51" s="9"/>
      <c r="BU51" s="407"/>
      <c r="BV51" s="1624" t="s">
        <v>2897</v>
      </c>
      <c r="BW51" s="441"/>
      <c r="BX51" s="406"/>
      <c r="BY51" s="407"/>
      <c r="BZ51" s="407"/>
      <c r="CA51" s="407"/>
      <c r="CB51" s="407"/>
      <c r="CC51" s="407"/>
      <c r="CD51" s="407"/>
      <c r="CE51" s="407"/>
    </row>
    <row r="52" spans="9:83" ht="12">
      <c r="I52" s="1366" t="s">
        <v>261</v>
      </c>
      <c r="J52" s="405" t="s">
        <v>1206</v>
      </c>
      <c r="K52" s="405"/>
      <c r="L52" s="405"/>
      <c r="M52" s="404"/>
      <c r="N52" s="1553"/>
      <c r="O52" s="404"/>
      <c r="P52" s="39" t="s">
        <v>1296</v>
      </c>
      <c r="Q52" s="736"/>
      <c r="R52" s="736"/>
      <c r="S52" s="869"/>
      <c r="T52" s="9"/>
      <c r="U52" s="407"/>
      <c r="V52" s="1056"/>
      <c r="W52" s="793"/>
      <c r="X52" s="1283"/>
      <c r="Y52" s="793"/>
      <c r="Z52" s="870"/>
      <c r="AA52" s="802"/>
      <c r="AD52" s="407"/>
      <c r="AE52" s="407"/>
      <c r="AF52" s="409"/>
      <c r="AG52" s="407"/>
      <c r="AH52" s="407"/>
      <c r="AI52" s="407"/>
      <c r="AJ52" s="426"/>
      <c r="AK52" s="426"/>
      <c r="AL52" s="407"/>
      <c r="AM52" s="407"/>
      <c r="AN52" s="407"/>
      <c r="AO52" s="407"/>
      <c r="AP52" s="407"/>
      <c r="AQ52" s="407"/>
      <c r="AR52" s="793"/>
      <c r="AS52" s="407"/>
      <c r="AT52" s="407"/>
      <c r="AU52" s="407"/>
      <c r="AX52" s="408"/>
      <c r="AY52" s="407"/>
      <c r="AZ52" s="2064" t="s">
        <v>1542</v>
      </c>
      <c r="BA52" s="2064"/>
      <c r="BB52" s="2064"/>
      <c r="BC52" s="2064"/>
      <c r="BD52" s="2064"/>
      <c r="BE52" s="2064"/>
      <c r="BF52" s="2064"/>
      <c r="BG52" s="2064"/>
      <c r="BH52" s="2064"/>
      <c r="BI52" s="407"/>
      <c r="BJ52" s="409"/>
      <c r="BK52" s="409"/>
      <c r="BL52" s="407"/>
      <c r="BM52" s="9"/>
      <c r="BN52" s="9"/>
      <c r="BO52" s="407"/>
      <c r="BP52" s="9"/>
      <c r="BQ52" s="9"/>
      <c r="BR52" s="9"/>
      <c r="BS52" s="9"/>
      <c r="BT52" s="9"/>
      <c r="BV52" s="1624" t="s">
        <v>2898</v>
      </c>
    </row>
    <row r="53" spans="9:83" ht="12.75">
      <c r="I53" s="9"/>
      <c r="J53" s="9"/>
      <c r="K53" s="9"/>
      <c r="L53" s="9"/>
      <c r="M53" s="9"/>
      <c r="N53" s="1553"/>
      <c r="O53" s="9"/>
      <c r="P53" s="9"/>
      <c r="Q53" s="9"/>
      <c r="R53" s="9"/>
      <c r="S53" s="9"/>
      <c r="T53" s="9"/>
      <c r="V53" s="1056"/>
      <c r="W53" s="793"/>
      <c r="X53" s="1283"/>
      <c r="Y53" s="793"/>
      <c r="Z53" s="870"/>
      <c r="AA53" s="36"/>
      <c r="AF53" s="211"/>
      <c r="AR53" s="36"/>
      <c r="AS53" s="36"/>
      <c r="AT53" s="36"/>
      <c r="AU53" s="36"/>
      <c r="AV53" s="36"/>
      <c r="AX53" s="408"/>
      <c r="AY53" s="9"/>
      <c r="AZ53" s="9"/>
      <c r="BA53" s="9"/>
      <c r="BB53" s="9"/>
      <c r="BC53" s="9"/>
      <c r="BD53" s="9"/>
      <c r="BE53" s="9"/>
      <c r="BF53" s="9"/>
      <c r="BG53" s="39"/>
      <c r="BH53" s="9"/>
      <c r="BU53" s="1366"/>
      <c r="BV53" s="409"/>
      <c r="BY53" s="231"/>
      <c r="BZ53" s="786"/>
      <c r="CA53" s="786"/>
      <c r="CB53" s="786"/>
      <c r="CC53" s="786"/>
      <c r="CD53" s="231"/>
      <c r="CE53" s="231"/>
    </row>
    <row r="54" spans="9:83">
      <c r="I54" s="152"/>
      <c r="J54" s="1613"/>
      <c r="K54" s="1613"/>
      <c r="L54" s="1613"/>
      <c r="M54" s="1613"/>
      <c r="N54" s="1613"/>
      <c r="O54" s="1613"/>
      <c r="P54" s="1613"/>
      <c r="Q54" s="1613"/>
      <c r="R54" s="1613"/>
      <c r="S54" s="1613"/>
      <c r="T54" s="1614"/>
      <c r="U54" s="1613"/>
      <c r="V54" s="1615"/>
      <c r="W54" s="1616"/>
      <c r="X54" s="1617"/>
      <c r="Y54" s="793"/>
      <c r="Z54" s="870"/>
      <c r="AA54" s="1612"/>
      <c r="AB54" s="1610"/>
      <c r="AC54" s="1610"/>
      <c r="AD54" s="1008"/>
      <c r="AE54" s="1008"/>
      <c r="AF54" s="1613"/>
      <c r="AG54" s="1618"/>
      <c r="AH54" s="1008"/>
      <c r="AI54" s="1619"/>
      <c r="AJ54" s="1619"/>
      <c r="AK54" s="1619"/>
      <c r="AL54" s="1620"/>
      <c r="AM54" s="1008"/>
      <c r="AN54" s="1008"/>
      <c r="AO54" s="1008"/>
      <c r="AP54" s="1008"/>
      <c r="AQ54" s="191"/>
      <c r="AR54" s="1613"/>
      <c r="AS54" s="1613"/>
      <c r="AT54" s="1613"/>
      <c r="AU54" s="1613"/>
      <c r="AV54" s="1613"/>
      <c r="AW54" s="1613"/>
      <c r="AX54" s="1008"/>
      <c r="AY54" s="1008"/>
      <c r="AZ54" s="1008"/>
      <c r="BA54" s="1613"/>
      <c r="BB54" s="1613"/>
      <c r="BC54" s="357"/>
      <c r="BD54" s="1613"/>
      <c r="BE54" s="1613"/>
      <c r="BF54" s="1613"/>
      <c r="BG54" s="1613"/>
      <c r="BH54" s="1613"/>
      <c r="BI54" s="191"/>
      <c r="BJ54" s="1259"/>
      <c r="BK54" s="1259"/>
      <c r="BL54" s="1259"/>
      <c r="BM54" s="1259"/>
      <c r="BN54" s="1259"/>
      <c r="BO54" s="1259"/>
      <c r="BP54" s="1259"/>
      <c r="BQ54" s="1259"/>
      <c r="BR54" s="1621"/>
      <c r="BS54" s="1621"/>
      <c r="BT54" s="1621"/>
      <c r="BU54" s="33"/>
      <c r="BV54" s="33"/>
      <c r="BW54" s="1259"/>
      <c r="BX54" s="1259"/>
      <c r="BY54" s="33"/>
      <c r="BZ54" s="33"/>
      <c r="CA54" s="33"/>
      <c r="CB54" s="33"/>
      <c r="CC54" s="33"/>
      <c r="CD54" s="33"/>
      <c r="CE54" s="33"/>
    </row>
    <row r="55" spans="9:83" ht="12.75">
      <c r="I55" s="9"/>
      <c r="J55" s="33"/>
      <c r="K55" s="33"/>
      <c r="L55" s="1622"/>
      <c r="M55" s="1622"/>
      <c r="N55" s="1613"/>
      <c r="O55" s="33"/>
      <c r="P55" s="33"/>
      <c r="Q55" s="1622"/>
      <c r="R55" s="33"/>
      <c r="S55" s="33"/>
      <c r="T55" s="33"/>
      <c r="U55" s="33"/>
      <c r="V55" s="1615"/>
      <c r="W55" s="1616"/>
      <c r="X55" s="1617"/>
      <c r="Y55" s="793"/>
      <c r="Z55" s="870"/>
      <c r="AA55" s="33"/>
      <c r="AB55" s="33"/>
      <c r="AC55" s="33"/>
      <c r="AD55" s="1008"/>
      <c r="AE55" s="162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1613"/>
      <c r="AS55" s="1613"/>
      <c r="AT55" s="1613"/>
      <c r="AU55" s="1613"/>
      <c r="AV55" s="33"/>
      <c r="AW55" s="33"/>
      <c r="AX55" s="1622"/>
      <c r="AY55" s="33"/>
      <c r="AZ55" s="1622"/>
      <c r="BA55" s="33"/>
      <c r="BB55" s="33"/>
      <c r="BC55" s="357"/>
      <c r="BD55" s="33"/>
      <c r="BE55" s="33"/>
      <c r="BF55" s="1622"/>
      <c r="BG55" s="1622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1622"/>
      <c r="BZ55" s="1622"/>
      <c r="CA55" s="1622"/>
      <c r="CB55" s="1622"/>
      <c r="CC55" s="1622"/>
      <c r="CD55" s="1622"/>
      <c r="CE55" s="1622"/>
    </row>
    <row r="56" spans="9:83">
      <c r="I56" s="9"/>
      <c r="J56" s="1622"/>
      <c r="K56" s="1622"/>
      <c r="L56" s="1622"/>
      <c r="M56" s="1622"/>
      <c r="N56" s="1613"/>
      <c r="O56" s="1622"/>
      <c r="P56" s="1622"/>
      <c r="Q56" s="1622"/>
      <c r="R56" s="1622"/>
      <c r="S56" s="1622"/>
      <c r="T56" s="1610"/>
      <c r="U56" s="1622"/>
      <c r="V56" s="1622"/>
      <c r="W56" s="1616"/>
      <c r="X56" s="1617"/>
      <c r="Y56" s="793"/>
      <c r="Z56" s="870"/>
      <c r="AA56" s="1622"/>
      <c r="AB56" s="1622"/>
      <c r="AC56" s="1622"/>
      <c r="AD56" s="1008"/>
      <c r="AE56" s="1622"/>
      <c r="AF56" s="1622"/>
      <c r="AG56" s="1622"/>
      <c r="AH56" s="1622"/>
      <c r="AI56" s="1622"/>
      <c r="AJ56" s="1622"/>
      <c r="AK56" s="1622"/>
      <c r="AL56" s="1622"/>
      <c r="AM56" s="1622"/>
      <c r="AN56" s="1622"/>
      <c r="AO56" s="1622"/>
      <c r="AP56" s="1622"/>
      <c r="AQ56" s="1622"/>
      <c r="AR56" s="1912"/>
      <c r="AS56" s="1912"/>
      <c r="AT56" s="1613"/>
      <c r="AU56" s="1613"/>
      <c r="AV56" s="1622"/>
      <c r="AW56" s="1622"/>
      <c r="AX56" s="1622"/>
      <c r="AY56" s="1622"/>
      <c r="AZ56" s="1622"/>
      <c r="BA56" s="1622"/>
      <c r="BB56" s="33"/>
      <c r="BC56" s="357"/>
      <c r="BD56" s="1622"/>
      <c r="BE56" s="1622"/>
      <c r="BF56" s="1622"/>
      <c r="BG56" s="1622"/>
      <c r="BH56" s="1622"/>
      <c r="BI56" s="1622"/>
      <c r="BJ56" s="1622"/>
      <c r="BK56" s="1622"/>
      <c r="BL56" s="1622"/>
      <c r="BM56" s="1622"/>
      <c r="BN56" s="1622"/>
      <c r="BO56" s="1622"/>
      <c r="BP56" s="1622"/>
      <c r="BQ56" s="1622"/>
      <c r="BR56" s="1622"/>
      <c r="BS56" s="1622"/>
      <c r="BT56" s="1622"/>
      <c r="BU56" s="1622"/>
      <c r="BV56" s="1622"/>
      <c r="BW56" s="1622"/>
      <c r="BX56" s="1622"/>
      <c r="BY56" s="33"/>
      <c r="BZ56" s="33"/>
      <c r="CA56" s="33"/>
      <c r="CB56" s="569"/>
      <c r="CC56" s="33"/>
      <c r="CD56" s="33"/>
      <c r="CE56" s="33"/>
    </row>
    <row r="57" spans="9:83">
      <c r="I57" s="9"/>
      <c r="J57" s="141"/>
      <c r="K57" s="141"/>
      <c r="L57" s="141"/>
      <c r="M57" s="141"/>
      <c r="N57" s="141"/>
      <c r="O57" s="141"/>
      <c r="P57" s="141"/>
      <c r="Q57" s="141"/>
      <c r="R57" s="141"/>
      <c r="S57" s="141"/>
      <c r="T57" s="141"/>
      <c r="U57" s="141"/>
      <c r="V57" s="141"/>
      <c r="W57" s="793"/>
      <c r="X57" s="1283"/>
      <c r="Y57" s="793"/>
      <c r="Z57" s="870"/>
      <c r="AA57" s="141"/>
      <c r="AB57" s="141"/>
      <c r="AC57" s="141"/>
      <c r="AD57" s="1008"/>
      <c r="AE57" s="141"/>
      <c r="AF57" s="141"/>
      <c r="AG57" s="141"/>
      <c r="AH57" s="141"/>
      <c r="AI57" s="141"/>
      <c r="AJ57" s="141"/>
      <c r="AK57" s="141"/>
      <c r="AL57" s="150"/>
      <c r="AM57" s="141"/>
      <c r="AN57" s="141"/>
      <c r="AO57" s="141"/>
      <c r="AP57" s="141"/>
      <c r="AQ57" s="141"/>
      <c r="AR57" s="141"/>
      <c r="AS57" s="141"/>
      <c r="AT57" s="141"/>
      <c r="AU57" s="141"/>
      <c r="AV57" s="141"/>
      <c r="AW57" s="141"/>
      <c r="AX57" s="141"/>
      <c r="AY57" s="141"/>
      <c r="AZ57" s="141"/>
      <c r="BA57" s="141"/>
      <c r="BB57" s="141"/>
      <c r="BC57" s="141"/>
      <c r="BD57" s="141"/>
      <c r="BE57" s="9"/>
      <c r="BF57" s="9"/>
      <c r="BG57" s="9"/>
      <c r="BH57" s="9"/>
      <c r="BI57" s="150"/>
      <c r="BJ57" s="9"/>
      <c r="BK57" s="9"/>
      <c r="BL57" s="9"/>
      <c r="BM57" s="9"/>
      <c r="BN57" s="9"/>
      <c r="BO57" s="9"/>
      <c r="BP57" s="9"/>
      <c r="BS57" s="693"/>
      <c r="BT57" s="9"/>
      <c r="BU57" s="9"/>
      <c r="BV57" s="9"/>
      <c r="BW57" s="9"/>
      <c r="BX57" s="9"/>
      <c r="BY57" s="36"/>
      <c r="BZ57" s="36"/>
      <c r="CA57" s="36"/>
      <c r="CB57" s="36"/>
      <c r="CC57" s="36"/>
      <c r="CD57" s="36"/>
      <c r="CE57" s="36"/>
    </row>
    <row r="58" spans="9:83"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793"/>
      <c r="Z58" s="870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36"/>
      <c r="BS58" s="36"/>
      <c r="BT58" s="36"/>
      <c r="BU58" s="36"/>
      <c r="BV58" s="36"/>
      <c r="BW58" s="36"/>
      <c r="BX58" s="36"/>
      <c r="BY58" s="36"/>
      <c r="BZ58" s="36"/>
      <c r="CA58" s="36"/>
      <c r="CB58" s="36"/>
      <c r="CC58" s="36"/>
      <c r="CD58" s="36"/>
      <c r="CE58" s="36"/>
    </row>
    <row r="59" spans="9:83"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793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36"/>
      <c r="BY59" s="36"/>
      <c r="BZ59" s="36"/>
      <c r="CA59" s="36"/>
      <c r="CB59" s="36"/>
      <c r="CC59" s="36"/>
      <c r="CD59" s="36"/>
      <c r="CE59" s="36"/>
    </row>
    <row r="60" spans="9:83"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793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1916"/>
      <c r="BF60" s="1916"/>
      <c r="BG60" s="1916"/>
      <c r="BH60" s="191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BZ60" s="36"/>
      <c r="CA60" s="36"/>
      <c r="CB60" s="36"/>
      <c r="CC60" s="36"/>
      <c r="CD60" s="36"/>
      <c r="CE60" s="36"/>
    </row>
    <row r="61" spans="9:83"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793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</row>
    <row r="62" spans="9:83" ht="12.75" customHeight="1"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793"/>
      <c r="Z62" s="36"/>
      <c r="AA62" s="36"/>
      <c r="AB62" s="36"/>
      <c r="AC62" s="36"/>
      <c r="AD62" s="1008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</row>
    <row r="63" spans="9:83" ht="12" customHeight="1">
      <c r="V63" s="36"/>
      <c r="W63" s="793"/>
      <c r="X63" s="1283"/>
      <c r="Z63" s="870"/>
      <c r="AB63" s="36"/>
      <c r="AD63" s="36"/>
      <c r="AE63" s="36"/>
      <c r="AY63" s="9"/>
      <c r="AZ63" s="9"/>
      <c r="BA63" s="9"/>
      <c r="BB63" s="9"/>
      <c r="BC63" s="9"/>
      <c r="BD63" s="9"/>
      <c r="BE63" s="9"/>
      <c r="BF63" s="9"/>
      <c r="BG63" s="9"/>
      <c r="BH63" s="9"/>
    </row>
    <row r="64" spans="9:83" ht="15" customHeight="1">
      <c r="V64" s="36"/>
      <c r="W64" s="793"/>
      <c r="Z64" s="870"/>
      <c r="AB64" s="36"/>
      <c r="AD64" s="36"/>
      <c r="AE64" s="36"/>
      <c r="AY64" s="9"/>
      <c r="AZ64" s="9"/>
      <c r="BA64" s="9"/>
      <c r="BB64" s="9"/>
      <c r="BC64" s="9"/>
      <c r="BD64" s="9"/>
      <c r="BE64" s="9"/>
      <c r="BF64" s="9"/>
      <c r="BG64" s="9"/>
      <c r="BH64" s="9"/>
    </row>
    <row r="65" spans="10:83" ht="12" customHeight="1">
      <c r="W65" s="793"/>
      <c r="AB65" s="36"/>
      <c r="AD65" s="36"/>
      <c r="AE65" s="36"/>
      <c r="AY65" s="9"/>
      <c r="AZ65" s="9"/>
      <c r="BA65" s="9"/>
      <c r="BB65" s="9"/>
      <c r="BC65" s="9"/>
      <c r="BD65" s="9"/>
      <c r="BE65" s="9"/>
      <c r="BF65" s="9"/>
      <c r="BG65" s="9"/>
      <c r="BH65" s="9"/>
    </row>
    <row r="66" spans="10:83" ht="12" customHeight="1">
      <c r="W66" s="793"/>
      <c r="AB66" s="36"/>
      <c r="AD66" s="36"/>
      <c r="AE66" s="36"/>
      <c r="AY66" s="9"/>
      <c r="AZ66" s="9"/>
      <c r="BA66" s="9"/>
      <c r="BB66" s="9"/>
      <c r="BC66" s="9"/>
      <c r="BD66" s="9"/>
      <c r="BE66" s="9"/>
      <c r="BF66" s="9"/>
      <c r="BG66" s="9"/>
      <c r="BH66" s="9"/>
    </row>
    <row r="67" spans="10:83">
      <c r="W67" s="793"/>
      <c r="AB67" s="36"/>
      <c r="AD67" s="36"/>
      <c r="AE67" s="36"/>
      <c r="AY67" s="9"/>
      <c r="AZ67" s="9"/>
      <c r="BA67" s="9"/>
      <c r="BB67" s="9"/>
      <c r="BC67" s="9"/>
      <c r="BD67" s="9"/>
      <c r="BE67" s="9"/>
      <c r="BF67" s="9"/>
      <c r="BG67" s="9"/>
      <c r="BH67" s="9"/>
      <c r="BY67" s="36"/>
      <c r="BZ67" s="36"/>
      <c r="CA67" s="36"/>
      <c r="CB67" s="36"/>
      <c r="CC67" s="36"/>
      <c r="CD67" s="36"/>
      <c r="CE67" s="36"/>
    </row>
    <row r="68" spans="10:83"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793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36"/>
      <c r="BX68" s="36"/>
      <c r="BY68" s="36"/>
      <c r="BZ68" s="36"/>
      <c r="CA68" s="36"/>
      <c r="CB68" s="36"/>
      <c r="CC68" s="36"/>
      <c r="CD68" s="36"/>
      <c r="CE68" s="36"/>
    </row>
    <row r="69" spans="10:83"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1283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</row>
    <row r="70" spans="10:83"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1283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6"/>
      <c r="BX70" s="36"/>
      <c r="BY70" s="36"/>
      <c r="BZ70" s="36"/>
      <c r="CA70" s="36"/>
      <c r="CB70" s="36"/>
      <c r="CC70" s="36"/>
      <c r="CD70" s="36"/>
      <c r="CE70" s="36"/>
    </row>
    <row r="71" spans="10:83"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1283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6"/>
      <c r="BX71" s="36"/>
      <c r="BY71" s="36"/>
      <c r="BZ71" s="36"/>
      <c r="CA71" s="36"/>
      <c r="CB71" s="36"/>
      <c r="CC71" s="36"/>
      <c r="CD71" s="36"/>
      <c r="CE71" s="36"/>
    </row>
    <row r="72" spans="10:83"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1283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  <c r="BX72" s="36"/>
      <c r="BY72" s="36"/>
      <c r="BZ72" s="36"/>
      <c r="CA72" s="36"/>
      <c r="CB72" s="36"/>
      <c r="CC72" s="36"/>
      <c r="CD72" s="36"/>
      <c r="CE72" s="36"/>
    </row>
    <row r="73" spans="10:83"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1283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  <c r="CD73" s="36"/>
      <c r="CE73" s="36"/>
    </row>
    <row r="74" spans="10:83"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1283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36"/>
      <c r="BV74" s="36"/>
      <c r="BW74" s="36"/>
      <c r="BX74" s="36"/>
      <c r="BY74" s="36"/>
      <c r="BZ74" s="36"/>
      <c r="CA74" s="36"/>
      <c r="CB74" s="36"/>
      <c r="CC74" s="36"/>
      <c r="CD74" s="36"/>
      <c r="CE74" s="36"/>
    </row>
    <row r="75" spans="10:83"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1283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</row>
    <row r="76" spans="10:83"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1283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</row>
    <row r="77" spans="10:83"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1283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  <c r="CE77" s="36"/>
    </row>
    <row r="78" spans="10:83"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1283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</row>
    <row r="79" spans="10:83">
      <c r="W79" s="1283"/>
      <c r="AD79" s="36"/>
      <c r="AE79" s="36"/>
      <c r="AY79" s="9"/>
      <c r="AZ79" s="9"/>
      <c r="BA79" s="9"/>
      <c r="BB79" s="9"/>
      <c r="BC79" s="9"/>
      <c r="BD79" s="9"/>
      <c r="BE79" s="9"/>
      <c r="BF79" s="9"/>
      <c r="BG79" s="9"/>
      <c r="BH79" s="9"/>
    </row>
    <row r="80" spans="10:83">
      <c r="W80" s="1283"/>
      <c r="AD80" s="36"/>
      <c r="AE80" s="36"/>
      <c r="AY80" s="9"/>
      <c r="AZ80" s="9"/>
      <c r="BA80" s="9"/>
      <c r="BB80" s="9"/>
      <c r="BC80" s="9"/>
      <c r="BD80" s="9"/>
      <c r="BE80" s="9"/>
      <c r="BF80" s="9"/>
      <c r="BG80" s="9"/>
      <c r="BH80" s="9"/>
    </row>
    <row r="81" spans="23:60">
      <c r="W81" s="1283"/>
      <c r="AD81" s="36"/>
      <c r="AE81" s="36"/>
      <c r="AY81" s="9"/>
      <c r="AZ81" s="9"/>
      <c r="BA81" s="9"/>
      <c r="BB81" s="9"/>
      <c r="BC81" s="9"/>
      <c r="BD81" s="9"/>
      <c r="BE81" s="9"/>
      <c r="BF81" s="9"/>
      <c r="BG81" s="9"/>
      <c r="BH81" s="9"/>
    </row>
    <row r="82" spans="23:60">
      <c r="W82" s="1283"/>
      <c r="AD82" s="36"/>
      <c r="AE82" s="36"/>
      <c r="AY82" s="9"/>
      <c r="AZ82" s="9"/>
      <c r="BA82" s="9"/>
      <c r="BB82" s="9"/>
      <c r="BC82" s="9"/>
      <c r="BD82" s="9"/>
      <c r="BE82" s="9"/>
      <c r="BF82" s="9"/>
      <c r="BG82" s="9"/>
      <c r="BH82" s="9"/>
    </row>
    <row r="83" spans="23:60">
      <c r="W83" s="1283"/>
      <c r="AD83" s="36"/>
      <c r="AE83" s="36"/>
      <c r="AY83" s="9"/>
      <c r="AZ83" s="9"/>
      <c r="BA83" s="9"/>
      <c r="BB83" s="9"/>
      <c r="BC83" s="9"/>
      <c r="BD83" s="9"/>
      <c r="BE83" s="9"/>
      <c r="BF83" s="9"/>
      <c r="BG83" s="9"/>
      <c r="BH83" s="9"/>
    </row>
    <row r="84" spans="23:60">
      <c r="AD84" s="36"/>
      <c r="AE84" s="36"/>
      <c r="AY84" s="9"/>
      <c r="AZ84" s="9"/>
      <c r="BA84" s="9"/>
      <c r="BB84" s="9"/>
      <c r="BC84" s="9"/>
      <c r="BD84" s="9"/>
      <c r="BE84" s="9"/>
      <c r="BF84" s="9"/>
      <c r="BG84" s="9"/>
      <c r="BH84" s="9"/>
    </row>
    <row r="85" spans="23:60">
      <c r="AD85" s="36"/>
      <c r="AE85" s="36"/>
      <c r="AY85" s="9"/>
      <c r="AZ85" s="9"/>
      <c r="BA85" s="9"/>
      <c r="BB85" s="9"/>
      <c r="BC85" s="9"/>
      <c r="BD85" s="9"/>
      <c r="BE85" s="9"/>
      <c r="BF85" s="9"/>
      <c r="BG85" s="9"/>
      <c r="BH85" s="9"/>
    </row>
    <row r="86" spans="23:60">
      <c r="AD86" s="36"/>
      <c r="AE86" s="36"/>
      <c r="AY86" s="9"/>
      <c r="AZ86" s="9"/>
      <c r="BA86" s="9"/>
      <c r="BB86" s="9"/>
      <c r="BC86" s="9"/>
      <c r="BD86" s="9"/>
      <c r="BE86" s="9"/>
      <c r="BF86" s="9"/>
      <c r="BG86" s="9"/>
      <c r="BH86" s="9"/>
    </row>
    <row r="87" spans="23:60">
      <c r="AD87" s="36"/>
      <c r="AE87" s="36"/>
      <c r="AY87" s="9"/>
      <c r="AZ87" s="9"/>
      <c r="BA87" s="9"/>
      <c r="BB87" s="9"/>
      <c r="BC87" s="9"/>
      <c r="BD87" s="9"/>
      <c r="BE87" s="9"/>
      <c r="BF87" s="9"/>
      <c r="BG87" s="9"/>
      <c r="BH87" s="9"/>
    </row>
    <row r="88" spans="23:60">
      <c r="AD88" s="36"/>
      <c r="AE88" s="36"/>
      <c r="AY88" s="9"/>
      <c r="AZ88" s="9"/>
      <c r="BA88" s="9"/>
      <c r="BB88" s="9"/>
      <c r="BC88" s="9"/>
      <c r="BD88" s="9"/>
      <c r="BE88" s="9"/>
      <c r="BF88" s="9"/>
      <c r="BG88" s="9"/>
      <c r="BH88" s="9"/>
    </row>
    <row r="89" spans="23:60">
      <c r="AD89" s="36"/>
      <c r="AE89" s="36"/>
      <c r="AY89" s="9"/>
      <c r="AZ89" s="9"/>
      <c r="BA89" s="9"/>
      <c r="BB89" s="9"/>
      <c r="BC89" s="9"/>
      <c r="BD89" s="9"/>
      <c r="BE89" s="9"/>
      <c r="BF89" s="9"/>
      <c r="BG89" s="9"/>
      <c r="BH89" s="9"/>
    </row>
    <row r="90" spans="23:60">
      <c r="AD90" s="36"/>
      <c r="AE90" s="36"/>
      <c r="AY90" s="9"/>
      <c r="AZ90" s="9"/>
      <c r="BA90" s="9"/>
      <c r="BB90" s="9"/>
      <c r="BC90" s="9"/>
      <c r="BD90" s="9"/>
      <c r="BE90" s="9"/>
      <c r="BF90" s="9"/>
      <c r="BG90" s="9"/>
      <c r="BH90" s="9"/>
    </row>
    <row r="91" spans="23:60">
      <c r="AD91" s="36"/>
      <c r="AE91" s="36"/>
      <c r="AY91" s="9"/>
      <c r="AZ91" s="9"/>
      <c r="BA91" s="9"/>
      <c r="BB91" s="9"/>
      <c r="BC91" s="9"/>
      <c r="BD91" s="9"/>
      <c r="BE91" s="9"/>
      <c r="BF91" s="9"/>
      <c r="BG91" s="9"/>
      <c r="BH91" s="9"/>
    </row>
    <row r="92" spans="23:60">
      <c r="AD92" s="36"/>
      <c r="AE92" s="36"/>
      <c r="AY92" s="9"/>
      <c r="AZ92" s="9"/>
      <c r="BA92" s="9"/>
      <c r="BB92" s="9"/>
      <c r="BC92" s="9"/>
      <c r="BD92" s="9"/>
      <c r="BE92" s="9"/>
      <c r="BF92" s="9"/>
      <c r="BG92" s="9"/>
      <c r="BH92" s="9"/>
    </row>
    <row r="93" spans="23:60">
      <c r="AD93" s="36"/>
      <c r="AE93" s="36"/>
      <c r="AY93" s="9"/>
      <c r="AZ93" s="9"/>
      <c r="BA93" s="9"/>
      <c r="BB93" s="9"/>
      <c r="BC93" s="9"/>
      <c r="BD93" s="9"/>
      <c r="BE93" s="9"/>
      <c r="BF93" s="9"/>
      <c r="BG93" s="9"/>
      <c r="BH93" s="9"/>
    </row>
    <row r="94" spans="23:60">
      <c r="AD94" s="36"/>
      <c r="AE94" s="36"/>
      <c r="AY94" s="9"/>
      <c r="AZ94" s="9"/>
      <c r="BA94" s="9"/>
      <c r="BB94" s="9"/>
      <c r="BC94" s="9"/>
      <c r="BD94" s="9"/>
      <c r="BE94" s="9"/>
      <c r="BF94" s="9"/>
      <c r="BG94" s="9"/>
      <c r="BH94" s="9"/>
    </row>
    <row r="95" spans="23:60">
      <c r="AD95" s="36"/>
      <c r="AE95" s="36"/>
      <c r="AY95" s="9"/>
      <c r="AZ95" s="9"/>
      <c r="BA95" s="9"/>
      <c r="BB95" s="9"/>
      <c r="BC95" s="9"/>
      <c r="BD95" s="9"/>
      <c r="BE95" s="9"/>
      <c r="BF95" s="9"/>
      <c r="BG95" s="9"/>
      <c r="BH95" s="9"/>
    </row>
    <row r="96" spans="23:60">
      <c r="AD96" s="36"/>
      <c r="AE96" s="36"/>
      <c r="AY96" s="9"/>
      <c r="AZ96" s="9"/>
      <c r="BA96" s="9"/>
      <c r="BB96" s="9"/>
      <c r="BC96" s="9"/>
      <c r="BD96" s="9"/>
      <c r="BE96" s="9"/>
      <c r="BF96" s="9"/>
      <c r="BG96" s="9"/>
      <c r="BH96" s="9"/>
    </row>
    <row r="97" spans="30:60">
      <c r="AD97" s="36"/>
      <c r="AE97" s="36"/>
      <c r="AY97" s="9"/>
      <c r="AZ97" s="9"/>
      <c r="BA97" s="9"/>
      <c r="BB97" s="9"/>
      <c r="BC97" s="9"/>
      <c r="BD97" s="9"/>
      <c r="BE97" s="9"/>
      <c r="BF97" s="9"/>
      <c r="BG97" s="9"/>
      <c r="BH97" s="9"/>
    </row>
    <row r="98" spans="30:60">
      <c r="AD98" s="36"/>
      <c r="AE98" s="36"/>
      <c r="AY98" s="9"/>
      <c r="AZ98" s="9"/>
      <c r="BA98" s="9"/>
      <c r="BB98" s="9"/>
      <c r="BC98" s="9"/>
      <c r="BD98" s="9"/>
      <c r="BE98" s="9"/>
      <c r="BF98" s="9"/>
      <c r="BG98" s="9"/>
      <c r="BH98" s="9"/>
    </row>
    <row r="99" spans="30:60">
      <c r="AD99" s="36"/>
      <c r="AE99" s="36"/>
      <c r="AY99" s="9"/>
      <c r="AZ99" s="9"/>
      <c r="BA99" s="9"/>
      <c r="BB99" s="9"/>
      <c r="BC99" s="9"/>
      <c r="BD99" s="9"/>
      <c r="BE99" s="9"/>
      <c r="BF99" s="9"/>
      <c r="BG99" s="9"/>
      <c r="BH99" s="9"/>
    </row>
    <row r="100" spans="30:60">
      <c r="AD100" s="36"/>
      <c r="AE100" s="36"/>
      <c r="AY100" s="9"/>
      <c r="AZ100" s="9"/>
      <c r="BA100" s="9"/>
      <c r="BB100" s="9"/>
      <c r="BC100" s="9"/>
      <c r="BD100" s="9"/>
      <c r="BE100" s="9"/>
      <c r="BF100" s="9"/>
      <c r="BG100" s="9"/>
      <c r="BH100" s="9"/>
    </row>
    <row r="101" spans="30:60">
      <c r="AD101" s="36"/>
      <c r="AY101" s="9"/>
      <c r="AZ101" s="9"/>
      <c r="BA101" s="9"/>
      <c r="BB101" s="9"/>
      <c r="BC101" s="9"/>
      <c r="BD101" s="9"/>
      <c r="BE101" s="9"/>
      <c r="BF101" s="9"/>
      <c r="BG101" s="9"/>
      <c r="BH101" s="9"/>
    </row>
    <row r="102" spans="30:60">
      <c r="AD102" s="36"/>
      <c r="AY102" s="9"/>
      <c r="AZ102" s="9"/>
      <c r="BA102" s="9"/>
      <c r="BB102" s="9"/>
      <c r="BC102" s="9"/>
      <c r="BD102" s="9"/>
      <c r="BE102" s="9"/>
      <c r="BF102" s="9"/>
      <c r="BG102" s="9"/>
      <c r="BH102" s="9"/>
    </row>
    <row r="103" spans="30:60">
      <c r="AD103" s="36"/>
      <c r="AY103" s="9"/>
      <c r="AZ103" s="9"/>
      <c r="BA103" s="9"/>
      <c r="BB103" s="9"/>
      <c r="BC103" s="9"/>
      <c r="BD103" s="9"/>
      <c r="BE103" s="9"/>
      <c r="BF103" s="9"/>
      <c r="BG103" s="9"/>
      <c r="BH103" s="9"/>
    </row>
    <row r="104" spans="30:60">
      <c r="AY104" s="9"/>
      <c r="AZ104" s="9"/>
      <c r="BA104" s="9"/>
      <c r="BB104" s="9"/>
      <c r="BC104" s="9"/>
      <c r="BD104" s="9"/>
      <c r="BE104" s="9"/>
      <c r="BF104" s="9"/>
      <c r="BG104" s="9"/>
      <c r="BH104" s="9"/>
    </row>
    <row r="105" spans="30:60">
      <c r="AY105" s="9"/>
      <c r="AZ105" s="9"/>
      <c r="BA105" s="9"/>
      <c r="BB105" s="9"/>
      <c r="BC105" s="9"/>
      <c r="BD105" s="9"/>
      <c r="BE105" s="9"/>
      <c r="BF105" s="9"/>
      <c r="BG105" s="9"/>
      <c r="BH105" s="9"/>
    </row>
    <row r="106" spans="30:60">
      <c r="AY106" s="9"/>
      <c r="AZ106" s="9"/>
      <c r="BA106" s="9"/>
      <c r="BB106" s="9"/>
      <c r="BC106" s="9"/>
      <c r="BD106" s="9"/>
      <c r="BE106" s="9"/>
      <c r="BF106" s="9"/>
      <c r="BG106" s="9"/>
      <c r="BH106" s="9"/>
    </row>
  </sheetData>
  <customSheetViews>
    <customSheetView guid="{A374FC54-96E3-45F0-9C12-8450400C12DF}" scale="154" topLeftCell="B1">
      <pane ySplit="6" topLeftCell="A44" activePane="bottomLeft" state="frozen"/>
      <selection pane="bottomLeft" activeCell="AX52" sqref="AX52"/>
      <colBreaks count="1" manualBreakCount="1">
        <brk id="8" max="1048575" man="1"/>
      </colBreaks>
      <pageMargins left="0.62992125984252001" right="0.511811023622047" top="0.31496062992126" bottom="2.5590551E-2" header="0" footer="6.4960630000000005E-2"/>
      <pageSetup paperSize="132" orientation="portrait" useFirstPageNumber="1" r:id="rId1"/>
      <headerFooter differentFirst="1" alignWithMargins="0">
        <oddFooter>&amp;C&amp;"Times New Roman,Regular"&amp;8&amp;P</oddFooter>
      </headerFooter>
    </customSheetView>
  </customSheetViews>
  <mergeCells count="113">
    <mergeCell ref="B26:F27"/>
    <mergeCell ref="BJ49:BS49"/>
    <mergeCell ref="AZ50:BH50"/>
    <mergeCell ref="S49:Y49"/>
    <mergeCell ref="AA49:AH49"/>
    <mergeCell ref="BL4:BL5"/>
    <mergeCell ref="BK4:BK5"/>
    <mergeCell ref="BP3:BT3"/>
    <mergeCell ref="BP4:BS4"/>
    <mergeCell ref="AL4:AL5"/>
    <mergeCell ref="AZ52:BH52"/>
    <mergeCell ref="AJ49:AP49"/>
    <mergeCell ref="S50:T50"/>
    <mergeCell ref="AJ50:AP50"/>
    <mergeCell ref="AZ51:BH51"/>
    <mergeCell ref="BJ4:BJ5"/>
    <mergeCell ref="BT4:BT5"/>
    <mergeCell ref="BI3:BI6"/>
    <mergeCell ref="V3:Y3"/>
    <mergeCell ref="AJ4:AJ5"/>
    <mergeCell ref="AI3:AL3"/>
    <mergeCell ref="AE3:AH3"/>
    <mergeCell ref="AF4:AF5"/>
    <mergeCell ref="AG4:AG5"/>
    <mergeCell ref="Y4:Y5"/>
    <mergeCell ref="AK4:AK5"/>
    <mergeCell ref="BF4:BG4"/>
    <mergeCell ref="BD4:BE4"/>
    <mergeCell ref="BC3:BC5"/>
    <mergeCell ref="AV4:AV5"/>
    <mergeCell ref="BA4:BA5"/>
    <mergeCell ref="AV3:AX3"/>
    <mergeCell ref="BH4:BH5"/>
    <mergeCell ref="AW4:AW5"/>
    <mergeCell ref="CC1:CE1"/>
    <mergeCell ref="CD2:CE2"/>
    <mergeCell ref="BU1:BW1"/>
    <mergeCell ref="BP1:BT1"/>
    <mergeCell ref="BU2:BV2"/>
    <mergeCell ref="BV4:BV5"/>
    <mergeCell ref="BW4:BW5"/>
    <mergeCell ref="BN4:BN5"/>
    <mergeCell ref="BZ4:CB4"/>
    <mergeCell ref="BY4:BY5"/>
    <mergeCell ref="BU4:BU5"/>
    <mergeCell ref="BX4:BX5"/>
    <mergeCell ref="CC4:CE4"/>
    <mergeCell ref="BU3:CE3"/>
    <mergeCell ref="BJ3:BN3"/>
    <mergeCell ref="BO3:BO5"/>
    <mergeCell ref="BM4:BM5"/>
    <mergeCell ref="BS2:BT2"/>
    <mergeCell ref="AN1:AP1"/>
    <mergeCell ref="AO2:AP2"/>
    <mergeCell ref="AN4:AN5"/>
    <mergeCell ref="AP4:AP5"/>
    <mergeCell ref="AM3:AP3"/>
    <mergeCell ref="AS4:AS5"/>
    <mergeCell ref="AM4:AM5"/>
    <mergeCell ref="AQ3:AQ6"/>
    <mergeCell ref="AY3:BA3"/>
    <mergeCell ref="AZ4:AZ5"/>
    <mergeCell ref="AT4:AT5"/>
    <mergeCell ref="AR4:AR5"/>
    <mergeCell ref="AO4:AO5"/>
    <mergeCell ref="AY4:AY5"/>
    <mergeCell ref="AR3:AU3"/>
    <mergeCell ref="AU4:AU5"/>
    <mergeCell ref="AY1:BE1"/>
    <mergeCell ref="AV1:AX1"/>
    <mergeCell ref="AW2:AX2"/>
    <mergeCell ref="BD3:BH3"/>
    <mergeCell ref="AX4:AX5"/>
    <mergeCell ref="BG2:BH2"/>
    <mergeCell ref="BF1:BH1"/>
    <mergeCell ref="BB3:BB5"/>
    <mergeCell ref="J51:Q51"/>
    <mergeCell ref="AA51:AH51"/>
    <mergeCell ref="I1:Q1"/>
    <mergeCell ref="AA3:AD3"/>
    <mergeCell ref="Z3:Z6"/>
    <mergeCell ref="AC4:AC5"/>
    <mergeCell ref="AD4:AD5"/>
    <mergeCell ref="M3:M5"/>
    <mergeCell ref="N3:N5"/>
    <mergeCell ref="J3:L3"/>
    <mergeCell ref="AB4:AB5"/>
    <mergeCell ref="T4:T5"/>
    <mergeCell ref="U3:U5"/>
    <mergeCell ref="W4:W5"/>
    <mergeCell ref="K4:K5"/>
    <mergeCell ref="R4:S4"/>
    <mergeCell ref="J50:Q50"/>
    <mergeCell ref="J49:Q49"/>
    <mergeCell ref="O4:O5"/>
    <mergeCell ref="O3:Q3"/>
    <mergeCell ref="R3:T3"/>
    <mergeCell ref="AI1:AJ1"/>
    <mergeCell ref="AH4:AH5"/>
    <mergeCell ref="AG2:AH2"/>
    <mergeCell ref="W1:Y1"/>
    <mergeCell ref="P2:Q2"/>
    <mergeCell ref="I3:I6"/>
    <mergeCell ref="J4:J5"/>
    <mergeCell ref="P4:P5"/>
    <mergeCell ref="L4:L5"/>
    <mergeCell ref="X2:Y2"/>
    <mergeCell ref="AA4:AA5"/>
    <mergeCell ref="AE1:AH1"/>
    <mergeCell ref="AI4:AI5"/>
    <mergeCell ref="AE4:AE5"/>
    <mergeCell ref="V4:V5"/>
    <mergeCell ref="X4:X5"/>
  </mergeCells>
  <phoneticPr fontId="6" type="noConversion"/>
  <conditionalFormatting sqref="Z12:Z13 AQ12:AQ13 BI12:BI13 I12:I13">
    <cfRule type="expression" priority="145" stopIfTrue="1">
      <formula>MOD(row,0)=0</formula>
    </cfRule>
  </conditionalFormatting>
  <conditionalFormatting sqref="Z13 AQ13 BI13 I13">
    <cfRule type="expression" dxfId="21" priority="141" stopIfTrue="1">
      <formula>MOD(ROW(),2)=1</formula>
    </cfRule>
  </conditionalFormatting>
  <conditionalFormatting sqref="Z13 AQ13 BI13 I13">
    <cfRule type="expression" dxfId="20" priority="139" stopIfTrue="1">
      <formula>MOD(ROW(),2)=1</formula>
    </cfRule>
    <cfRule type="expression" priority="140" stopIfTrue="1">
      <formula>MOD(ROW(),2)=1</formula>
    </cfRule>
  </conditionalFormatting>
  <conditionalFormatting sqref="AQ13 Z13 BI13 I13">
    <cfRule type="expression" priority="137" stopIfTrue="1">
      <formula>MOD((((#REF!))),0)=0</formula>
    </cfRule>
  </conditionalFormatting>
  <conditionalFormatting sqref="Z13 AQ13 BI13">
    <cfRule type="expression" priority="106" stopIfTrue="1">
      <formula>MOD((((#REF!))),0)=0</formula>
    </cfRule>
  </conditionalFormatting>
  <conditionalFormatting sqref="AQ13 Z13 BI13 I13">
    <cfRule type="expression" priority="2" stopIfTrue="1">
      <formula>MOD((((#REF!))),0)=0</formula>
    </cfRule>
  </conditionalFormatting>
  <conditionalFormatting sqref="Z13 AQ13 BI13">
    <cfRule type="expression" priority="1" stopIfTrue="1">
      <formula>MOD((((#REF!))),0)=0</formula>
    </cfRule>
  </conditionalFormatting>
  <pageMargins left="0.62992125984252001" right="0.511811023622047" top="0.31496062992126" bottom="2.5590551E-2" header="0" footer="6.4960630000000005E-2"/>
  <pageSetup paperSize="448" orientation="portrait" useFirstPageNumber="1" r:id="rId2"/>
  <headerFooter differentFirst="1" alignWithMargins="0">
    <oddFooter>&amp;C&amp;"Times New Roman,Regular"&amp;8&amp;P</oddFooter>
  </headerFooter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5"/>
  <dimension ref="A1:V72"/>
  <sheetViews>
    <sheetView topLeftCell="A43" zoomScale="180" zoomScaleNormal="180" zoomScaleSheetLayoutView="110" workbookViewId="0">
      <selection activeCell="Q33" sqref="Q33"/>
    </sheetView>
  </sheetViews>
  <sheetFormatPr defaultRowHeight="12.75"/>
  <cols>
    <col min="1" max="1" width="7.7109375" style="1305" customWidth="1"/>
    <col min="2" max="9" width="8.7109375" style="1305" customWidth="1"/>
    <col min="10" max="10" width="12" style="1305" customWidth="1"/>
    <col min="11" max="11" width="14.28515625" style="1305" customWidth="1"/>
    <col min="12" max="12" width="10.7109375" style="1305" customWidth="1"/>
    <col min="13" max="13" width="12.42578125" style="1305" customWidth="1"/>
    <col min="14" max="14" width="9.140625" style="1305"/>
    <col min="15" max="15" width="9.7109375" style="1305" customWidth="1"/>
    <col min="16" max="16" width="9.140625" style="1305" customWidth="1"/>
    <col min="17" max="16384" width="9.140625" style="1305"/>
  </cols>
  <sheetData>
    <row r="1" spans="1:16" ht="15.75">
      <c r="A1" s="1470"/>
      <c r="B1" s="1470"/>
      <c r="C1" s="1470"/>
      <c r="D1" s="1470"/>
      <c r="E1" s="1470"/>
      <c r="F1" s="2105" t="s">
        <v>125</v>
      </c>
      <c r="G1" s="2105"/>
      <c r="H1" s="2105"/>
      <c r="I1" s="2105"/>
      <c r="J1" s="1105" t="s">
        <v>298</v>
      </c>
      <c r="K1" s="1106"/>
      <c r="L1" s="1106"/>
      <c r="M1" s="1106"/>
      <c r="N1" s="1106"/>
      <c r="O1" s="2077" t="s">
        <v>192</v>
      </c>
      <c r="P1" s="2077"/>
    </row>
    <row r="2" spans="1:16">
      <c r="A2" s="1107"/>
      <c r="B2" s="1107"/>
      <c r="C2" s="1107"/>
      <c r="D2" s="1107"/>
      <c r="E2" s="1107"/>
      <c r="F2" s="2097" t="s">
        <v>783</v>
      </c>
      <c r="G2" s="2097"/>
      <c r="H2" s="2097"/>
      <c r="I2" s="2097"/>
      <c r="J2" s="1108" t="s">
        <v>1228</v>
      </c>
      <c r="K2" s="1108"/>
      <c r="L2" s="1109"/>
      <c r="M2" s="1109"/>
      <c r="N2" s="1109"/>
      <c r="O2" s="2083"/>
      <c r="P2" s="2083"/>
    </row>
    <row r="3" spans="1:16" ht="25.5" customHeight="1">
      <c r="A3" s="2078" t="s">
        <v>481</v>
      </c>
      <c r="B3" s="2114" t="s">
        <v>813</v>
      </c>
      <c r="C3" s="2114"/>
      <c r="D3" s="2114"/>
      <c r="E3" s="2115"/>
      <c r="F3" s="2098" t="s">
        <v>2219</v>
      </c>
      <c r="G3" s="2099"/>
      <c r="H3" s="2099"/>
      <c r="I3" s="2100"/>
      <c r="J3" s="2084" t="s">
        <v>2181</v>
      </c>
      <c r="K3" s="2085"/>
      <c r="L3" s="2086" t="s">
        <v>2182</v>
      </c>
      <c r="M3" s="2085"/>
      <c r="N3" s="2084" t="s">
        <v>282</v>
      </c>
      <c r="O3" s="2085"/>
      <c r="P3" s="2087" t="s">
        <v>481</v>
      </c>
    </row>
    <row r="4" spans="1:16" ht="12.75" customHeight="1">
      <c r="A4" s="2078"/>
      <c r="B4" s="2116"/>
      <c r="C4" s="2116"/>
      <c r="D4" s="2116"/>
      <c r="E4" s="2117"/>
      <c r="F4" s="2092" t="s">
        <v>2220</v>
      </c>
      <c r="G4" s="2093"/>
      <c r="H4" s="2093"/>
      <c r="I4" s="2094"/>
      <c r="J4" s="2081" t="s">
        <v>188</v>
      </c>
      <c r="K4" s="2082"/>
      <c r="L4" s="2084" t="s">
        <v>2183</v>
      </c>
      <c r="M4" s="2085"/>
      <c r="N4" s="2090" t="s">
        <v>1110</v>
      </c>
      <c r="O4" s="2091"/>
      <c r="P4" s="2088"/>
    </row>
    <row r="5" spans="1:16" ht="12.75" customHeight="1">
      <c r="A5" s="2078"/>
      <c r="B5" s="2103" t="s">
        <v>2144</v>
      </c>
      <c r="C5" s="2101" t="s">
        <v>811</v>
      </c>
      <c r="D5" s="2101" t="s">
        <v>2145</v>
      </c>
      <c r="E5" s="2101" t="s">
        <v>812</v>
      </c>
      <c r="F5" s="2079" t="s">
        <v>1880</v>
      </c>
      <c r="G5" s="2095" t="s">
        <v>1881</v>
      </c>
      <c r="H5" s="2095" t="s">
        <v>1882</v>
      </c>
      <c r="I5" s="2095" t="s">
        <v>2146</v>
      </c>
      <c r="J5" s="2079" t="s">
        <v>2845</v>
      </c>
      <c r="K5" s="2079" t="s">
        <v>2668</v>
      </c>
      <c r="L5" s="2079" t="s">
        <v>2588</v>
      </c>
      <c r="M5" s="2111" t="s">
        <v>2184</v>
      </c>
      <c r="N5" s="2079" t="s">
        <v>995</v>
      </c>
      <c r="O5" s="2079" t="s">
        <v>994</v>
      </c>
      <c r="P5" s="2088"/>
    </row>
    <row r="6" spans="1:16" ht="24" customHeight="1">
      <c r="A6" s="2078"/>
      <c r="B6" s="2104"/>
      <c r="C6" s="2102"/>
      <c r="D6" s="2102"/>
      <c r="E6" s="2102"/>
      <c r="F6" s="2080"/>
      <c r="G6" s="2096"/>
      <c r="H6" s="2096"/>
      <c r="I6" s="2096"/>
      <c r="J6" s="2080"/>
      <c r="K6" s="2080"/>
      <c r="L6" s="2080"/>
      <c r="M6" s="2112"/>
      <c r="N6" s="2080"/>
      <c r="O6" s="2080"/>
      <c r="P6" s="2088"/>
    </row>
    <row r="7" spans="1:16">
      <c r="A7" s="2078"/>
      <c r="B7" s="1301">
        <v>1</v>
      </c>
      <c r="C7" s="1110">
        <v>2</v>
      </c>
      <c r="D7" s="1110">
        <v>3</v>
      </c>
      <c r="E7" s="1110">
        <v>4</v>
      </c>
      <c r="F7" s="1110">
        <v>5</v>
      </c>
      <c r="G7" s="1110">
        <v>6</v>
      </c>
      <c r="H7" s="1110">
        <v>7</v>
      </c>
      <c r="I7" s="1110">
        <v>8</v>
      </c>
      <c r="J7" s="1110">
        <v>9</v>
      </c>
      <c r="K7" s="1110">
        <v>10</v>
      </c>
      <c r="L7" s="1110">
        <v>11</v>
      </c>
      <c r="M7" s="1110">
        <v>12</v>
      </c>
      <c r="N7" s="1110">
        <v>13</v>
      </c>
      <c r="O7" s="1110">
        <v>14</v>
      </c>
      <c r="P7" s="2089"/>
    </row>
    <row r="8" spans="1:16" ht="9.9499999999999993" customHeight="1">
      <c r="A8" s="1113" t="s">
        <v>809</v>
      </c>
      <c r="B8" s="1114" t="s">
        <v>292</v>
      </c>
      <c r="C8" s="1114">
        <v>8.0500000000000007</v>
      </c>
      <c r="D8" s="1114" t="s">
        <v>292</v>
      </c>
      <c r="E8" s="1114">
        <v>6.78</v>
      </c>
      <c r="F8" s="1115">
        <v>195.19</v>
      </c>
      <c r="G8" s="1115">
        <v>153.15</v>
      </c>
      <c r="H8" s="1115">
        <v>160.43</v>
      </c>
      <c r="I8" s="1115">
        <f t="shared" ref="I8:I11" si="0">(F8*93.28+G8*2.68+4.04*H8)/100</f>
        <v>192.65902399999999</v>
      </c>
      <c r="J8" s="1116">
        <v>27027.45</v>
      </c>
      <c r="K8" s="1116">
        <v>37289.800000000003</v>
      </c>
      <c r="L8" s="1116">
        <v>15318.34</v>
      </c>
      <c r="M8" s="1114" t="s">
        <v>292</v>
      </c>
      <c r="N8" s="1117">
        <v>79.935900000000004</v>
      </c>
      <c r="O8" s="1117">
        <v>77.759299999999996</v>
      </c>
      <c r="P8" s="1118" t="s">
        <v>809</v>
      </c>
    </row>
    <row r="9" spans="1:16" ht="9.9499999999999993" customHeight="1">
      <c r="A9" s="1119" t="s">
        <v>982</v>
      </c>
      <c r="B9" s="1111" t="s">
        <v>292</v>
      </c>
      <c r="C9" s="1120">
        <v>6.97</v>
      </c>
      <c r="D9" s="1111" t="s">
        <v>292</v>
      </c>
      <c r="E9" s="1120">
        <v>7.35</v>
      </c>
      <c r="F9" s="1121">
        <v>213.22</v>
      </c>
      <c r="G9" s="1121">
        <v>157.18</v>
      </c>
      <c r="H9" s="1121">
        <v>177.2</v>
      </c>
      <c r="I9" s="1121">
        <f t="shared" si="0"/>
        <v>210.26291999999998</v>
      </c>
      <c r="J9" s="1122">
        <v>30186.62</v>
      </c>
      <c r="K9" s="1122">
        <v>40616.400000000001</v>
      </c>
      <c r="L9" s="1122">
        <v>21508.89</v>
      </c>
      <c r="M9" s="1111" t="s">
        <v>292</v>
      </c>
      <c r="N9" s="1123">
        <v>77.72</v>
      </c>
      <c r="O9" s="1123">
        <v>77.63</v>
      </c>
      <c r="P9" s="1124" t="s">
        <v>982</v>
      </c>
    </row>
    <row r="10" spans="1:16" ht="9.9499999999999993" customHeight="1">
      <c r="A10" s="1113" t="s">
        <v>1033</v>
      </c>
      <c r="B10" s="1114" t="s">
        <v>292</v>
      </c>
      <c r="C10" s="1115">
        <v>6.25</v>
      </c>
      <c r="D10" s="1114" t="s">
        <v>292</v>
      </c>
      <c r="E10" s="1115">
        <v>6.4</v>
      </c>
      <c r="F10" s="1115">
        <v>236.11</v>
      </c>
      <c r="G10" s="1115">
        <v>172.97</v>
      </c>
      <c r="H10" s="1115">
        <v>191.06</v>
      </c>
      <c r="I10" s="1115">
        <f t="shared" si="0"/>
        <v>232.59782800000002</v>
      </c>
      <c r="J10" s="1116">
        <v>31208.949999999997</v>
      </c>
      <c r="K10" s="1116">
        <v>40703.699999999997</v>
      </c>
      <c r="L10" s="1116">
        <v>25026.06</v>
      </c>
      <c r="M10" s="1114" t="s">
        <v>292</v>
      </c>
      <c r="N10" s="1117">
        <v>77.674999999999997</v>
      </c>
      <c r="O10" s="1117">
        <v>77.800399999999996</v>
      </c>
      <c r="P10" s="1118" t="s">
        <v>1033</v>
      </c>
    </row>
    <row r="11" spans="1:16" ht="9.9499999999999993" customHeight="1">
      <c r="A11" s="1119" t="s">
        <v>1154</v>
      </c>
      <c r="B11" s="1111" t="s">
        <v>292</v>
      </c>
      <c r="C11" s="1121">
        <v>5.53</v>
      </c>
      <c r="D11" s="1111" t="s">
        <v>292</v>
      </c>
      <c r="E11" s="1121">
        <v>5.92</v>
      </c>
      <c r="F11" s="1121">
        <v>100</v>
      </c>
      <c r="G11" s="1121">
        <v>100</v>
      </c>
      <c r="H11" s="1121">
        <v>100</v>
      </c>
      <c r="I11" s="1121">
        <f t="shared" si="0"/>
        <v>100</v>
      </c>
      <c r="J11" s="1122">
        <v>34257.18</v>
      </c>
      <c r="K11" s="1122">
        <v>43122.5</v>
      </c>
      <c r="L11" s="1122">
        <v>30355.56</v>
      </c>
      <c r="M11" s="1111" t="s">
        <v>292</v>
      </c>
      <c r="N11" s="1123">
        <v>78.268600000000006</v>
      </c>
      <c r="O11" s="1123">
        <v>78.400000000000006</v>
      </c>
      <c r="P11" s="1124" t="s">
        <v>1154</v>
      </c>
    </row>
    <row r="12" spans="1:16" ht="9.9499999999999993" customHeight="1">
      <c r="A12" s="1113" t="s">
        <v>1178</v>
      </c>
      <c r="B12" s="1114" t="s">
        <v>292</v>
      </c>
      <c r="C12" s="1115">
        <v>5.94</v>
      </c>
      <c r="D12" s="1114" t="s">
        <v>292</v>
      </c>
      <c r="E12" s="1115">
        <v>5.44</v>
      </c>
      <c r="F12" s="1115">
        <v>111</v>
      </c>
      <c r="G12" s="1115">
        <v>100.36</v>
      </c>
      <c r="H12" s="1115">
        <v>110.27</v>
      </c>
      <c r="I12" s="1115">
        <f t="shared" ref="I12:I16" si="1">(F12*93.28+G12*2.68+4.04*H12)/100</f>
        <v>110.685356</v>
      </c>
      <c r="J12" s="1116">
        <v>34655.899999999994</v>
      </c>
      <c r="K12" s="1116">
        <v>47005.2</v>
      </c>
      <c r="L12" s="1116">
        <v>33679.379999999997</v>
      </c>
      <c r="M12" s="1114" t="s">
        <v>292</v>
      </c>
      <c r="N12" s="1117">
        <v>79.132999999999996</v>
      </c>
      <c r="O12" s="1117">
        <v>80.598799999999997</v>
      </c>
      <c r="P12" s="1118" t="s">
        <v>1178</v>
      </c>
    </row>
    <row r="13" spans="1:16" ht="9.9499999999999993" customHeight="1">
      <c r="A13" s="1119" t="s">
        <v>1298</v>
      </c>
      <c r="B13" s="1111" t="s">
        <v>292</v>
      </c>
      <c r="C13" s="1121">
        <v>5.54</v>
      </c>
      <c r="D13" s="1111" t="s">
        <v>292</v>
      </c>
      <c r="E13" s="1121">
        <v>5.78</v>
      </c>
      <c r="F13" s="1121">
        <v>126.66</v>
      </c>
      <c r="G13" s="1121">
        <v>99.92</v>
      </c>
      <c r="H13" s="1121">
        <v>121.12</v>
      </c>
      <c r="I13" s="1121">
        <f t="shared" si="1"/>
        <v>125.71955199999998</v>
      </c>
      <c r="J13" s="1122">
        <v>36668.170000000006</v>
      </c>
      <c r="K13" s="1122">
        <v>58865.3</v>
      </c>
      <c r="L13" s="1122">
        <v>32943.46</v>
      </c>
      <c r="M13" s="1111" t="s">
        <v>292</v>
      </c>
      <c r="N13" s="1123">
        <v>82.107699999999994</v>
      </c>
      <c r="O13" s="1123">
        <v>83.702200000000005</v>
      </c>
      <c r="P13" s="1124" t="s">
        <v>1298</v>
      </c>
    </row>
    <row r="14" spans="1:16" ht="9.9499999999999993" customHeight="1">
      <c r="A14" s="1113" t="s">
        <v>1407</v>
      </c>
      <c r="B14" s="1114" t="s">
        <v>292</v>
      </c>
      <c r="C14" s="1115">
        <v>5.52</v>
      </c>
      <c r="D14" s="1114" t="s">
        <v>292</v>
      </c>
      <c r="E14" s="1115">
        <v>5.48</v>
      </c>
      <c r="F14" s="1115">
        <v>145.54</v>
      </c>
      <c r="G14" s="1115">
        <v>97.27</v>
      </c>
      <c r="H14" s="1115">
        <v>136.69999999999999</v>
      </c>
      <c r="I14" s="1115">
        <f t="shared" si="1"/>
        <v>143.889228</v>
      </c>
      <c r="J14" s="1116">
        <v>40535.040000000008</v>
      </c>
      <c r="K14" s="1116">
        <v>59914.6</v>
      </c>
      <c r="L14" s="1116">
        <v>32716.51</v>
      </c>
      <c r="M14" s="1114" t="s">
        <v>292</v>
      </c>
      <c r="N14" s="1117">
        <v>84.020799999999994</v>
      </c>
      <c r="O14" s="1117">
        <v>84.5</v>
      </c>
      <c r="P14" s="1118" t="s">
        <v>1407</v>
      </c>
    </row>
    <row r="15" spans="1:16" ht="9.9499999999999993" customHeight="1">
      <c r="A15" s="1119" t="s">
        <v>1487</v>
      </c>
      <c r="B15" s="1111" t="s">
        <v>292</v>
      </c>
      <c r="C15" s="1121">
        <v>6.02</v>
      </c>
      <c r="D15" s="1111" t="s">
        <v>292</v>
      </c>
      <c r="E15" s="1121">
        <v>5.6476114685594103</v>
      </c>
      <c r="F15" s="1121">
        <v>146.91</v>
      </c>
      <c r="G15" s="1121">
        <v>90.62</v>
      </c>
      <c r="H15" s="1121">
        <v>138.75</v>
      </c>
      <c r="I15" s="1121">
        <f t="shared" si="1"/>
        <v>145.07176399999997</v>
      </c>
      <c r="J15" s="1122">
        <v>33674.120000000003</v>
      </c>
      <c r="K15" s="1122">
        <v>54784.800000000003</v>
      </c>
      <c r="L15" s="1122">
        <v>36037.03</v>
      </c>
      <c r="M15" s="1111" t="s">
        <v>292</v>
      </c>
      <c r="N15" s="1123">
        <v>84.781146000000007</v>
      </c>
      <c r="O15" s="1123">
        <v>84.9</v>
      </c>
      <c r="P15" s="1124" t="s">
        <v>1487</v>
      </c>
    </row>
    <row r="16" spans="1:16" ht="9.9499999999999993" customHeight="1">
      <c r="A16" s="1113" t="s">
        <v>1539</v>
      </c>
      <c r="B16" s="1114" t="s">
        <v>292</v>
      </c>
      <c r="C16" s="1114">
        <v>5.64</v>
      </c>
      <c r="D16" s="1114" t="s">
        <v>292</v>
      </c>
      <c r="E16" s="1115">
        <v>5.56</v>
      </c>
      <c r="F16" s="1115">
        <v>163.98</v>
      </c>
      <c r="G16" s="1115">
        <v>90.56</v>
      </c>
      <c r="H16" s="1115">
        <v>156.69999999999999</v>
      </c>
      <c r="I16" s="1115">
        <f t="shared" si="1"/>
        <v>161.718232</v>
      </c>
      <c r="J16" s="1116">
        <v>38758.32</v>
      </c>
      <c r="K16" s="1116">
        <v>65594.7</v>
      </c>
      <c r="L16" s="1116">
        <v>46391.44</v>
      </c>
      <c r="M16" s="1114" t="s">
        <v>292</v>
      </c>
      <c r="N16" s="1117">
        <v>84.806299999999993</v>
      </c>
      <c r="O16" s="1117">
        <v>84.814599999999999</v>
      </c>
      <c r="P16" s="1118" t="s">
        <v>1539</v>
      </c>
    </row>
    <row r="17" spans="1:20" s="682" customFormat="1" ht="9.9499999999999993" customHeight="1">
      <c r="A17" s="1119" t="s">
        <v>1810</v>
      </c>
      <c r="B17" s="1111" t="s">
        <v>292</v>
      </c>
      <c r="C17" s="1121">
        <v>7.56</v>
      </c>
      <c r="D17" s="1111" t="s">
        <v>292</v>
      </c>
      <c r="E17" s="1121">
        <v>6.15</v>
      </c>
      <c r="F17" s="1121">
        <v>184.55</v>
      </c>
      <c r="G17" s="1121">
        <v>84.48</v>
      </c>
      <c r="H17" s="1121">
        <v>166.29</v>
      </c>
      <c r="I17" s="1121">
        <v>182.18</v>
      </c>
      <c r="J17" s="1122">
        <v>52082.659999999996</v>
      </c>
      <c r="K17" s="1122">
        <v>89162.3</v>
      </c>
      <c r="L17" s="1122">
        <v>41826.729767739998</v>
      </c>
      <c r="M17" s="1111" t="s">
        <v>292</v>
      </c>
      <c r="N17" s="1123">
        <v>86.392700000000005</v>
      </c>
      <c r="O17" s="1123">
        <v>93.45</v>
      </c>
      <c r="P17" s="1124" t="s">
        <v>1810</v>
      </c>
    </row>
    <row r="18" spans="1:20" ht="9.9499999999999993" customHeight="1">
      <c r="A18" s="1125" t="s">
        <v>2056</v>
      </c>
      <c r="B18" s="1126">
        <v>9.74</v>
      </c>
      <c r="C18" s="1127" t="s">
        <v>292</v>
      </c>
      <c r="D18" s="1126">
        <v>9.02</v>
      </c>
      <c r="E18" s="1127" t="s">
        <v>292</v>
      </c>
      <c r="F18" s="1127">
        <v>201.69</v>
      </c>
      <c r="G18" s="1127">
        <v>89.63</v>
      </c>
      <c r="H18" s="1127">
        <v>169.9</v>
      </c>
      <c r="I18" s="1127">
        <v>197.39</v>
      </c>
      <c r="J18" s="1128">
        <v>46494.6</v>
      </c>
      <c r="K18" s="1128">
        <v>75061.600000000006</v>
      </c>
      <c r="L18" s="1128">
        <v>31203</v>
      </c>
      <c r="M18" s="1126">
        <v>24753.9</v>
      </c>
      <c r="N18" s="1126">
        <v>105.91670000000001</v>
      </c>
      <c r="O18" s="1129">
        <v>106</v>
      </c>
      <c r="P18" s="1130" t="s">
        <v>2056</v>
      </c>
    </row>
    <row r="19" spans="1:20" s="1252" customFormat="1" ht="9.9499999999999993" customHeight="1">
      <c r="A19" s="1133" t="s">
        <v>2188</v>
      </c>
      <c r="B19" s="1285">
        <v>9.7200000000000006</v>
      </c>
      <c r="C19" s="1131" t="s">
        <v>292</v>
      </c>
      <c r="D19" s="1285">
        <v>9.73</v>
      </c>
      <c r="E19" s="1131" t="s">
        <v>292</v>
      </c>
      <c r="F19" s="1131">
        <v>206.35112372984614</v>
      </c>
      <c r="G19" s="1131">
        <v>77.583189741295598</v>
      </c>
      <c r="H19" s="1131">
        <v>178.36272996150308</v>
      </c>
      <c r="I19" s="1131">
        <v>201.76941199071192</v>
      </c>
      <c r="J19" s="1132">
        <v>44474.799999999996</v>
      </c>
      <c r="K19" s="1132">
        <v>66725.2</v>
      </c>
      <c r="L19" s="1132">
        <v>26714.236448445154</v>
      </c>
      <c r="M19" s="1132">
        <v>21686.335606135173</v>
      </c>
      <c r="N19" s="1286">
        <v>117.9787</v>
      </c>
      <c r="O19" s="1286">
        <v>118</v>
      </c>
      <c r="P19" s="1134" t="s">
        <v>2188</v>
      </c>
    </row>
    <row r="20" spans="1:20" s="172" customFormat="1" ht="9" customHeight="1">
      <c r="A20" s="1125" t="s">
        <v>2439</v>
      </c>
      <c r="B20" s="1127">
        <f>B32</f>
        <v>8.48</v>
      </c>
      <c r="C20" s="1127" t="s">
        <v>292</v>
      </c>
      <c r="D20" s="1126">
        <f>D32</f>
        <v>10.029999999999999</v>
      </c>
      <c r="E20" s="1127" t="s">
        <v>292</v>
      </c>
      <c r="F20" s="1127">
        <f>AVERAGE(F21:F32)</f>
        <v>217.65617998512292</v>
      </c>
      <c r="G20" s="1127">
        <f t="shared" ref="G20:H20" si="2">AVERAGE(G21:G32)</f>
        <v>73.258019159228638</v>
      </c>
      <c r="H20" s="1127">
        <f t="shared" si="2"/>
        <v>193.3207196537571</v>
      </c>
      <c r="I20" s="1127">
        <f t="shared" ref="I20" si="3">(F20*93.28+G20*2.68+4.04*H20)/100</f>
        <v>212.80315667760181</v>
      </c>
      <c r="J20" s="1128">
        <f>SUM(J21:J32)</f>
        <v>48299.434665430628</v>
      </c>
      <c r="K20" s="1128">
        <f>SUM(K21:K32)</f>
        <v>68354.39</v>
      </c>
      <c r="L20" s="1128">
        <f>L32</f>
        <v>31772.008634359998</v>
      </c>
      <c r="M20" s="1128">
        <f>M32</f>
        <v>26739.961591239997</v>
      </c>
      <c r="N20" s="1129">
        <f t="shared" ref="N20:O20" si="4">N32</f>
        <v>122.84739999999999</v>
      </c>
      <c r="O20" s="1129">
        <f t="shared" si="4"/>
        <v>122.7735</v>
      </c>
      <c r="P20" s="1130" t="s">
        <v>2439</v>
      </c>
    </row>
    <row r="21" spans="1:20" ht="9" customHeight="1">
      <c r="A21" s="509" t="s">
        <v>559</v>
      </c>
      <c r="B21" s="1111">
        <v>11.66</v>
      </c>
      <c r="C21" s="1121" t="s">
        <v>292</v>
      </c>
      <c r="D21" s="1112">
        <v>9.9</v>
      </c>
      <c r="E21" s="1121" t="s">
        <v>292</v>
      </c>
      <c r="F21" s="1121">
        <v>199.03119208097166</v>
      </c>
      <c r="G21" s="1121">
        <v>72.498045966018751</v>
      </c>
      <c r="H21" s="1121">
        <v>223.68872567377284</v>
      </c>
      <c r="I21" s="1121">
        <f t="shared" ref="I21:I42" si="5">(F21*93.28+G21*2.68+4.04*H21)/100</f>
        <v>196.63626812224007</v>
      </c>
      <c r="J21" s="1122">
        <v>3823.7</v>
      </c>
      <c r="K21" s="1122">
        <v>5247.8</v>
      </c>
      <c r="L21" s="1122">
        <v>25823.587691788161</v>
      </c>
      <c r="M21" s="1122">
        <v>20393.664815119857</v>
      </c>
      <c r="N21" s="1123">
        <v>117.9789</v>
      </c>
      <c r="O21" s="1123">
        <v>118</v>
      </c>
      <c r="P21" s="1124" t="s">
        <v>559</v>
      </c>
      <c r="S21" s="943"/>
      <c r="T21" s="943"/>
    </row>
    <row r="22" spans="1:20" ht="9" customHeight="1">
      <c r="A22" s="276" t="s">
        <v>560</v>
      </c>
      <c r="B22" s="1114">
        <v>10.49</v>
      </c>
      <c r="C22" s="1115" t="s">
        <v>292</v>
      </c>
      <c r="D22" s="1114">
        <v>9.9499999999999993</v>
      </c>
      <c r="E22" s="1115" t="s">
        <v>292</v>
      </c>
      <c r="F22" s="1115">
        <v>202.62950796816844</v>
      </c>
      <c r="G22" s="1115">
        <v>79.238579363878088</v>
      </c>
      <c r="H22" s="1115">
        <v>222.04927263053347</v>
      </c>
      <c r="I22" s="1115">
        <f t="shared" si="5"/>
        <v>200.107189573933</v>
      </c>
      <c r="J22" s="1116">
        <v>4033.6</v>
      </c>
      <c r="K22" s="1116">
        <v>5271.5</v>
      </c>
      <c r="L22" s="1116">
        <v>25580.779565510002</v>
      </c>
      <c r="M22" s="1116">
        <v>20475.410147840001</v>
      </c>
      <c r="N22" s="1117">
        <v>118.73009999999999</v>
      </c>
      <c r="O22" s="1117">
        <v>120</v>
      </c>
      <c r="P22" s="1118" t="s">
        <v>560</v>
      </c>
      <c r="S22" s="943"/>
      <c r="T22" s="943"/>
    </row>
    <row r="23" spans="1:20" ht="9" customHeight="1">
      <c r="A23" s="509" t="s">
        <v>554</v>
      </c>
      <c r="B23" s="1111">
        <v>9.92</v>
      </c>
      <c r="C23" s="1121" t="s">
        <v>292</v>
      </c>
      <c r="D23" s="1111">
        <v>9.9700000000000006</v>
      </c>
      <c r="E23" s="1121" t="s">
        <v>292</v>
      </c>
      <c r="F23" s="1121">
        <v>206.06999922895292</v>
      </c>
      <c r="G23" s="1121">
        <v>77.883128171781252</v>
      </c>
      <c r="H23" s="1121">
        <v>201.2829916409658</v>
      </c>
      <c r="I23" s="1121">
        <f t="shared" si="5"/>
        <v>202.44119597806602</v>
      </c>
      <c r="J23" s="1122">
        <v>3800.5</v>
      </c>
      <c r="K23" s="1122">
        <v>5651.5</v>
      </c>
      <c r="L23" s="1122">
        <v>24862.966229161495</v>
      </c>
      <c r="M23" s="1122">
        <v>19861.451091429168</v>
      </c>
      <c r="N23" s="1123">
        <v>120</v>
      </c>
      <c r="O23" s="1123">
        <v>120</v>
      </c>
      <c r="P23" s="1124" t="s">
        <v>554</v>
      </c>
      <c r="S23" s="943"/>
      <c r="T23" s="943"/>
    </row>
    <row r="24" spans="1:20" ht="9" customHeight="1">
      <c r="A24" s="276" t="s">
        <v>561</v>
      </c>
      <c r="B24" s="1114">
        <v>10.87</v>
      </c>
      <c r="C24" s="1114" t="s">
        <v>292</v>
      </c>
      <c r="D24" s="1114">
        <v>10.050000000000001</v>
      </c>
      <c r="E24" s="1115" t="s">
        <v>292</v>
      </c>
      <c r="F24" s="1115">
        <v>201.46525410111909</v>
      </c>
      <c r="G24" s="1115">
        <v>78.581161714634206</v>
      </c>
      <c r="H24" s="1115">
        <v>194.98722784240954</v>
      </c>
      <c r="I24" s="1115">
        <f t="shared" si="5"/>
        <v>197.91024816430945</v>
      </c>
      <c r="J24" s="1116">
        <v>4130.9446654306312</v>
      </c>
      <c r="K24" s="1116">
        <v>6147.93</v>
      </c>
      <c r="L24" s="1116">
        <v>25486.715071439998</v>
      </c>
      <c r="M24" s="1116">
        <v>19829.949591539997</v>
      </c>
      <c r="N24" s="1117">
        <v>119.99939999999999</v>
      </c>
      <c r="O24" s="1117">
        <v>120</v>
      </c>
      <c r="P24" s="1118" t="s">
        <v>561</v>
      </c>
      <c r="S24" s="943"/>
      <c r="T24" s="943"/>
    </row>
    <row r="25" spans="1:20" ht="9" customHeight="1">
      <c r="A25" s="509" t="s">
        <v>562</v>
      </c>
      <c r="B25" s="1120">
        <v>11.38</v>
      </c>
      <c r="C25" s="1120" t="s">
        <v>292</v>
      </c>
      <c r="D25" s="1120">
        <v>10.220000000000001</v>
      </c>
      <c r="E25" s="1121" t="s">
        <v>292</v>
      </c>
      <c r="F25" s="1121">
        <v>222.93821299751389</v>
      </c>
      <c r="G25" s="1121">
        <v>74.590248297429312</v>
      </c>
      <c r="H25" s="1121">
        <v>155.68827018929903</v>
      </c>
      <c r="I25" s="1121">
        <f t="shared" si="5"/>
        <v>216.24558985409973</v>
      </c>
      <c r="J25" s="1122">
        <v>4118.7</v>
      </c>
      <c r="K25" s="1122">
        <v>5377.88</v>
      </c>
      <c r="L25" s="1122">
        <v>24350.21855053</v>
      </c>
      <c r="M25" s="1122">
        <v>18611.38046271</v>
      </c>
      <c r="N25" s="1123">
        <v>120</v>
      </c>
      <c r="O25" s="1123">
        <v>120</v>
      </c>
      <c r="P25" s="1124" t="s">
        <v>562</v>
      </c>
      <c r="S25" s="943"/>
      <c r="T25" s="943"/>
    </row>
    <row r="26" spans="1:20" ht="9" customHeight="1">
      <c r="A26" s="276" t="s">
        <v>555</v>
      </c>
      <c r="B26" s="1114">
        <v>10.89</v>
      </c>
      <c r="C26" s="1114" t="s">
        <v>292</v>
      </c>
      <c r="D26" s="1114">
        <v>10.34</v>
      </c>
      <c r="E26" s="1115" t="s">
        <v>292</v>
      </c>
      <c r="F26" s="1115">
        <v>242.60665294815351</v>
      </c>
      <c r="G26" s="1115">
        <v>70.522371419278812</v>
      </c>
      <c r="H26" s="1115">
        <v>145.37065591317955</v>
      </c>
      <c r="I26" s="1115">
        <f t="shared" si="5"/>
        <v>234.06645992296669</v>
      </c>
      <c r="J26" s="1116">
        <v>4626.38</v>
      </c>
      <c r="K26" s="1116">
        <v>6453.82</v>
      </c>
      <c r="L26" s="1116">
        <v>26214.802105800001</v>
      </c>
      <c r="M26" s="1116">
        <v>21394.726960620003</v>
      </c>
      <c r="N26" s="1117">
        <v>120</v>
      </c>
      <c r="O26" s="1117">
        <v>120</v>
      </c>
      <c r="P26" s="1118" t="s">
        <v>555</v>
      </c>
      <c r="Q26" s="1359"/>
      <c r="R26" s="1359"/>
      <c r="S26" s="1359"/>
      <c r="T26" s="1359"/>
    </row>
    <row r="27" spans="1:20" ht="9" customHeight="1">
      <c r="A27" s="509" t="s">
        <v>563</v>
      </c>
      <c r="B27" s="1120">
        <v>9.94</v>
      </c>
      <c r="C27" s="1120" t="s">
        <v>292</v>
      </c>
      <c r="D27" s="1120">
        <v>10.34</v>
      </c>
      <c r="E27" s="1121"/>
      <c r="F27" s="1121">
        <v>249.4972653235896</v>
      </c>
      <c r="G27" s="1121">
        <v>71.031511917941657</v>
      </c>
      <c r="H27" s="1121">
        <v>153.56840841838891</v>
      </c>
      <c r="I27" s="1121">
        <f t="shared" si="5"/>
        <v>240.83885731334811</v>
      </c>
      <c r="J27" s="1122">
        <v>4432.0399999999991</v>
      </c>
      <c r="K27" s="1122">
        <v>6367.21</v>
      </c>
      <c r="L27" s="1122">
        <v>25305.643511310001</v>
      </c>
      <c r="M27" s="1122">
        <v>19962.356530950001</v>
      </c>
      <c r="N27" s="1123">
        <v>121.9091</v>
      </c>
      <c r="O27" s="1123">
        <v>122</v>
      </c>
      <c r="P27" s="1124" t="s">
        <v>563</v>
      </c>
      <c r="Q27" s="1359"/>
      <c r="R27" s="1359"/>
      <c r="S27" s="1359"/>
      <c r="T27" s="1359"/>
    </row>
    <row r="28" spans="1:20" ht="9" customHeight="1">
      <c r="A28" s="276" t="s">
        <v>564</v>
      </c>
      <c r="B28" s="1114">
        <v>9.32</v>
      </c>
      <c r="C28" s="1114" t="s">
        <v>292</v>
      </c>
      <c r="D28" s="1114">
        <v>10.31</v>
      </c>
      <c r="E28" s="1115" t="s">
        <v>292</v>
      </c>
      <c r="F28" s="1115">
        <v>228.01744719542086</v>
      </c>
      <c r="G28" s="1115">
        <v>68.289164638038955</v>
      </c>
      <c r="H28" s="1115">
        <v>147.42528853484879</v>
      </c>
      <c r="I28" s="1115">
        <f t="shared" si="5"/>
        <v>220.48080601299588</v>
      </c>
      <c r="J28" s="1116">
        <v>3973.2</v>
      </c>
      <c r="K28" s="1116">
        <v>5941.09</v>
      </c>
      <c r="L28" s="1116">
        <v>26175.717991949998</v>
      </c>
      <c r="M28" s="1116">
        <v>20945.863226659996</v>
      </c>
      <c r="N28" s="1117">
        <v>122</v>
      </c>
      <c r="O28" s="1117">
        <v>122</v>
      </c>
      <c r="P28" s="1118" t="s">
        <v>564</v>
      </c>
      <c r="S28" s="943"/>
      <c r="T28" s="943"/>
    </row>
    <row r="29" spans="1:20" s="172" customFormat="1" ht="9" customHeight="1">
      <c r="A29" s="509" t="s">
        <v>556</v>
      </c>
      <c r="B29" s="1121">
        <v>9.3534874760682083</v>
      </c>
      <c r="C29" s="1120" t="s">
        <v>292</v>
      </c>
      <c r="D29" s="1121">
        <v>10.261660447372918</v>
      </c>
      <c r="E29" s="1121" t="s">
        <v>292</v>
      </c>
      <c r="F29" s="1121">
        <v>234.72310754318849</v>
      </c>
      <c r="G29" s="1121">
        <v>73.76997500321697</v>
      </c>
      <c r="H29" s="1121">
        <v>202.86354591820182</v>
      </c>
      <c r="I29" s="1121">
        <f t="shared" si="5"/>
        <v>229.12243730146781</v>
      </c>
      <c r="J29" s="1122">
        <v>4246.84</v>
      </c>
      <c r="K29" s="1122">
        <v>5896.66</v>
      </c>
      <c r="L29" s="1122">
        <v>25511.957881480004</v>
      </c>
      <c r="M29" s="1122">
        <v>20369.909566370003</v>
      </c>
      <c r="N29" s="1123">
        <v>122</v>
      </c>
      <c r="O29" s="1123">
        <v>122</v>
      </c>
      <c r="P29" s="1124" t="s">
        <v>556</v>
      </c>
      <c r="S29" s="943"/>
      <c r="T29" s="943"/>
    </row>
    <row r="30" spans="1:20" s="173" customFormat="1" ht="9" customHeight="1">
      <c r="A30" s="276" t="s">
        <v>565</v>
      </c>
      <c r="B30" s="1115">
        <v>9.1660110048883396</v>
      </c>
      <c r="C30" s="1114" t="s">
        <v>292</v>
      </c>
      <c r="D30" s="1115">
        <v>10.2083836794414</v>
      </c>
      <c r="E30" s="1115" t="s">
        <v>292</v>
      </c>
      <c r="F30" s="1115">
        <v>205.77131899619934</v>
      </c>
      <c r="G30" s="1115">
        <v>68.188869566563767</v>
      </c>
      <c r="H30" s="1115">
        <v>214.898647936092</v>
      </c>
      <c r="I30" s="1115">
        <f t="shared" si="5"/>
        <v>202.45285344065675</v>
      </c>
      <c r="J30" s="1116">
        <v>3031.1500000000005</v>
      </c>
      <c r="K30" s="1116">
        <v>5820.4</v>
      </c>
      <c r="L30" s="1116">
        <v>27429.666525189998</v>
      </c>
      <c r="M30" s="1116">
        <v>22025.499655229996</v>
      </c>
      <c r="N30" s="1117">
        <v>122</v>
      </c>
      <c r="O30" s="1117">
        <v>122</v>
      </c>
      <c r="P30" s="1118" t="s">
        <v>565</v>
      </c>
      <c r="S30" s="943"/>
      <c r="T30" s="943"/>
    </row>
    <row r="31" spans="1:20" s="173" customFormat="1" ht="9" customHeight="1">
      <c r="A31" s="509" t="s">
        <v>566</v>
      </c>
      <c r="B31" s="1121">
        <v>9.0500000000000007</v>
      </c>
      <c r="C31" s="1120" t="s">
        <v>292</v>
      </c>
      <c r="D31" s="1121">
        <v>10.130000000000001</v>
      </c>
      <c r="E31" s="1121" t="s">
        <v>292</v>
      </c>
      <c r="F31" s="1121">
        <v>209.54522311465772</v>
      </c>
      <c r="G31" s="1121">
        <v>73.913262329800006</v>
      </c>
      <c r="H31" s="1121">
        <v>231.52788369963253</v>
      </c>
      <c r="I31" s="1121">
        <f t="shared" si="5"/>
        <v>206.79838605325654</v>
      </c>
      <c r="J31" s="1122">
        <v>4732.1799999999994</v>
      </c>
      <c r="K31" s="1122">
        <v>5787.4</v>
      </c>
      <c r="L31" s="1122">
        <v>25798.152782170004</v>
      </c>
      <c r="M31" s="1122">
        <v>20520.936759040003</v>
      </c>
      <c r="N31" s="1123">
        <v>122.43259999999999</v>
      </c>
      <c r="O31" s="1123">
        <v>122.95269999999999</v>
      </c>
      <c r="P31" s="1124" t="s">
        <v>566</v>
      </c>
      <c r="S31" s="943"/>
      <c r="T31" s="943"/>
    </row>
    <row r="32" spans="1:20" s="173" customFormat="1" ht="9" customHeight="1">
      <c r="A32" s="276" t="s">
        <v>557</v>
      </c>
      <c r="B32" s="1115">
        <v>8.48</v>
      </c>
      <c r="C32" s="1114" t="s">
        <v>292</v>
      </c>
      <c r="D32" s="1115">
        <v>10.029999999999999</v>
      </c>
      <c r="E32" s="1115" t="s">
        <v>292</v>
      </c>
      <c r="F32" s="1115">
        <v>209.57897832353984</v>
      </c>
      <c r="G32" s="1115">
        <v>70.589911522162012</v>
      </c>
      <c r="H32" s="1115">
        <v>226.49771744776061</v>
      </c>
      <c r="I32" s="1115">
        <f t="shared" si="5"/>
        <v>206.53758839388141</v>
      </c>
      <c r="J32" s="1116">
        <v>3350.2</v>
      </c>
      <c r="K32" s="1116">
        <v>4391.2</v>
      </c>
      <c r="L32" s="1116">
        <v>31772.008634359998</v>
      </c>
      <c r="M32" s="1116">
        <v>26739.961591239997</v>
      </c>
      <c r="N32" s="1117">
        <v>122.84739999999999</v>
      </c>
      <c r="O32" s="1117">
        <v>122.7735</v>
      </c>
      <c r="P32" s="1118" t="s">
        <v>557</v>
      </c>
      <c r="S32" s="943"/>
      <c r="T32" s="943"/>
    </row>
    <row r="33" spans="1:22" s="173" customFormat="1" ht="9" customHeight="1">
      <c r="A33" s="1657" t="s">
        <v>2664</v>
      </c>
      <c r="B33" s="1658">
        <f>B45</f>
        <v>9.16</v>
      </c>
      <c r="C33" s="1658" t="s">
        <v>292</v>
      </c>
      <c r="D33" s="1659">
        <f>D45</f>
        <v>8.68</v>
      </c>
      <c r="E33" s="1658" t="s">
        <v>292</v>
      </c>
      <c r="F33" s="1658" t="s">
        <v>292</v>
      </c>
      <c r="G33" s="1658" t="s">
        <v>292</v>
      </c>
      <c r="H33" s="1658" t="s">
        <v>292</v>
      </c>
      <c r="I33" s="1658" t="s">
        <v>292</v>
      </c>
      <c r="J33" s="1660">
        <f>SUM(J34:J45)</f>
        <v>48383.5</v>
      </c>
      <c r="K33" s="1660">
        <f>SUM(K34:K45)</f>
        <v>75240.099999999991</v>
      </c>
      <c r="L33" s="1660">
        <f>L45</f>
        <v>37578.010922079993</v>
      </c>
      <c r="M33" s="1660">
        <f>M45</f>
        <v>32907.230394800004</v>
      </c>
      <c r="N33" s="1661">
        <f t="shared" ref="N33" si="6">N45</f>
        <v>122.76300000000001</v>
      </c>
      <c r="O33" s="1661">
        <f>O45</f>
        <v>122.85</v>
      </c>
      <c r="P33" s="1662" t="s">
        <v>2664</v>
      </c>
      <c r="S33" s="943"/>
      <c r="T33" s="943"/>
    </row>
    <row r="34" spans="1:22" ht="9" customHeight="1">
      <c r="A34" s="276" t="s">
        <v>559</v>
      </c>
      <c r="B34" s="1115">
        <v>8.5500000000000007</v>
      </c>
      <c r="C34" s="1114" t="s">
        <v>292</v>
      </c>
      <c r="D34" s="1115">
        <v>9.77</v>
      </c>
      <c r="E34" s="1115" t="s">
        <v>292</v>
      </c>
      <c r="F34" s="1115">
        <v>222.421616</v>
      </c>
      <c r="G34" s="1115">
        <v>70.19</v>
      </c>
      <c r="H34" s="1115">
        <v>201.14</v>
      </c>
      <c r="I34" s="1115">
        <f t="shared" si="5"/>
        <v>217.48203140480001</v>
      </c>
      <c r="J34" s="1116">
        <v>4779.3999999999996</v>
      </c>
      <c r="K34" s="1116">
        <v>6270.5</v>
      </c>
      <c r="L34" s="1116">
        <v>29799.750602410004</v>
      </c>
      <c r="M34" s="1116">
        <v>24779.071474270004</v>
      </c>
      <c r="N34" s="1117">
        <v>121.9147</v>
      </c>
      <c r="O34" s="1117">
        <v>122.5488</v>
      </c>
      <c r="P34" s="1118" t="s">
        <v>559</v>
      </c>
    </row>
    <row r="35" spans="1:22" s="1395" customFormat="1" ht="9" customHeight="1">
      <c r="A35" s="509" t="s">
        <v>560</v>
      </c>
      <c r="B35" s="1121">
        <v>8.2899999999999991</v>
      </c>
      <c r="C35" s="1120" t="s">
        <v>292</v>
      </c>
      <c r="D35" s="1121">
        <v>9.58</v>
      </c>
      <c r="E35" s="1121" t="s">
        <v>292</v>
      </c>
      <c r="F35" s="1121">
        <v>210.96214799999998</v>
      </c>
      <c r="G35" s="1121">
        <v>68.114723989105755</v>
      </c>
      <c r="H35" s="1121">
        <v>251.86734990544579</v>
      </c>
      <c r="I35" s="1121">
        <f t="shared" si="5"/>
        <v>208.78640719348806</v>
      </c>
      <c r="J35" s="1122">
        <v>3884.4</v>
      </c>
      <c r="K35" s="1122">
        <v>5222.7</v>
      </c>
      <c r="L35" s="1122">
        <v>31166.218970630001</v>
      </c>
      <c r="M35" s="1122">
        <v>26173.729615820001</v>
      </c>
      <c r="N35" s="1123">
        <v>121.6721</v>
      </c>
      <c r="O35" s="1123">
        <v>121.6484</v>
      </c>
      <c r="P35" s="1124" t="s">
        <v>560</v>
      </c>
      <c r="Q35" s="1430"/>
      <c r="R35" s="1430"/>
    </row>
    <row r="36" spans="1:22" s="1427" customFormat="1" ht="9" customHeight="1">
      <c r="A36" s="276" t="s">
        <v>554</v>
      </c>
      <c r="B36" s="1115">
        <v>8.36</v>
      </c>
      <c r="C36" s="1114" t="s">
        <v>292</v>
      </c>
      <c r="D36" s="1115">
        <v>9.4499999999999993</v>
      </c>
      <c r="E36" s="1115" t="s">
        <v>292</v>
      </c>
      <c r="F36" s="1115">
        <v>213.72986880903184</v>
      </c>
      <c r="G36" s="1115">
        <v>67.384687026744217</v>
      </c>
      <c r="H36" s="1115">
        <v>225.30018193691012</v>
      </c>
      <c r="I36" s="1115">
        <f t="shared" si="5"/>
        <v>210.27525858763286</v>
      </c>
      <c r="J36" s="1116">
        <v>3607.3</v>
      </c>
      <c r="K36" s="1116">
        <v>6212.1</v>
      </c>
      <c r="L36" s="1116">
        <v>31426.811970420007</v>
      </c>
      <c r="M36" s="1116">
        <v>26603.656553200006</v>
      </c>
      <c r="N36" s="1117">
        <v>121.74299999999999</v>
      </c>
      <c r="O36" s="1117">
        <v>121.8008</v>
      </c>
      <c r="P36" s="1118" t="s">
        <v>554</v>
      </c>
      <c r="Q36" s="1430"/>
      <c r="R36" s="1430"/>
    </row>
    <row r="37" spans="1:22" s="183" customFormat="1" ht="9" customHeight="1">
      <c r="A37" s="509" t="s">
        <v>561</v>
      </c>
      <c r="B37" s="1121">
        <v>8.17</v>
      </c>
      <c r="C37" s="1120" t="s">
        <v>292</v>
      </c>
      <c r="D37" s="1121">
        <v>9.2200000000000006</v>
      </c>
      <c r="E37" s="1121" t="s">
        <v>292</v>
      </c>
      <c r="F37" s="1121">
        <v>207.16141833763791</v>
      </c>
      <c r="G37" s="1121">
        <v>66.997380353258549</v>
      </c>
      <c r="H37" s="1121">
        <v>214.8473762700346</v>
      </c>
      <c r="I37" s="1121">
        <f t="shared" si="5"/>
        <v>203.71553482012536</v>
      </c>
      <c r="J37" s="1122">
        <v>3812.8</v>
      </c>
      <c r="K37" s="1122">
        <v>5621.5</v>
      </c>
      <c r="L37" s="1122">
        <v>32335.200000000001</v>
      </c>
      <c r="M37" s="1122">
        <v>27577.7</v>
      </c>
      <c r="N37" s="1123">
        <v>122.2859</v>
      </c>
      <c r="O37" s="1123">
        <v>122.0312</v>
      </c>
      <c r="P37" s="1124" t="s">
        <v>561</v>
      </c>
      <c r="Q37" s="1445"/>
      <c r="R37" s="1445"/>
    </row>
    <row r="38" spans="1:22" s="183" customFormat="1" ht="9" customHeight="1">
      <c r="A38" s="276" t="s">
        <v>562</v>
      </c>
      <c r="B38" s="1115">
        <v>8.2899999999999991</v>
      </c>
      <c r="C38" s="1114" t="s">
        <v>292</v>
      </c>
      <c r="D38" s="1115">
        <v>8.9600000000000009</v>
      </c>
      <c r="E38" s="1115" t="s">
        <v>292</v>
      </c>
      <c r="F38" s="1115">
        <v>227.78879237964654</v>
      </c>
      <c r="G38" s="1115">
        <v>66.141662741006456</v>
      </c>
      <c r="H38" s="1115">
        <v>161.35096634134658</v>
      </c>
      <c r="I38" s="1115">
        <f t="shared" si="5"/>
        <v>220.77256113338368</v>
      </c>
      <c r="J38" s="1116">
        <v>4036.3</v>
      </c>
      <c r="K38" s="1116">
        <v>5799.1</v>
      </c>
      <c r="L38" s="1116">
        <v>31093.43</v>
      </c>
      <c r="M38" s="1116">
        <v>26395.759999999998</v>
      </c>
      <c r="N38" s="1117">
        <v>122.3133</v>
      </c>
      <c r="O38" s="1117">
        <v>122.2683</v>
      </c>
      <c r="P38" s="1118" t="s">
        <v>562</v>
      </c>
      <c r="Q38" s="1445"/>
      <c r="R38" s="1445"/>
    </row>
    <row r="39" spans="1:22" ht="9" customHeight="1">
      <c r="A39" s="218" t="s">
        <v>555</v>
      </c>
      <c r="B39" s="1121">
        <v>8.49</v>
      </c>
      <c r="C39" s="1120" t="s">
        <v>292</v>
      </c>
      <c r="D39" s="1121">
        <v>8.77</v>
      </c>
      <c r="E39" s="1121" t="s">
        <v>292</v>
      </c>
      <c r="F39" s="1121">
        <v>240.43169537294219</v>
      </c>
      <c r="G39" s="1121">
        <v>68.345583703273732</v>
      </c>
      <c r="H39" s="1121">
        <v>147.76630243780968</v>
      </c>
      <c r="I39" s="1121">
        <f t="shared" si="5"/>
        <v>232.07610570561573</v>
      </c>
      <c r="J39" s="1122">
        <v>4281.3</v>
      </c>
      <c r="K39" s="1122">
        <v>6449.9</v>
      </c>
      <c r="L39" s="1122">
        <v>33189.760000000002</v>
      </c>
      <c r="M39" s="1122">
        <v>28589.25</v>
      </c>
      <c r="N39" s="1123">
        <v>122.2889</v>
      </c>
      <c r="O39" s="1123">
        <v>122.31399999999999</v>
      </c>
      <c r="P39" s="1124" t="s">
        <v>555</v>
      </c>
    </row>
    <row r="40" spans="1:22" ht="9" customHeight="1">
      <c r="A40" s="539" t="s">
        <v>563</v>
      </c>
      <c r="B40" s="1115">
        <v>8.58</v>
      </c>
      <c r="C40" s="1114" t="s">
        <v>292</v>
      </c>
      <c r="D40" s="1115">
        <v>8.66</v>
      </c>
      <c r="E40" s="1115" t="s">
        <v>292</v>
      </c>
      <c r="F40" s="1115">
        <v>255.58844000000002</v>
      </c>
      <c r="G40" s="1115">
        <v>67.793283603115825</v>
      </c>
      <c r="H40" s="1115">
        <v>159.38532188126965</v>
      </c>
      <c r="I40" s="1115">
        <f t="shared" si="5"/>
        <v>246.66892383656679</v>
      </c>
      <c r="J40" s="1116">
        <v>4389.7</v>
      </c>
      <c r="K40" s="1116">
        <v>6527.7</v>
      </c>
      <c r="L40" s="1116">
        <v>33178.629999999997</v>
      </c>
      <c r="M40" s="1116">
        <v>28682.77</v>
      </c>
      <c r="N40" s="1117">
        <v>122.3207</v>
      </c>
      <c r="O40" s="1117">
        <v>122.3441</v>
      </c>
      <c r="P40" s="1118" t="s">
        <v>563</v>
      </c>
      <c r="R40" s="943"/>
      <c r="S40" s="943"/>
    </row>
    <row r="41" spans="1:22" ht="9" customHeight="1">
      <c r="A41" s="1541" t="s">
        <v>564</v>
      </c>
      <c r="B41" s="1542">
        <v>9.1300000000000008</v>
      </c>
      <c r="C41" s="1543" t="s">
        <v>292</v>
      </c>
      <c r="D41" s="1542">
        <v>8.65</v>
      </c>
      <c r="E41" s="1121" t="s">
        <v>292</v>
      </c>
      <c r="F41" s="1121">
        <v>220.97053530926573</v>
      </c>
      <c r="G41" s="1121">
        <v>65.562228060765165</v>
      </c>
      <c r="H41" s="1121">
        <v>148.64413509581519</v>
      </c>
      <c r="I41" s="1121">
        <f t="shared" si="5"/>
        <v>213.8836061063825</v>
      </c>
      <c r="J41" s="1544">
        <v>3499.6</v>
      </c>
      <c r="K41" s="1544">
        <v>6623.6</v>
      </c>
      <c r="L41" s="1544">
        <v>35109.18</v>
      </c>
      <c r="M41" s="1544">
        <v>30356.98</v>
      </c>
      <c r="N41" s="1545">
        <v>122.301</v>
      </c>
      <c r="O41" s="1545">
        <v>122.30029999999999</v>
      </c>
      <c r="P41" s="1546" t="s">
        <v>564</v>
      </c>
      <c r="R41" s="943"/>
      <c r="S41" s="943"/>
    </row>
    <row r="42" spans="1:22" ht="9" customHeight="1">
      <c r="A42" s="539" t="s">
        <v>556</v>
      </c>
      <c r="B42" s="1115">
        <v>8.7100000000000009</v>
      </c>
      <c r="C42" s="1114" t="s">
        <v>292</v>
      </c>
      <c r="D42" s="1115">
        <v>8.6</v>
      </c>
      <c r="E42" s="1115" t="s">
        <v>292</v>
      </c>
      <c r="F42" s="1115">
        <v>232.48692542034115</v>
      </c>
      <c r="G42" s="1115">
        <v>61.374326682580666</v>
      </c>
      <c r="H42" s="1115">
        <v>154.16389950533491</v>
      </c>
      <c r="I42" s="1115">
        <f t="shared" si="5"/>
        <v>224.73685752720294</v>
      </c>
      <c r="J42" s="1116">
        <v>3489.9</v>
      </c>
      <c r="K42" s="1116">
        <v>5826.2</v>
      </c>
      <c r="L42" s="1116">
        <v>34031.422594480006</v>
      </c>
      <c r="M42" s="1116">
        <v>29416.007474340004</v>
      </c>
      <c r="N42" s="1117">
        <v>122.577</v>
      </c>
      <c r="O42" s="1117">
        <v>122.75</v>
      </c>
      <c r="P42" s="1118" t="s">
        <v>556</v>
      </c>
      <c r="Q42" s="172"/>
      <c r="R42" s="1911"/>
      <c r="S42" s="1911"/>
      <c r="T42" s="1911"/>
      <c r="U42" s="943"/>
    </row>
    <row r="43" spans="1:22" ht="9" customHeight="1">
      <c r="A43" s="218" t="s">
        <v>565</v>
      </c>
      <c r="B43" s="1120">
        <v>9.0399999999999991</v>
      </c>
      <c r="C43" s="1120" t="s">
        <v>292</v>
      </c>
      <c r="D43" s="1120">
        <v>8.59</v>
      </c>
      <c r="E43" s="1120" t="s">
        <v>292</v>
      </c>
      <c r="F43" s="1120">
        <v>231.96</v>
      </c>
      <c r="G43" s="1120">
        <v>60.3</v>
      </c>
      <c r="H43" s="1120">
        <v>209.89</v>
      </c>
      <c r="I43" s="1120">
        <v>226.47</v>
      </c>
      <c r="J43" s="1122">
        <v>4012</v>
      </c>
      <c r="K43" s="1122">
        <v>7066.1</v>
      </c>
      <c r="L43" s="1122">
        <v>35108.395368860001</v>
      </c>
      <c r="M43" s="1122">
        <v>30428.447302810004</v>
      </c>
      <c r="N43" s="1123">
        <v>122.7449</v>
      </c>
      <c r="O43" s="1123">
        <v>122.75</v>
      </c>
      <c r="P43" s="1124" t="s">
        <v>565</v>
      </c>
      <c r="Q43" s="1122"/>
      <c r="R43" s="1122"/>
      <c r="S43" s="1122"/>
      <c r="T43" s="1122"/>
      <c r="V43" s="943"/>
    </row>
    <row r="44" spans="1:22" ht="9" customHeight="1">
      <c r="A44" s="539" t="s">
        <v>566</v>
      </c>
      <c r="B44" s="1114">
        <v>9.42</v>
      </c>
      <c r="C44" s="1114" t="s">
        <v>292</v>
      </c>
      <c r="D44" s="1114">
        <v>8.6300000000000008</v>
      </c>
      <c r="E44" s="1114" t="s">
        <v>292</v>
      </c>
      <c r="F44" s="1114">
        <v>215.09</v>
      </c>
      <c r="G44" s="1114">
        <v>60.44</v>
      </c>
      <c r="H44" s="1114">
        <v>185.62</v>
      </c>
      <c r="I44" s="1115">
        <v>209.75479199999998</v>
      </c>
      <c r="J44" s="1116">
        <v>4405.3999999999996</v>
      </c>
      <c r="K44" s="1116">
        <v>6108.2</v>
      </c>
      <c r="L44" s="1116">
        <v>34476.630718710003</v>
      </c>
      <c r="M44" s="1116">
        <v>29792.009319860001</v>
      </c>
      <c r="N44" s="1117">
        <v>122.75</v>
      </c>
      <c r="O44" s="1117">
        <v>122.75</v>
      </c>
      <c r="P44" s="1118" t="s">
        <v>566</v>
      </c>
      <c r="Q44" s="1122"/>
      <c r="R44" s="1122"/>
      <c r="S44" s="1122"/>
      <c r="T44" s="1122"/>
    </row>
    <row r="45" spans="1:22" ht="10.5" customHeight="1">
      <c r="A45" s="1678" t="s">
        <v>557</v>
      </c>
      <c r="B45" s="1679">
        <v>9.16</v>
      </c>
      <c r="C45" s="1679" t="s">
        <v>292</v>
      </c>
      <c r="D45" s="1679">
        <v>8.68</v>
      </c>
      <c r="E45" s="1679" t="s">
        <v>292</v>
      </c>
      <c r="F45" s="1121">
        <v>231.94309971733907</v>
      </c>
      <c r="G45" s="1121">
        <v>63.69</v>
      </c>
      <c r="H45" s="1121">
        <v>239.52960718587343</v>
      </c>
      <c r="I45" s="1121">
        <v>227.74041154664312</v>
      </c>
      <c r="J45" s="1680">
        <v>4185.3999999999996</v>
      </c>
      <c r="K45" s="1680">
        <v>7512.5</v>
      </c>
      <c r="L45" s="1680">
        <v>37578.010922079993</v>
      </c>
      <c r="M45" s="1680">
        <v>32907.230394800004</v>
      </c>
      <c r="N45" s="1681">
        <v>122.76300000000001</v>
      </c>
      <c r="O45" s="1681">
        <v>122.85</v>
      </c>
      <c r="P45" s="1682" t="s">
        <v>557</v>
      </c>
      <c r="Q45" s="1122"/>
      <c r="R45" s="1122"/>
      <c r="S45" s="1122"/>
      <c r="T45" s="1122"/>
    </row>
    <row r="46" spans="1:22" ht="10.5" customHeight="1">
      <c r="A46" s="1125" t="s">
        <v>2929</v>
      </c>
      <c r="B46" s="1114"/>
      <c r="C46" s="1114"/>
      <c r="D46" s="1114"/>
      <c r="E46" s="1114"/>
      <c r="F46" s="1114"/>
      <c r="G46" s="1114"/>
      <c r="H46" s="1114"/>
      <c r="I46" s="1114"/>
      <c r="J46" s="1116"/>
      <c r="K46" s="1116"/>
      <c r="L46" s="1116"/>
      <c r="M46" s="1116"/>
      <c r="N46" s="1117"/>
      <c r="O46" s="1117"/>
      <c r="P46" s="1130" t="s">
        <v>2929</v>
      </c>
      <c r="S46" s="1122"/>
      <c r="T46" s="1122"/>
    </row>
    <row r="47" spans="1:22" ht="10.5" customHeight="1">
      <c r="A47" s="218" t="s">
        <v>559</v>
      </c>
      <c r="B47" s="1120">
        <v>8.32</v>
      </c>
      <c r="C47" s="1120" t="s">
        <v>292</v>
      </c>
      <c r="D47" s="1120">
        <v>8.66</v>
      </c>
      <c r="E47" s="1120" t="s">
        <v>292</v>
      </c>
      <c r="F47" s="1120" t="s">
        <v>292</v>
      </c>
      <c r="G47" s="1120" t="s">
        <v>292</v>
      </c>
      <c r="H47" s="1120" t="s">
        <v>292</v>
      </c>
      <c r="I47" s="1120" t="s">
        <v>292</v>
      </c>
      <c r="J47" s="1122">
        <v>4729</v>
      </c>
      <c r="K47" s="1122">
        <v>6782</v>
      </c>
      <c r="L47" s="1122">
        <v>36422.183272659997</v>
      </c>
      <c r="M47" s="1122">
        <v>31578.046304419997</v>
      </c>
      <c r="N47" s="1123">
        <v>123.3173</v>
      </c>
      <c r="O47" s="1123">
        <v>123.82</v>
      </c>
      <c r="P47" s="1124" t="s">
        <v>559</v>
      </c>
      <c r="Q47" s="172"/>
      <c r="R47" s="172"/>
      <c r="S47" s="1122"/>
      <c r="T47" s="1122"/>
    </row>
    <row r="48" spans="1:22" ht="10.5" customHeight="1" thickBot="1">
      <c r="A48" s="1893" t="s">
        <v>560</v>
      </c>
      <c r="B48" s="1894">
        <v>8.26</v>
      </c>
      <c r="C48" s="1894" t="s">
        <v>292</v>
      </c>
      <c r="D48" s="1894">
        <v>8.66</v>
      </c>
      <c r="E48" s="1894" t="s">
        <v>292</v>
      </c>
      <c r="F48" s="1894" t="s">
        <v>292</v>
      </c>
      <c r="G48" s="1894" t="s">
        <v>292</v>
      </c>
      <c r="H48" s="1894" t="s">
        <v>292</v>
      </c>
      <c r="I48" s="1894" t="s">
        <v>292</v>
      </c>
      <c r="J48" s="1895">
        <v>4415.5</v>
      </c>
      <c r="K48" s="1895">
        <v>6113.8</v>
      </c>
      <c r="L48" s="1895">
        <v>37352.276465749987</v>
      </c>
      <c r="M48" s="1895">
        <v>32442.349319109988</v>
      </c>
      <c r="N48" s="1896">
        <v>123.0809</v>
      </c>
      <c r="O48" s="1896">
        <v>123</v>
      </c>
      <c r="P48" s="1897" t="s">
        <v>560</v>
      </c>
      <c r="Q48" s="1122"/>
      <c r="R48" s="1122"/>
      <c r="S48" s="1122"/>
      <c r="T48" s="1122"/>
    </row>
    <row r="49" spans="1:20">
      <c r="A49" s="1422" t="s">
        <v>2693</v>
      </c>
      <c r="B49" s="2106" t="s">
        <v>1279</v>
      </c>
      <c r="C49" s="2106"/>
      <c r="D49" s="2106"/>
      <c r="E49" s="2106"/>
      <c r="F49" s="2106"/>
      <c r="G49" s="1135"/>
      <c r="H49" s="1135"/>
      <c r="I49" s="1135"/>
      <c r="J49" s="1422" t="s">
        <v>2692</v>
      </c>
      <c r="K49" s="2109" t="s">
        <v>2673</v>
      </c>
      <c r="L49" s="2109"/>
      <c r="M49" s="2109"/>
      <c r="N49" s="2109"/>
      <c r="O49" s="2109"/>
      <c r="P49" s="2109"/>
      <c r="Q49" s="172"/>
      <c r="R49" s="172"/>
      <c r="S49" s="172"/>
      <c r="T49" s="172"/>
    </row>
    <row r="50" spans="1:20">
      <c r="A50" s="1136"/>
      <c r="B50" s="2107" t="s">
        <v>1278</v>
      </c>
      <c r="C50" s="2107"/>
      <c r="D50" s="2107"/>
      <c r="E50" s="2107"/>
      <c r="F50" s="2107"/>
      <c r="G50" s="2107"/>
      <c r="H50" s="2107"/>
      <c r="I50" s="2107"/>
      <c r="J50" s="1137"/>
      <c r="K50" s="2113" t="s">
        <v>2674</v>
      </c>
      <c r="L50" s="2113"/>
      <c r="M50" s="2113"/>
      <c r="N50" s="2113"/>
      <c r="O50" s="2113"/>
      <c r="P50" s="2113"/>
    </row>
    <row r="51" spans="1:20">
      <c r="A51" s="1136"/>
      <c r="B51" s="1138" t="s">
        <v>2147</v>
      </c>
      <c r="C51" s="1138"/>
      <c r="D51" s="1138"/>
      <c r="E51" s="1138"/>
      <c r="F51" s="1138"/>
      <c r="G51" s="1138"/>
      <c r="H51" s="1315"/>
      <c r="I51" s="1139"/>
      <c r="K51" s="2113" t="s">
        <v>2675</v>
      </c>
      <c r="L51" s="2113"/>
      <c r="M51" s="2113"/>
      <c r="N51" s="2113"/>
      <c r="O51" s="2113"/>
      <c r="P51" s="2113"/>
      <c r="Q51" s="1430"/>
      <c r="R51" s="1430"/>
      <c r="S51" s="1430"/>
    </row>
    <row r="52" spans="1:20" ht="17.25">
      <c r="A52" s="1136" t="s">
        <v>629</v>
      </c>
      <c r="B52" s="1143" t="s">
        <v>1336</v>
      </c>
      <c r="C52" s="1136"/>
      <c r="D52" s="1136"/>
      <c r="E52" s="1136"/>
      <c r="F52" s="1136"/>
      <c r="G52" s="1136"/>
      <c r="H52" s="1141"/>
      <c r="I52" s="1142"/>
      <c r="J52" s="1140"/>
      <c r="K52" s="2110" t="s">
        <v>2526</v>
      </c>
      <c r="L52" s="2110"/>
      <c r="M52" s="2110"/>
      <c r="N52" s="2110"/>
      <c r="O52" s="2110"/>
      <c r="P52" s="2110"/>
      <c r="Q52" s="1430"/>
      <c r="R52" s="1430"/>
      <c r="S52" s="1430"/>
    </row>
    <row r="53" spans="1:20">
      <c r="A53" s="1423" t="s">
        <v>2694</v>
      </c>
      <c r="B53" s="2108" t="s">
        <v>190</v>
      </c>
      <c r="C53" s="2108"/>
      <c r="D53" s="1143"/>
      <c r="E53" s="1146" t="s">
        <v>1296</v>
      </c>
      <c r="F53" s="1138"/>
      <c r="G53" s="1138"/>
      <c r="H53" s="1138"/>
      <c r="I53" s="1144"/>
      <c r="J53" s="1137"/>
      <c r="K53" s="2110" t="s">
        <v>2527</v>
      </c>
      <c r="L53" s="2110"/>
      <c r="M53" s="2110"/>
      <c r="N53" s="2110"/>
      <c r="O53" s="2110"/>
      <c r="P53" s="2110"/>
    </row>
    <row r="54" spans="1:20" ht="33">
      <c r="A54" s="1145"/>
      <c r="B54" s="2108"/>
      <c r="C54" s="2108"/>
      <c r="D54" s="1143"/>
      <c r="E54" s="1431"/>
      <c r="F54" s="1432"/>
      <c r="G54" s="1149"/>
      <c r="H54" s="1646"/>
      <c r="I54" s="1142"/>
      <c r="J54" s="1147"/>
      <c r="K54" s="1384" t="s">
        <v>2528</v>
      </c>
      <c r="L54" s="1384"/>
      <c r="M54" s="1384"/>
      <c r="N54" s="1384"/>
      <c r="O54" s="1384"/>
      <c r="P54" s="1385"/>
    </row>
    <row r="55" spans="1:20">
      <c r="A55" s="1136"/>
      <c r="B55" s="1136"/>
      <c r="C55" s="1136"/>
      <c r="D55" s="1143"/>
      <c r="E55" s="1152"/>
      <c r="F55" s="1152"/>
      <c r="G55" s="1152"/>
      <c r="H55" s="1149"/>
      <c r="I55" s="1142"/>
      <c r="J55" s="1423" t="s">
        <v>2691</v>
      </c>
      <c r="K55" s="1386" t="s">
        <v>2523</v>
      </c>
      <c r="L55" s="1386"/>
      <c r="M55" s="1386"/>
      <c r="N55" s="1386"/>
      <c r="O55" s="1386"/>
      <c r="P55" s="1386"/>
    </row>
    <row r="56" spans="1:20">
      <c r="A56" s="1136"/>
      <c r="B56" s="1030"/>
      <c r="C56" s="1136"/>
      <c r="D56" s="1136"/>
      <c r="E56" s="1152"/>
      <c r="F56" s="1152"/>
      <c r="G56" s="1152"/>
      <c r="H56" s="1149"/>
      <c r="I56" s="1142"/>
      <c r="J56" s="1147"/>
      <c r="K56" s="1387" t="s">
        <v>2522</v>
      </c>
      <c r="L56" s="1387"/>
      <c r="M56" s="1387" t="s">
        <v>2525</v>
      </c>
      <c r="N56" s="1387"/>
      <c r="O56" s="1387"/>
      <c r="P56" s="1387"/>
    </row>
    <row r="57" spans="1:20">
      <c r="A57" s="1136"/>
      <c r="B57" s="818"/>
      <c r="C57" s="1136"/>
      <c r="D57" s="1136"/>
      <c r="E57" s="1152"/>
      <c r="F57" s="1152"/>
      <c r="G57" s="1152"/>
      <c r="H57" s="1149"/>
      <c r="I57" s="1142"/>
      <c r="J57" s="1374" t="s">
        <v>191</v>
      </c>
      <c r="K57" s="1388" t="s">
        <v>2524</v>
      </c>
      <c r="L57" s="1388"/>
      <c r="M57" s="1388"/>
      <c r="N57" s="1388"/>
      <c r="O57" s="1388"/>
      <c r="P57" s="1388"/>
    </row>
    <row r="58" spans="1:20">
      <c r="C58" s="1152"/>
      <c r="D58" s="1152"/>
      <c r="E58" s="1152"/>
      <c r="F58" s="1152"/>
      <c r="G58" s="1152"/>
      <c r="H58" s="1149"/>
      <c r="I58" s="547"/>
      <c r="J58" s="1150"/>
      <c r="K58" s="1151"/>
      <c r="L58" s="1148"/>
      <c r="M58" s="1149"/>
      <c r="O58" s="1373"/>
      <c r="P58" s="1373"/>
    </row>
    <row r="59" spans="1:20">
      <c r="C59" s="1152"/>
      <c r="D59" s="1152"/>
      <c r="E59" s="1152"/>
      <c r="F59" s="1152"/>
      <c r="G59" s="1152"/>
      <c r="H59" s="1149"/>
      <c r="I59" s="547"/>
      <c r="J59" s="1122"/>
      <c r="K59" s="1122"/>
      <c r="L59" s="1148"/>
      <c r="M59" s="1148"/>
      <c r="O59" s="1373"/>
      <c r="P59" s="1373"/>
    </row>
    <row r="60" spans="1:20">
      <c r="C60" s="1152"/>
      <c r="D60" s="1152"/>
      <c r="E60" s="1152"/>
      <c r="F60" s="547"/>
      <c r="G60" s="547"/>
      <c r="H60" s="547"/>
      <c r="I60" s="547"/>
      <c r="J60" s="1150"/>
      <c r="K60" s="1151"/>
      <c r="L60" s="1148"/>
      <c r="M60" s="1148"/>
      <c r="N60" s="1148"/>
      <c r="O60" s="1373"/>
      <c r="P60" s="1373"/>
    </row>
    <row r="61" spans="1:20">
      <c r="C61" s="1152"/>
      <c r="D61" s="1152"/>
      <c r="E61" s="1152"/>
      <c r="F61" s="1152"/>
      <c r="G61" s="1152"/>
      <c r="H61" s="1149"/>
      <c r="I61" s="1154"/>
      <c r="J61" s="1150"/>
      <c r="K61" s="1150"/>
      <c r="L61" s="1151"/>
      <c r="M61" s="1148"/>
      <c r="N61" s="1551"/>
      <c r="O61" s="1373"/>
      <c r="P61" s="1373"/>
    </row>
    <row r="62" spans="1:20">
      <c r="C62" s="1152"/>
      <c r="D62" s="1152"/>
      <c r="E62" s="1152"/>
      <c r="F62" s="1152"/>
      <c r="G62" s="1152"/>
      <c r="H62" s="1152"/>
      <c r="I62" s="1152"/>
      <c r="J62" s="1150"/>
      <c r="K62" s="1150"/>
      <c r="L62" s="1151"/>
      <c r="M62" s="1148"/>
      <c r="N62" s="1551"/>
      <c r="O62" s="1373"/>
      <c r="P62" s="1153"/>
    </row>
    <row r="63" spans="1:20">
      <c r="C63" s="1152"/>
      <c r="D63" s="1152"/>
      <c r="E63" s="1152"/>
      <c r="F63" s="1152"/>
      <c r="G63" s="1152"/>
      <c r="H63" s="1152"/>
      <c r="I63" s="1152"/>
      <c r="J63" s="1150"/>
      <c r="K63" s="1150"/>
      <c r="L63" s="1151"/>
      <c r="M63" s="1154"/>
      <c r="N63" s="1154"/>
      <c r="O63" s="1154"/>
      <c r="P63" s="1153"/>
    </row>
    <row r="64" spans="1:20">
      <c r="C64" s="1152"/>
      <c r="D64" s="1152"/>
      <c r="E64" s="1152"/>
      <c r="F64" s="1152"/>
      <c r="G64" s="1152"/>
      <c r="H64" s="1152"/>
      <c r="I64" s="1152"/>
      <c r="J64" s="1150"/>
      <c r="K64" s="1150"/>
      <c r="L64" s="1151"/>
      <c r="M64" s="1154"/>
      <c r="N64" s="1154"/>
      <c r="O64" s="1154"/>
      <c r="P64" s="1153"/>
    </row>
    <row r="65" spans="4:9">
      <c r="D65" s="547"/>
      <c r="E65" s="1152"/>
      <c r="F65" s="1152"/>
      <c r="G65" s="1152"/>
      <c r="H65" s="1152"/>
      <c r="I65" s="1152"/>
    </row>
    <row r="66" spans="4:9">
      <c r="D66" s="547"/>
      <c r="E66" s="1152"/>
      <c r="F66" s="1152"/>
      <c r="G66" s="1152"/>
      <c r="H66" s="1152"/>
      <c r="I66" s="1152"/>
    </row>
    <row r="67" spans="4:9">
      <c r="D67" s="547"/>
      <c r="E67" s="1152"/>
      <c r="F67" s="1152"/>
      <c r="G67" s="1152"/>
      <c r="H67" s="1152"/>
      <c r="I67" s="1152"/>
    </row>
    <row r="68" spans="4:9">
      <c r="D68" s="547"/>
      <c r="E68" s="1152"/>
      <c r="F68" s="1152"/>
      <c r="G68" s="1152"/>
      <c r="H68" s="1152"/>
    </row>
    <row r="69" spans="4:9">
      <c r="D69" s="547"/>
      <c r="E69" s="547"/>
      <c r="F69" s="547"/>
      <c r="G69" s="1152"/>
      <c r="H69" s="1149"/>
    </row>
    <row r="70" spans="4:9">
      <c r="D70" s="547"/>
      <c r="E70" s="547"/>
      <c r="F70" s="547"/>
      <c r="G70" s="1152"/>
      <c r="H70" s="1149"/>
    </row>
    <row r="71" spans="4:9">
      <c r="G71" s="547"/>
      <c r="H71" s="1149"/>
    </row>
    <row r="72" spans="4:9">
      <c r="G72" s="547"/>
      <c r="H72" s="1149"/>
    </row>
  </sheetData>
  <customSheetViews>
    <customSheetView guid="{A374FC54-96E3-45F0-9C12-8450400C12DF}" scale="130">
      <pane xSplit="1" ySplit="7" topLeftCell="G43" activePane="bottomRight" state="frozen"/>
      <selection pane="bottomRight" activeCell="P53" sqref="P53"/>
      <pageMargins left="0.43307086614173201" right="0.23622047244094499" top="0.511811023622047" bottom="0.511811023622047" header="0" footer="0.183070866"/>
      <pageSetup paperSize="132" firstPageNumber="10" orientation="portrait" useFirstPageNumber="1" r:id="rId1"/>
      <headerFooter alignWithMargins="0">
        <oddFooter>&amp;C&amp;"Times New Roman,Regular"&amp;8&amp;P</oddFooter>
      </headerFooter>
    </customSheetView>
  </customSheetViews>
  <mergeCells count="38">
    <mergeCell ref="F1:I1"/>
    <mergeCell ref="B49:F49"/>
    <mergeCell ref="B50:I50"/>
    <mergeCell ref="B54:C54"/>
    <mergeCell ref="O5:O6"/>
    <mergeCell ref="N5:N6"/>
    <mergeCell ref="K49:P49"/>
    <mergeCell ref="K52:P52"/>
    <mergeCell ref="M5:M6"/>
    <mergeCell ref="E5:E6"/>
    <mergeCell ref="K5:K6"/>
    <mergeCell ref="K50:P50"/>
    <mergeCell ref="K51:P51"/>
    <mergeCell ref="K53:P53"/>
    <mergeCell ref="B53:C53"/>
    <mergeCell ref="B3:E4"/>
    <mergeCell ref="F3:I3"/>
    <mergeCell ref="C5:C6"/>
    <mergeCell ref="B5:B6"/>
    <mergeCell ref="D5:D6"/>
    <mergeCell ref="J5:J6"/>
    <mergeCell ref="G5:G6"/>
    <mergeCell ref="O1:P1"/>
    <mergeCell ref="A3:A7"/>
    <mergeCell ref="F5:F6"/>
    <mergeCell ref="J4:K4"/>
    <mergeCell ref="O2:P2"/>
    <mergeCell ref="J3:K3"/>
    <mergeCell ref="L3:M3"/>
    <mergeCell ref="N3:O3"/>
    <mergeCell ref="P3:P7"/>
    <mergeCell ref="L4:M4"/>
    <mergeCell ref="N4:O4"/>
    <mergeCell ref="L5:L6"/>
    <mergeCell ref="F4:I4"/>
    <mergeCell ref="I5:I6"/>
    <mergeCell ref="H5:H6"/>
    <mergeCell ref="F2:I2"/>
  </mergeCells>
  <phoneticPr fontId="0" type="noConversion"/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6"/>
  <dimension ref="A1:S77"/>
  <sheetViews>
    <sheetView zoomScale="160" zoomScaleNormal="160" workbookViewId="0">
      <pane xSplit="1" ySplit="8" topLeftCell="B30" activePane="bottomRight" state="frozen"/>
      <selection activeCell="Q6" sqref="Q6"/>
      <selection pane="topRight" activeCell="Q6" sqref="Q6"/>
      <selection pane="bottomLeft" activeCell="Q6" sqref="Q6"/>
      <selection pane="bottomRight" activeCell="P36" sqref="P36"/>
    </sheetView>
  </sheetViews>
  <sheetFormatPr defaultColWidth="9.140625" defaultRowHeight="11.25"/>
  <cols>
    <col min="1" max="1" width="8.5703125" style="8" customWidth="1"/>
    <col min="2" max="2" width="9.5703125" style="8" customWidth="1"/>
    <col min="3" max="3" width="10.140625" style="8" customWidth="1"/>
    <col min="4" max="4" width="12" style="8" bestFit="1" customWidth="1"/>
    <col min="5" max="5" width="10.85546875" style="8" customWidth="1"/>
    <col min="6" max="6" width="10.28515625" style="8" customWidth="1"/>
    <col min="7" max="7" width="8" style="8" customWidth="1"/>
    <col min="8" max="8" width="9.140625" style="8"/>
    <col min="9" max="9" width="9.140625" style="8" customWidth="1"/>
    <col min="10" max="10" width="10" style="8" customWidth="1"/>
    <col min="11" max="11" width="10.28515625" style="8" customWidth="1"/>
    <col min="12" max="12" width="10.5703125" style="8" customWidth="1"/>
    <col min="13" max="13" width="9.28515625" style="8" customWidth="1"/>
    <col min="14" max="14" width="9.140625" style="8" customWidth="1"/>
    <col min="15" max="15" width="9.28515625" style="8" customWidth="1"/>
    <col min="16" max="16" width="9" style="8" customWidth="1"/>
    <col min="17" max="16384" width="9.140625" style="8"/>
  </cols>
  <sheetData>
    <row r="1" spans="1:16" s="31" customFormat="1" ht="15" customHeight="1">
      <c r="A1" s="2130"/>
      <c r="B1" s="2130"/>
      <c r="C1" s="2130"/>
      <c r="D1" s="2130"/>
      <c r="E1" s="2130"/>
      <c r="F1" s="2130"/>
      <c r="G1" s="2118" t="s">
        <v>372</v>
      </c>
      <c r="H1" s="2118"/>
      <c r="I1" s="2125" t="s">
        <v>1319</v>
      </c>
      <c r="J1" s="2125"/>
      <c r="K1" s="32"/>
      <c r="L1" s="32"/>
      <c r="M1" s="32"/>
      <c r="N1" s="32"/>
      <c r="O1" s="2118" t="s">
        <v>193</v>
      </c>
      <c r="P1" s="2118"/>
    </row>
    <row r="2" spans="1:16" ht="12" customHeight="1">
      <c r="A2" s="41"/>
      <c r="O2" s="2119" t="s">
        <v>24</v>
      </c>
      <c r="P2" s="2120"/>
    </row>
    <row r="3" spans="1:16" s="158" customFormat="1" ht="15" customHeight="1">
      <c r="A3" s="2047" t="s">
        <v>886</v>
      </c>
      <c r="B3" s="2129" t="s">
        <v>482</v>
      </c>
      <c r="C3" s="2129"/>
      <c r="D3" s="2138"/>
      <c r="E3" s="2128" t="s">
        <v>311</v>
      </c>
      <c r="F3" s="2129"/>
      <c r="G3" s="2129"/>
      <c r="H3" s="2129"/>
      <c r="I3" s="2129" t="s">
        <v>569</v>
      </c>
      <c r="J3" s="2129"/>
      <c r="K3" s="2129"/>
      <c r="L3" s="1321"/>
      <c r="M3" s="2123" t="s">
        <v>889</v>
      </c>
      <c r="N3" s="2123" t="s">
        <v>890</v>
      </c>
      <c r="O3" s="2121" t="s">
        <v>1320</v>
      </c>
      <c r="P3" s="2047" t="s">
        <v>886</v>
      </c>
    </row>
    <row r="4" spans="1:16" s="158" customFormat="1" ht="15" customHeight="1">
      <c r="A4" s="2048"/>
      <c r="B4" s="2139" t="s">
        <v>127</v>
      </c>
      <c r="C4" s="2123" t="s">
        <v>128</v>
      </c>
      <c r="D4" s="2123" t="s">
        <v>988</v>
      </c>
      <c r="E4" s="2131" t="s">
        <v>180</v>
      </c>
      <c r="F4" s="2132"/>
      <c r="G4" s="2132"/>
      <c r="H4" s="2132"/>
      <c r="I4" s="2132"/>
      <c r="J4" s="2133"/>
      <c r="K4" s="2126" t="s">
        <v>888</v>
      </c>
      <c r="L4" s="2123" t="s">
        <v>577</v>
      </c>
      <c r="M4" s="2124"/>
      <c r="N4" s="2124"/>
      <c r="O4" s="2122"/>
      <c r="P4" s="2048"/>
    </row>
    <row r="5" spans="1:16" s="158" customFormat="1" ht="15" customHeight="1">
      <c r="A5" s="2048"/>
      <c r="B5" s="2140"/>
      <c r="C5" s="2124"/>
      <c r="D5" s="2124"/>
      <c r="E5" s="2135" t="s">
        <v>484</v>
      </c>
      <c r="F5" s="2136"/>
      <c r="G5" s="2137"/>
      <c r="H5" s="2141" t="s">
        <v>183</v>
      </c>
      <c r="I5" s="2142"/>
      <c r="J5" s="2143"/>
      <c r="K5" s="2127"/>
      <c r="L5" s="2124"/>
      <c r="M5" s="2124"/>
      <c r="N5" s="2124"/>
      <c r="O5" s="2122"/>
      <c r="P5" s="2048"/>
    </row>
    <row r="6" spans="1:16" s="158" customFormat="1" ht="15" customHeight="1">
      <c r="A6" s="2048"/>
      <c r="B6" s="2140"/>
      <c r="C6" s="2124"/>
      <c r="D6" s="2124"/>
      <c r="E6" s="2123" t="s">
        <v>127</v>
      </c>
      <c r="F6" s="2123" t="s">
        <v>128</v>
      </c>
      <c r="G6" s="2121" t="s">
        <v>1307</v>
      </c>
      <c r="H6" s="2017" t="s">
        <v>127</v>
      </c>
      <c r="I6" s="2017" t="s">
        <v>128</v>
      </c>
      <c r="J6" s="2144" t="s">
        <v>887</v>
      </c>
      <c r="K6" s="2127"/>
      <c r="L6" s="2124"/>
      <c r="M6" s="2124"/>
      <c r="N6" s="2124"/>
      <c r="O6" s="2122"/>
      <c r="P6" s="2048"/>
    </row>
    <row r="7" spans="1:16" s="158" customFormat="1" ht="15" customHeight="1">
      <c r="A7" s="2048"/>
      <c r="B7" s="2140"/>
      <c r="C7" s="2124"/>
      <c r="D7" s="2124"/>
      <c r="E7" s="2124"/>
      <c r="F7" s="2124"/>
      <c r="G7" s="2122"/>
      <c r="H7" s="2026"/>
      <c r="I7" s="2026"/>
      <c r="J7" s="2145"/>
      <c r="K7" s="2127"/>
      <c r="L7" s="2134"/>
      <c r="M7" s="2124"/>
      <c r="N7" s="2124"/>
      <c r="O7" s="2122"/>
      <c r="P7" s="2048"/>
    </row>
    <row r="8" spans="1:16" s="11" customFormat="1" ht="15" customHeight="1">
      <c r="A8" s="2049"/>
      <c r="B8" s="42">
        <v>1</v>
      </c>
      <c r="C8" s="42">
        <v>2</v>
      </c>
      <c r="D8" s="42">
        <v>3</v>
      </c>
      <c r="E8" s="42">
        <v>4</v>
      </c>
      <c r="F8" s="42">
        <v>5</v>
      </c>
      <c r="G8" s="42">
        <v>6</v>
      </c>
      <c r="H8" s="42">
        <v>7</v>
      </c>
      <c r="I8" s="42">
        <v>8</v>
      </c>
      <c r="J8" s="42">
        <v>9</v>
      </c>
      <c r="K8" s="42">
        <v>10</v>
      </c>
      <c r="L8" s="42">
        <v>11</v>
      </c>
      <c r="M8" s="42">
        <v>12</v>
      </c>
      <c r="N8" s="42">
        <v>13</v>
      </c>
      <c r="O8" s="42">
        <v>14</v>
      </c>
      <c r="P8" s="2049"/>
    </row>
    <row r="9" spans="1:16" s="153" customFormat="1" ht="9.9499999999999993" customHeight="1">
      <c r="A9" s="452" t="s">
        <v>189</v>
      </c>
      <c r="B9" s="412">
        <v>61342.1</v>
      </c>
      <c r="C9" s="25">
        <v>9231.2999999999993</v>
      </c>
      <c r="D9" s="25">
        <f t="shared" ref="D9:D10" si="0">B9+C9</f>
        <v>70573.399999999994</v>
      </c>
      <c r="E9" s="438">
        <v>31710.5</v>
      </c>
      <c r="F9" s="438">
        <v>41517.4</v>
      </c>
      <c r="G9" s="25">
        <f t="shared" ref="G9" si="1">E9+F9</f>
        <v>73227.899999999994</v>
      </c>
      <c r="H9" s="25">
        <v>776.7</v>
      </c>
      <c r="I9" s="438">
        <v>16175.7</v>
      </c>
      <c r="J9" s="25">
        <f t="shared" ref="J9" si="2">H9+I9</f>
        <v>16952.400000000001</v>
      </c>
      <c r="K9" s="230">
        <v>340712.7</v>
      </c>
      <c r="L9" s="211">
        <f t="shared" ref="L9" si="3">G9+J9+K9</f>
        <v>430893</v>
      </c>
      <c r="M9" s="438">
        <v>-60946.400000000001</v>
      </c>
      <c r="N9" s="211">
        <v>369946.5</v>
      </c>
      <c r="O9" s="230">
        <v>440519.9</v>
      </c>
      <c r="P9" s="447" t="s">
        <v>189</v>
      </c>
    </row>
    <row r="10" spans="1:16" s="153" customFormat="1" ht="9.9499999999999993" customHeight="1">
      <c r="A10" s="269" t="s">
        <v>701</v>
      </c>
      <c r="B10" s="413">
        <v>68930.100000000006</v>
      </c>
      <c r="C10" s="259">
        <v>9888.6</v>
      </c>
      <c r="D10" s="259">
        <f t="shared" si="0"/>
        <v>78818.700000000012</v>
      </c>
      <c r="E10" s="454">
        <v>37854.9</v>
      </c>
      <c r="F10" s="454">
        <v>53873.9</v>
      </c>
      <c r="G10" s="259">
        <v>91728.9</v>
      </c>
      <c r="H10" s="259">
        <v>1181.9000000000001</v>
      </c>
      <c r="I10" s="454">
        <v>14160.2</v>
      </c>
      <c r="J10" s="259">
        <v>15342.1</v>
      </c>
      <c r="K10" s="255">
        <v>407901.60000000003</v>
      </c>
      <c r="L10" s="250">
        <v>514972.60000000003</v>
      </c>
      <c r="M10" s="454">
        <v>-76681.7</v>
      </c>
      <c r="N10" s="250">
        <v>438290.80000000005</v>
      </c>
      <c r="O10" s="255">
        <v>517109.50000000006</v>
      </c>
      <c r="P10" s="270" t="s">
        <v>701</v>
      </c>
    </row>
    <row r="11" spans="1:16" s="153" customFormat="1" ht="9.9499999999999993" customHeight="1">
      <c r="A11" s="452" t="s">
        <v>809</v>
      </c>
      <c r="B11" s="412">
        <v>103246</v>
      </c>
      <c r="C11" s="25">
        <v>10004.200000000001</v>
      </c>
      <c r="D11" s="25">
        <v>113250.2</v>
      </c>
      <c r="E11" s="438">
        <v>27069</v>
      </c>
      <c r="F11" s="438">
        <v>83055.600000000006</v>
      </c>
      <c r="G11" s="25">
        <v>110124.6</v>
      </c>
      <c r="H11" s="25">
        <v>1354.5</v>
      </c>
      <c r="I11" s="438">
        <v>8100.8</v>
      </c>
      <c r="J11" s="25">
        <v>9455.2999999999993</v>
      </c>
      <c r="K11" s="230">
        <v>452157.2</v>
      </c>
      <c r="L11" s="211">
        <v>571737.1</v>
      </c>
      <c r="M11" s="438">
        <v>-81481.7</v>
      </c>
      <c r="N11" s="211">
        <f>L11+M11</f>
        <v>490255.39999999997</v>
      </c>
      <c r="O11" s="211">
        <f>D11+N11</f>
        <v>603505.6</v>
      </c>
      <c r="P11" s="447" t="s">
        <v>809</v>
      </c>
    </row>
    <row r="12" spans="1:16" s="230" customFormat="1" ht="9.9499999999999993" customHeight="1">
      <c r="A12" s="248" t="s">
        <v>982</v>
      </c>
      <c r="B12" s="250">
        <v>147496.6</v>
      </c>
      <c r="C12" s="250">
        <v>12560</v>
      </c>
      <c r="D12" s="250">
        <v>160056.6</v>
      </c>
      <c r="E12" s="250">
        <v>3840.6</v>
      </c>
      <c r="F12" s="250">
        <v>113688.8</v>
      </c>
      <c r="G12" s="250">
        <v>117529.40000000001</v>
      </c>
      <c r="H12" s="250">
        <v>1202.7</v>
      </c>
      <c r="I12" s="250">
        <v>11534.2</v>
      </c>
      <c r="J12" s="250">
        <v>12736.900000000001</v>
      </c>
      <c r="K12" s="250">
        <v>507639.9</v>
      </c>
      <c r="L12" s="250">
        <v>637906.20000000007</v>
      </c>
      <c r="M12" s="250">
        <v>-97339.3</v>
      </c>
      <c r="N12" s="250">
        <v>540566.9</v>
      </c>
      <c r="O12" s="250">
        <v>700623.5</v>
      </c>
      <c r="P12" s="335" t="s">
        <v>982</v>
      </c>
    </row>
    <row r="13" spans="1:16" s="230" customFormat="1" ht="9.9499999999999993" customHeight="1">
      <c r="A13" s="209" t="s">
        <v>1033</v>
      </c>
      <c r="B13" s="417">
        <v>177401.3</v>
      </c>
      <c r="C13" s="417">
        <v>11827.5</v>
      </c>
      <c r="D13" s="416">
        <v>189228.79999999999</v>
      </c>
      <c r="E13" s="416">
        <v>810.5</v>
      </c>
      <c r="F13" s="416">
        <v>109446.8</v>
      </c>
      <c r="G13" s="416">
        <v>110257.3</v>
      </c>
      <c r="H13" s="416">
        <v>2160.8000000000002</v>
      </c>
      <c r="I13" s="416">
        <v>14509</v>
      </c>
      <c r="J13" s="416">
        <v>16669.8</v>
      </c>
      <c r="K13" s="416">
        <v>574599.4</v>
      </c>
      <c r="L13" s="416">
        <v>701526.5</v>
      </c>
      <c r="M13" s="416">
        <v>-103141.2</v>
      </c>
      <c r="N13" s="416">
        <v>598385.30000000005</v>
      </c>
      <c r="O13" s="416">
        <v>787614.10000000009</v>
      </c>
      <c r="P13" s="357" t="s">
        <v>1033</v>
      </c>
    </row>
    <row r="14" spans="1:16" s="93" customFormat="1" ht="9.9499999999999993" customHeight="1">
      <c r="A14" s="283" t="s">
        <v>1154</v>
      </c>
      <c r="B14" s="250">
        <v>218904.1</v>
      </c>
      <c r="C14" s="250">
        <v>14231.5</v>
      </c>
      <c r="D14" s="250">
        <v>233135.6</v>
      </c>
      <c r="E14" s="250">
        <v>13373.7</v>
      </c>
      <c r="F14" s="250">
        <v>100845.9</v>
      </c>
      <c r="G14" s="250">
        <v>114219.59999999999</v>
      </c>
      <c r="H14" s="250">
        <v>2015.5</v>
      </c>
      <c r="I14" s="250">
        <v>14035.6</v>
      </c>
      <c r="J14" s="250">
        <v>16051.1</v>
      </c>
      <c r="K14" s="250">
        <v>671009.30000000005</v>
      </c>
      <c r="L14" s="250">
        <v>801280</v>
      </c>
      <c r="M14" s="250">
        <v>-118037.8</v>
      </c>
      <c r="N14" s="250">
        <v>683242.2</v>
      </c>
      <c r="O14" s="250">
        <v>916377.79999999993</v>
      </c>
      <c r="P14" s="312" t="s">
        <v>1154</v>
      </c>
    </row>
    <row r="15" spans="1:16" s="227" customFormat="1" ht="9.9499999999999993" customHeight="1">
      <c r="A15" s="229" t="s">
        <v>1178</v>
      </c>
      <c r="B15" s="211">
        <v>252027</v>
      </c>
      <c r="C15" s="211">
        <v>14670</v>
      </c>
      <c r="D15" s="211">
        <v>266697</v>
      </c>
      <c r="E15" s="211">
        <v>12977.7</v>
      </c>
      <c r="F15" s="211">
        <v>84355.8</v>
      </c>
      <c r="G15" s="211">
        <v>97333.5</v>
      </c>
      <c r="H15" s="211">
        <v>2157.8000000000002</v>
      </c>
      <c r="I15" s="211">
        <v>15122.4</v>
      </c>
      <c r="J15" s="211">
        <v>17280.2</v>
      </c>
      <c r="K15" s="211">
        <v>776056.5</v>
      </c>
      <c r="L15" s="211">
        <v>890670.2</v>
      </c>
      <c r="M15" s="211">
        <v>-141291.1</v>
      </c>
      <c r="N15" s="211">
        <v>749379.1</v>
      </c>
      <c r="O15" s="211">
        <v>1016076.1</v>
      </c>
      <c r="P15" s="336" t="s">
        <v>1178</v>
      </c>
    </row>
    <row r="16" spans="1:16" s="227" customFormat="1" ht="9.9499999999999993" customHeight="1">
      <c r="A16" s="283" t="s">
        <v>1298</v>
      </c>
      <c r="B16" s="250">
        <v>253509.8</v>
      </c>
      <c r="C16" s="250">
        <v>11164.6</v>
      </c>
      <c r="D16" s="250">
        <v>264674.39999999997</v>
      </c>
      <c r="E16" s="250">
        <v>22572.2</v>
      </c>
      <c r="F16" s="250">
        <v>72322.7</v>
      </c>
      <c r="G16" s="250">
        <v>94894.9</v>
      </c>
      <c r="H16" s="250">
        <v>2367.8000000000002</v>
      </c>
      <c r="I16" s="250">
        <v>16832.3</v>
      </c>
      <c r="J16" s="250">
        <v>19200.099999999999</v>
      </c>
      <c r="K16" s="250">
        <v>907531.6</v>
      </c>
      <c r="L16" s="250">
        <v>1021626.6</v>
      </c>
      <c r="M16" s="250">
        <v>-176320</v>
      </c>
      <c r="N16" s="250">
        <v>845306.6</v>
      </c>
      <c r="O16" s="250">
        <v>1109981</v>
      </c>
      <c r="P16" s="312" t="s">
        <v>1298</v>
      </c>
    </row>
    <row r="17" spans="1:19" s="238" customFormat="1" ht="9.9499999999999993" customHeight="1">
      <c r="A17" s="152" t="s">
        <v>1407</v>
      </c>
      <c r="B17" s="211">
        <v>257195.4</v>
      </c>
      <c r="C17" s="211">
        <v>15204.1</v>
      </c>
      <c r="D17" s="211">
        <v>272399.5</v>
      </c>
      <c r="E17" s="211">
        <v>31189</v>
      </c>
      <c r="F17" s="211">
        <v>82084.399999999994</v>
      </c>
      <c r="G17" s="211">
        <v>113273.4</v>
      </c>
      <c r="H17" s="211">
        <v>2380.4</v>
      </c>
      <c r="I17" s="211">
        <v>20975.200000000001</v>
      </c>
      <c r="J17" s="211">
        <v>23355.600000000002</v>
      </c>
      <c r="K17" s="211">
        <v>1010255.7</v>
      </c>
      <c r="L17" s="211">
        <v>1146884.7</v>
      </c>
      <c r="M17" s="211">
        <v>-199672.7</v>
      </c>
      <c r="N17" s="211">
        <v>947212</v>
      </c>
      <c r="O17" s="211">
        <v>1219611.5</v>
      </c>
      <c r="P17" s="191" t="s">
        <v>1407</v>
      </c>
    </row>
    <row r="18" spans="1:19" s="153" customFormat="1" ht="9.9499999999999993" customHeight="1">
      <c r="A18" s="265" t="s">
        <v>1487</v>
      </c>
      <c r="B18" s="250">
        <v>290174.90000000002</v>
      </c>
      <c r="C18" s="250">
        <v>11295.3</v>
      </c>
      <c r="D18" s="250">
        <v>301470.2</v>
      </c>
      <c r="E18" s="250">
        <v>37114.9</v>
      </c>
      <c r="F18" s="250">
        <v>139033.60000000001</v>
      </c>
      <c r="G18" s="250">
        <v>176148.5</v>
      </c>
      <c r="H18" s="250">
        <v>2551.9</v>
      </c>
      <c r="I18" s="250">
        <v>26663.200000000001</v>
      </c>
      <c r="J18" s="250">
        <v>29215.100000000002</v>
      </c>
      <c r="K18" s="250">
        <v>1097271</v>
      </c>
      <c r="L18" s="250">
        <v>1302634.6000000001</v>
      </c>
      <c r="M18" s="250">
        <v>-230369.8</v>
      </c>
      <c r="N18" s="250">
        <v>1072264.8</v>
      </c>
      <c r="O18" s="250">
        <v>1373735</v>
      </c>
      <c r="P18" s="266" t="s">
        <v>1487</v>
      </c>
    </row>
    <row r="19" spans="1:19" s="152" customFormat="1" ht="9.9499999999999993" customHeight="1">
      <c r="A19" s="152" t="s">
        <v>1539</v>
      </c>
      <c r="B19" s="211">
        <v>366917.3</v>
      </c>
      <c r="C19" s="211">
        <v>15420.2</v>
      </c>
      <c r="D19" s="211">
        <v>382337.5</v>
      </c>
      <c r="E19" s="211">
        <v>17285.5</v>
      </c>
      <c r="F19" s="211">
        <v>203740.4</v>
      </c>
      <c r="G19" s="211">
        <v>221025.9</v>
      </c>
      <c r="H19" s="211">
        <v>3218.1</v>
      </c>
      <c r="I19" s="211">
        <v>26799.7</v>
      </c>
      <c r="J19" s="211">
        <v>30017.8</v>
      </c>
      <c r="K19" s="211">
        <v>1188855.3999999999</v>
      </c>
      <c r="L19" s="211">
        <v>1439899.0999999999</v>
      </c>
      <c r="M19" s="211">
        <v>-261341.3</v>
      </c>
      <c r="N19" s="211">
        <v>1178557.7999999998</v>
      </c>
      <c r="O19" s="211">
        <v>1560895.2999999998</v>
      </c>
      <c r="P19" s="191" t="s">
        <v>1539</v>
      </c>
    </row>
    <row r="20" spans="1:19" s="152" customFormat="1" ht="9.9499999999999993" customHeight="1">
      <c r="A20" s="273" t="s">
        <v>1810</v>
      </c>
      <c r="B20" s="250">
        <v>347757.7</v>
      </c>
      <c r="C20" s="250">
        <v>16541.099999999999</v>
      </c>
      <c r="D20" s="250">
        <v>364298.8</v>
      </c>
      <c r="E20" s="250">
        <v>54930</v>
      </c>
      <c r="F20" s="250">
        <v>228384.5</v>
      </c>
      <c r="G20" s="250">
        <v>283314.5</v>
      </c>
      <c r="H20" s="250">
        <v>3435.6</v>
      </c>
      <c r="I20" s="250">
        <v>33763.300000000003</v>
      </c>
      <c r="J20" s="250">
        <v>37198.9</v>
      </c>
      <c r="K20" s="250">
        <v>1351235.5</v>
      </c>
      <c r="L20" s="250">
        <v>1671748.9</v>
      </c>
      <c r="M20" s="250">
        <v>-327925.40000000002</v>
      </c>
      <c r="N20" s="250">
        <v>1343823.5</v>
      </c>
      <c r="O20" s="250">
        <v>1708122.3</v>
      </c>
      <c r="P20" s="266" t="s">
        <v>1810</v>
      </c>
      <c r="Q20" s="660"/>
      <c r="S20" s="660"/>
    </row>
    <row r="21" spans="1:19" s="229" customFormat="1" ht="9.9499999999999993" customHeight="1">
      <c r="A21" s="763" t="s">
        <v>2056</v>
      </c>
      <c r="B21" s="301">
        <v>287497.5</v>
      </c>
      <c r="C21" s="301">
        <v>29230.799999999999</v>
      </c>
      <c r="D21" s="301">
        <v>316728.3</v>
      </c>
      <c r="E21" s="301">
        <v>157411.9</v>
      </c>
      <c r="F21" s="301">
        <v>229938</v>
      </c>
      <c r="G21" s="301">
        <v>387349.9</v>
      </c>
      <c r="H21" s="301">
        <v>3893.4</v>
      </c>
      <c r="I21" s="301">
        <v>41271.300000000003</v>
      </c>
      <c r="J21" s="301">
        <v>45164.700000000004</v>
      </c>
      <c r="K21" s="301">
        <v>1494254.6</v>
      </c>
      <c r="L21" s="301">
        <v>1926769.2000000002</v>
      </c>
      <c r="M21" s="301">
        <v>-356329.4</v>
      </c>
      <c r="N21" s="301">
        <v>1570439.8000000003</v>
      </c>
      <c r="O21" s="301">
        <v>1887168.1000000003</v>
      </c>
      <c r="P21" s="319" t="s">
        <v>2056</v>
      </c>
      <c r="Q21" s="1159"/>
      <c r="R21" s="1159"/>
    </row>
    <row r="22" spans="1:19" s="152" customFormat="1" ht="9.9499999999999993" customHeight="1">
      <c r="A22" s="1441" t="s">
        <v>2188</v>
      </c>
      <c r="B22" s="294">
        <v>245780.7</v>
      </c>
      <c r="C22" s="294">
        <v>45348.3</v>
      </c>
      <c r="D22" s="294">
        <v>291129</v>
      </c>
      <c r="E22" s="294">
        <v>145932.20000000001</v>
      </c>
      <c r="F22" s="294">
        <v>278944.90000000002</v>
      </c>
      <c r="G22" s="294">
        <v>424877.10000000003</v>
      </c>
      <c r="H22" s="294">
        <v>4208.5</v>
      </c>
      <c r="I22" s="294">
        <v>45210.6</v>
      </c>
      <c r="J22" s="294">
        <v>49419.1</v>
      </c>
      <c r="K22" s="294">
        <v>1641228.7</v>
      </c>
      <c r="L22" s="294">
        <v>2115524.9</v>
      </c>
      <c r="M22" s="294">
        <v>-373419.9</v>
      </c>
      <c r="N22" s="294">
        <v>1742105</v>
      </c>
      <c r="O22" s="294">
        <v>2033234</v>
      </c>
      <c r="P22" s="318" t="s">
        <v>2188</v>
      </c>
      <c r="Q22" s="660"/>
      <c r="R22" s="660"/>
    </row>
    <row r="23" spans="1:19" s="152" customFormat="1" ht="9.9499999999999993" customHeight="1">
      <c r="A23" s="763" t="s">
        <v>2439</v>
      </c>
      <c r="B23" s="301">
        <f>B35</f>
        <v>293991.7</v>
      </c>
      <c r="C23" s="301">
        <f t="shared" ref="C23:O23" si="4">C35</f>
        <v>22646.3</v>
      </c>
      <c r="D23" s="301">
        <f t="shared" si="4"/>
        <v>316638</v>
      </c>
      <c r="E23" s="301">
        <f t="shared" si="4"/>
        <v>85426.8</v>
      </c>
      <c r="F23" s="301">
        <f t="shared" si="4"/>
        <v>402751</v>
      </c>
      <c r="G23" s="301">
        <f t="shared" si="4"/>
        <v>488177.8</v>
      </c>
      <c r="H23" s="301">
        <f t="shared" si="4"/>
        <v>7157.5</v>
      </c>
      <c r="I23" s="301">
        <f t="shared" si="4"/>
        <v>41330.800000000003</v>
      </c>
      <c r="J23" s="301">
        <f t="shared" si="4"/>
        <v>48488.3</v>
      </c>
      <c r="K23" s="301">
        <f t="shared" si="4"/>
        <v>1747686.9</v>
      </c>
      <c r="L23" s="301">
        <f t="shared" si="4"/>
        <v>2284353</v>
      </c>
      <c r="M23" s="301">
        <f t="shared" si="4"/>
        <v>-426369.3</v>
      </c>
      <c r="N23" s="301">
        <f t="shared" si="4"/>
        <v>1857983.7</v>
      </c>
      <c r="O23" s="301">
        <f t="shared" si="4"/>
        <v>2174621.7000000002</v>
      </c>
      <c r="P23" s="421" t="s">
        <v>2439</v>
      </c>
      <c r="Q23" s="660"/>
      <c r="R23" s="660"/>
    </row>
    <row r="24" spans="1:19" s="152" customFormat="1" ht="9.9499999999999993" customHeight="1">
      <c r="A24" s="273" t="s">
        <v>559</v>
      </c>
      <c r="B24" s="250">
        <v>238927.1</v>
      </c>
      <c r="C24" s="250">
        <v>44133.4</v>
      </c>
      <c r="D24" s="250">
        <f t="shared" ref="D24:D50" si="5">B24+C24</f>
        <v>283060.5</v>
      </c>
      <c r="E24" s="250">
        <v>146699.6</v>
      </c>
      <c r="F24" s="250">
        <v>290888.8</v>
      </c>
      <c r="G24" s="250">
        <f t="shared" ref="G24:G50" si="6">E24+F24</f>
        <v>437588.4</v>
      </c>
      <c r="H24" s="250">
        <v>4206.3</v>
      </c>
      <c r="I24" s="250">
        <v>45730.3</v>
      </c>
      <c r="J24" s="250">
        <f t="shared" ref="J24:J50" si="7">H24+I24</f>
        <v>49936.600000000006</v>
      </c>
      <c r="K24" s="250">
        <f>8804.3+1627111.4</f>
        <v>1635915.7</v>
      </c>
      <c r="L24" s="250">
        <f t="shared" ref="L24:L50" si="8">G24+J24+K24</f>
        <v>2123440.7000000002</v>
      </c>
      <c r="M24" s="250">
        <v>-380276.7</v>
      </c>
      <c r="N24" s="250">
        <f t="shared" ref="N24:N31" si="9">L24+M24</f>
        <v>1743164.0000000002</v>
      </c>
      <c r="O24" s="250">
        <f t="shared" ref="O24:O31" si="10">D24+N24</f>
        <v>2026224.5000000002</v>
      </c>
      <c r="P24" s="266" t="s">
        <v>559</v>
      </c>
      <c r="Q24" s="660"/>
      <c r="R24" s="660"/>
    </row>
    <row r="25" spans="1:19" s="152" customFormat="1" ht="9.9499999999999993" customHeight="1">
      <c r="A25" s="139" t="s">
        <v>560</v>
      </c>
      <c r="B25" s="211">
        <v>231618.7</v>
      </c>
      <c r="C25" s="211">
        <v>40573.1</v>
      </c>
      <c r="D25" s="211">
        <f t="shared" si="5"/>
        <v>272191.8</v>
      </c>
      <c r="E25" s="211">
        <v>127517.6</v>
      </c>
      <c r="F25" s="211">
        <v>298715.7</v>
      </c>
      <c r="G25" s="211">
        <f t="shared" si="6"/>
        <v>426233.30000000005</v>
      </c>
      <c r="H25" s="211">
        <v>3799.5</v>
      </c>
      <c r="I25" s="211">
        <v>45074.8</v>
      </c>
      <c r="J25" s="211">
        <f t="shared" si="7"/>
        <v>48874.3</v>
      </c>
      <c r="K25" s="211">
        <f>8681.3+1634021.3</f>
        <v>1642702.6</v>
      </c>
      <c r="L25" s="211">
        <f t="shared" si="8"/>
        <v>2117810.2000000002</v>
      </c>
      <c r="M25" s="211">
        <v>-365677.2</v>
      </c>
      <c r="N25" s="211">
        <f t="shared" si="9"/>
        <v>1752133.0000000002</v>
      </c>
      <c r="O25" s="211">
        <f t="shared" si="10"/>
        <v>2024324.8000000003</v>
      </c>
      <c r="P25" s="191" t="s">
        <v>560</v>
      </c>
      <c r="Q25" s="660"/>
      <c r="R25" s="660"/>
    </row>
    <row r="26" spans="1:19" s="152" customFormat="1" ht="9.9499999999999993" customHeight="1">
      <c r="A26" s="273" t="s">
        <v>554</v>
      </c>
      <c r="B26" s="250">
        <v>231666.3</v>
      </c>
      <c r="C26" s="250">
        <v>33430.400000000001</v>
      </c>
      <c r="D26" s="250">
        <f t="shared" si="5"/>
        <v>265096.7</v>
      </c>
      <c r="E26" s="250">
        <v>103832.7</v>
      </c>
      <c r="F26" s="250">
        <v>302981.09999999998</v>
      </c>
      <c r="G26" s="250">
        <f t="shared" si="6"/>
        <v>406813.8</v>
      </c>
      <c r="H26" s="250">
        <v>3786.1</v>
      </c>
      <c r="I26" s="250">
        <v>43455.9</v>
      </c>
      <c r="J26" s="250">
        <f t="shared" si="7"/>
        <v>47242</v>
      </c>
      <c r="K26" s="250">
        <f>9289.2+1642954.9</f>
        <v>1652244.0999999999</v>
      </c>
      <c r="L26" s="250">
        <f t="shared" si="8"/>
        <v>2106299.9</v>
      </c>
      <c r="M26" s="250">
        <v>-346247.9</v>
      </c>
      <c r="N26" s="250">
        <f t="shared" si="9"/>
        <v>1760052</v>
      </c>
      <c r="O26" s="250">
        <f t="shared" si="10"/>
        <v>2025148.7</v>
      </c>
      <c r="P26" s="266" t="s">
        <v>554</v>
      </c>
      <c r="Q26" s="660"/>
      <c r="R26" s="660"/>
    </row>
    <row r="27" spans="1:19" s="152" customFormat="1" ht="9.9499999999999993" customHeight="1">
      <c r="A27" s="139" t="s">
        <v>561</v>
      </c>
      <c r="B27" s="211">
        <v>228522.6</v>
      </c>
      <c r="C27" s="211">
        <v>21744.6</v>
      </c>
      <c r="D27" s="211">
        <f t="shared" si="5"/>
        <v>250267.2</v>
      </c>
      <c r="E27" s="211">
        <v>106212.1</v>
      </c>
      <c r="F27" s="211">
        <v>321060.2</v>
      </c>
      <c r="G27" s="211">
        <f t="shared" si="6"/>
        <v>427272.30000000005</v>
      </c>
      <c r="H27" s="211">
        <v>3789.7</v>
      </c>
      <c r="I27" s="211">
        <v>43684.5</v>
      </c>
      <c r="J27" s="211">
        <f t="shared" si="7"/>
        <v>47474.2</v>
      </c>
      <c r="K27" s="211">
        <f>8910.5+1647321.9</f>
        <v>1656232.4</v>
      </c>
      <c r="L27" s="211">
        <f t="shared" si="8"/>
        <v>2130978.9</v>
      </c>
      <c r="M27" s="211">
        <v>-347735.1</v>
      </c>
      <c r="N27" s="211">
        <f t="shared" si="9"/>
        <v>1783243.7999999998</v>
      </c>
      <c r="O27" s="211">
        <f t="shared" si="10"/>
        <v>2033510.9999999998</v>
      </c>
      <c r="P27" s="191" t="s">
        <v>561</v>
      </c>
      <c r="Q27" s="660"/>
      <c r="R27" s="660"/>
    </row>
    <row r="28" spans="1:19" s="152" customFormat="1" ht="9.9499999999999993" customHeight="1">
      <c r="A28" s="273" t="s">
        <v>562</v>
      </c>
      <c r="B28" s="250">
        <v>223881.5</v>
      </c>
      <c r="C28" s="250">
        <v>22581.200000000001</v>
      </c>
      <c r="D28" s="250">
        <f t="shared" si="5"/>
        <v>246462.7</v>
      </c>
      <c r="E28" s="250">
        <v>107981.5</v>
      </c>
      <c r="F28" s="250">
        <v>330666</v>
      </c>
      <c r="G28" s="250">
        <f t="shared" si="6"/>
        <v>438647.5</v>
      </c>
      <c r="H28" s="250">
        <v>3796.2</v>
      </c>
      <c r="I28" s="250">
        <v>44065</v>
      </c>
      <c r="J28" s="250">
        <f t="shared" si="7"/>
        <v>47861.2</v>
      </c>
      <c r="K28" s="250">
        <f>9505.7+1654818.5</f>
        <v>1664324.2</v>
      </c>
      <c r="L28" s="250">
        <f t="shared" si="8"/>
        <v>2150832.9</v>
      </c>
      <c r="M28" s="250">
        <v>-356510.6</v>
      </c>
      <c r="N28" s="250">
        <f t="shared" si="9"/>
        <v>1794322.2999999998</v>
      </c>
      <c r="O28" s="250">
        <f t="shared" si="10"/>
        <v>2040784.9999999998</v>
      </c>
      <c r="P28" s="266" t="s">
        <v>562</v>
      </c>
      <c r="Q28" s="660"/>
      <c r="R28" s="660"/>
    </row>
    <row r="29" spans="1:19" s="152" customFormat="1" ht="9.9499999999999993" customHeight="1">
      <c r="A29" s="139" t="s">
        <v>555</v>
      </c>
      <c r="B29" s="211">
        <v>235750.8</v>
      </c>
      <c r="C29" s="211">
        <v>19525.599999999999</v>
      </c>
      <c r="D29" s="211">
        <f t="shared" si="5"/>
        <v>255276.4</v>
      </c>
      <c r="E29" s="211">
        <v>89973.6</v>
      </c>
      <c r="F29" s="211">
        <v>325599.5</v>
      </c>
      <c r="G29" s="211">
        <f t="shared" si="6"/>
        <v>415573.1</v>
      </c>
      <c r="H29" s="211">
        <v>6903.5</v>
      </c>
      <c r="I29" s="211">
        <v>43426.2</v>
      </c>
      <c r="J29" s="211">
        <f t="shared" si="7"/>
        <v>50329.7</v>
      </c>
      <c r="K29" s="211">
        <f>9426.5+1675844.7</f>
        <v>1685271.2</v>
      </c>
      <c r="L29" s="211">
        <f t="shared" si="8"/>
        <v>2151174</v>
      </c>
      <c r="M29" s="211">
        <v>-352768.5</v>
      </c>
      <c r="N29" s="211">
        <f t="shared" si="9"/>
        <v>1798405.5</v>
      </c>
      <c r="O29" s="211">
        <f t="shared" si="10"/>
        <v>2053681.9</v>
      </c>
      <c r="P29" s="191" t="s">
        <v>555</v>
      </c>
      <c r="Q29" s="660"/>
      <c r="R29" s="660"/>
    </row>
    <row r="30" spans="1:19" s="152" customFormat="1" ht="9.9499999999999993" customHeight="1">
      <c r="A30" s="273" t="s">
        <v>563</v>
      </c>
      <c r="B30" s="250">
        <v>238082.6</v>
      </c>
      <c r="C30" s="250">
        <v>21792.3</v>
      </c>
      <c r="D30" s="250">
        <f t="shared" si="5"/>
        <v>259874.9</v>
      </c>
      <c r="E30" s="250">
        <v>88103.8</v>
      </c>
      <c r="F30" s="250">
        <v>346257.5</v>
      </c>
      <c r="G30" s="250">
        <f t="shared" si="6"/>
        <v>434361.3</v>
      </c>
      <c r="H30" s="250">
        <v>7121.8</v>
      </c>
      <c r="I30" s="250">
        <v>43054.3</v>
      </c>
      <c r="J30" s="250">
        <f t="shared" si="7"/>
        <v>50176.100000000006</v>
      </c>
      <c r="K30" s="250">
        <f>9606.6+1670503.4</f>
        <v>1680110</v>
      </c>
      <c r="L30" s="250">
        <f t="shared" si="8"/>
        <v>2164647.4</v>
      </c>
      <c r="M30" s="250">
        <v>-368489.5</v>
      </c>
      <c r="N30" s="250">
        <f t="shared" si="9"/>
        <v>1796157.9</v>
      </c>
      <c r="O30" s="250">
        <f t="shared" si="10"/>
        <v>2056032.7999999998</v>
      </c>
      <c r="P30" s="266" t="s">
        <v>563</v>
      </c>
      <c r="Q30" s="660"/>
      <c r="R30" s="660"/>
    </row>
    <row r="31" spans="1:19" s="152" customFormat="1" ht="9.9499999999999993" customHeight="1">
      <c r="A31" s="139" t="s">
        <v>564</v>
      </c>
      <c r="B31" s="211">
        <v>238118.39999999999</v>
      </c>
      <c r="C31" s="211">
        <v>26359.200000000001</v>
      </c>
      <c r="D31" s="211">
        <f t="shared" si="5"/>
        <v>264477.59999999998</v>
      </c>
      <c r="E31" s="211">
        <v>82947.7</v>
      </c>
      <c r="F31" s="211">
        <v>350943.3</v>
      </c>
      <c r="G31" s="211">
        <f t="shared" si="6"/>
        <v>433891</v>
      </c>
      <c r="H31" s="211">
        <v>7130.8</v>
      </c>
      <c r="I31" s="211">
        <v>43355.3</v>
      </c>
      <c r="J31" s="211">
        <f t="shared" si="7"/>
        <v>50486.100000000006</v>
      </c>
      <c r="K31" s="211">
        <f>(96886+16746951)/10</f>
        <v>1684383.7</v>
      </c>
      <c r="L31" s="211">
        <f t="shared" si="8"/>
        <v>2168760.7999999998</v>
      </c>
      <c r="M31" s="211">
        <v>-368578.1</v>
      </c>
      <c r="N31" s="211">
        <f t="shared" si="9"/>
        <v>1800182.6999999997</v>
      </c>
      <c r="O31" s="211">
        <f t="shared" si="10"/>
        <v>2064660.2999999998</v>
      </c>
      <c r="P31" s="191" t="s">
        <v>564</v>
      </c>
      <c r="Q31" s="660"/>
      <c r="R31" s="660"/>
    </row>
    <row r="32" spans="1:19" s="152" customFormat="1" ht="9.9499999999999993" customHeight="1">
      <c r="A32" s="273" t="s">
        <v>556</v>
      </c>
      <c r="B32" s="250">
        <v>240274.2</v>
      </c>
      <c r="C32" s="250">
        <v>27254.6</v>
      </c>
      <c r="D32" s="250">
        <f t="shared" si="5"/>
        <v>267528.8</v>
      </c>
      <c r="E32" s="250">
        <v>100124.7</v>
      </c>
      <c r="F32" s="250">
        <v>354063.3</v>
      </c>
      <c r="G32" s="250">
        <f t="shared" si="6"/>
        <v>454188</v>
      </c>
      <c r="H32" s="250">
        <v>7135.2</v>
      </c>
      <c r="I32" s="250">
        <v>42884</v>
      </c>
      <c r="J32" s="250">
        <f t="shared" si="7"/>
        <v>50019.199999999997</v>
      </c>
      <c r="K32" s="250">
        <v>1719326.9</v>
      </c>
      <c r="L32" s="250">
        <f t="shared" si="8"/>
        <v>2223534.1</v>
      </c>
      <c r="M32" s="250">
        <v>-375970.9</v>
      </c>
      <c r="N32" s="250">
        <f t="shared" ref="N32:N33" si="11">L32+M32</f>
        <v>1847563.2000000002</v>
      </c>
      <c r="O32" s="250">
        <f t="shared" ref="O32:O33" si="12">D32+N32</f>
        <v>2115092</v>
      </c>
      <c r="P32" s="266" t="s">
        <v>556</v>
      </c>
      <c r="Q32" s="660"/>
      <c r="R32" s="660"/>
    </row>
    <row r="33" spans="1:19" s="152" customFormat="1" ht="9.9499999999999993" customHeight="1">
      <c r="A33" s="139" t="s">
        <v>565</v>
      </c>
      <c r="B33" s="211">
        <v>251508.2</v>
      </c>
      <c r="C33" s="211">
        <v>27533.200000000001</v>
      </c>
      <c r="D33" s="211">
        <f t="shared" si="5"/>
        <v>279041.40000000002</v>
      </c>
      <c r="E33" s="211">
        <v>89111.6</v>
      </c>
      <c r="F33" s="211">
        <v>368328</v>
      </c>
      <c r="G33" s="211">
        <f t="shared" si="6"/>
        <v>457439.6</v>
      </c>
      <c r="H33" s="211">
        <v>7142.6</v>
      </c>
      <c r="I33" s="211">
        <v>43933.1</v>
      </c>
      <c r="J33" s="211">
        <f t="shared" si="7"/>
        <v>51075.7</v>
      </c>
      <c r="K33" s="211">
        <v>1721822.3</v>
      </c>
      <c r="L33" s="211">
        <f t="shared" si="8"/>
        <v>2230337.6</v>
      </c>
      <c r="M33" s="211">
        <v>-411395.6</v>
      </c>
      <c r="N33" s="211">
        <f t="shared" si="11"/>
        <v>1818942</v>
      </c>
      <c r="O33" s="211">
        <f t="shared" si="12"/>
        <v>2097983.4</v>
      </c>
      <c r="P33" s="191" t="s">
        <v>565</v>
      </c>
      <c r="Q33" s="660"/>
      <c r="R33" s="660"/>
    </row>
    <row r="34" spans="1:19" s="152" customFormat="1" ht="9.9499999999999993" customHeight="1">
      <c r="A34" s="273" t="s">
        <v>566</v>
      </c>
      <c r="B34" s="250">
        <v>243726.7</v>
      </c>
      <c r="C34" s="250">
        <v>31957.200000000001</v>
      </c>
      <c r="D34" s="250">
        <f t="shared" si="5"/>
        <v>275683.90000000002</v>
      </c>
      <c r="E34" s="250">
        <v>92024.1</v>
      </c>
      <c r="F34" s="250">
        <v>378257.9</v>
      </c>
      <c r="G34" s="250">
        <f t="shared" si="6"/>
        <v>470282</v>
      </c>
      <c r="H34" s="250">
        <v>7150.2</v>
      </c>
      <c r="I34" s="250">
        <v>43813.1</v>
      </c>
      <c r="J34" s="250">
        <f t="shared" si="7"/>
        <v>50963.299999999996</v>
      </c>
      <c r="K34" s="250">
        <v>1738769.8</v>
      </c>
      <c r="L34" s="250">
        <f t="shared" si="8"/>
        <v>2260015.1</v>
      </c>
      <c r="M34" s="250">
        <v>-409348.4</v>
      </c>
      <c r="N34" s="250">
        <f t="shared" ref="N34" si="13">L34+M34</f>
        <v>1850666.7000000002</v>
      </c>
      <c r="O34" s="250">
        <f t="shared" ref="O34" si="14">D34+N34</f>
        <v>2126350.6</v>
      </c>
      <c r="P34" s="266" t="s">
        <v>566</v>
      </c>
      <c r="Q34" s="660"/>
      <c r="R34" s="660"/>
    </row>
    <row r="35" spans="1:19" s="152" customFormat="1" ht="9.9499999999999993" customHeight="1">
      <c r="A35" s="139" t="s">
        <v>557</v>
      </c>
      <c r="B35" s="211">
        <v>293991.7</v>
      </c>
      <c r="C35" s="211">
        <v>22646.3</v>
      </c>
      <c r="D35" s="211">
        <f t="shared" si="5"/>
        <v>316638</v>
      </c>
      <c r="E35" s="211">
        <v>85426.8</v>
      </c>
      <c r="F35" s="211">
        <v>402751</v>
      </c>
      <c r="G35" s="211">
        <f t="shared" si="6"/>
        <v>488177.8</v>
      </c>
      <c r="H35" s="211">
        <v>7157.5</v>
      </c>
      <c r="I35" s="211">
        <v>41330.800000000003</v>
      </c>
      <c r="J35" s="211">
        <f t="shared" si="7"/>
        <v>48488.3</v>
      </c>
      <c r="K35" s="211">
        <f>9287.5+1738399.4</f>
        <v>1747686.9</v>
      </c>
      <c r="L35" s="211">
        <f t="shared" si="8"/>
        <v>2284353</v>
      </c>
      <c r="M35" s="211">
        <v>-426369.3</v>
      </c>
      <c r="N35" s="211">
        <f t="shared" ref="N35" si="15">L35+M35</f>
        <v>1857983.7</v>
      </c>
      <c r="O35" s="211">
        <f t="shared" ref="O35" si="16">D35+N35</f>
        <v>2174621.7000000002</v>
      </c>
      <c r="P35" s="191" t="s">
        <v>557</v>
      </c>
      <c r="Q35" s="660"/>
      <c r="R35" s="660"/>
    </row>
    <row r="36" spans="1:19" s="152" customFormat="1" ht="11.25" customHeight="1">
      <c r="A36" s="832" t="s">
        <v>2664</v>
      </c>
      <c r="B36" s="294">
        <f>B48</f>
        <v>375653.4</v>
      </c>
      <c r="C36" s="294">
        <f t="shared" ref="C36:O36" si="17">C48</f>
        <v>6952.4</v>
      </c>
      <c r="D36" s="294">
        <f t="shared" si="17"/>
        <v>382605.80000000005</v>
      </c>
      <c r="E36" s="294">
        <f t="shared" si="17"/>
        <v>81252.899999999994</v>
      </c>
      <c r="F36" s="294">
        <f t="shared" si="17"/>
        <v>575425</v>
      </c>
      <c r="G36" s="294">
        <f t="shared" si="17"/>
        <v>656677.9</v>
      </c>
      <c r="H36" s="294">
        <f t="shared" si="17"/>
        <v>7664.6</v>
      </c>
      <c r="I36" s="294">
        <f t="shared" si="17"/>
        <v>35625.4</v>
      </c>
      <c r="J36" s="294">
        <f t="shared" si="17"/>
        <v>43290</v>
      </c>
      <c r="K36" s="294">
        <f t="shared" si="17"/>
        <v>1825962.8</v>
      </c>
      <c r="L36" s="294">
        <f t="shared" si="17"/>
        <v>2525930.7000000002</v>
      </c>
      <c r="M36" s="294">
        <f t="shared" si="17"/>
        <v>-492250.3</v>
      </c>
      <c r="N36" s="294">
        <f t="shared" si="17"/>
        <v>2033680.4000000001</v>
      </c>
      <c r="O36" s="294">
        <f t="shared" si="17"/>
        <v>2416286.2000000002</v>
      </c>
      <c r="P36" s="1725" t="s">
        <v>2664</v>
      </c>
      <c r="Q36" s="660"/>
      <c r="R36" s="660"/>
    </row>
    <row r="37" spans="1:19" s="152" customFormat="1" ht="9.9499999999999993" customHeight="1">
      <c r="A37" s="139" t="s">
        <v>559</v>
      </c>
      <c r="B37" s="211">
        <v>284285.5</v>
      </c>
      <c r="C37" s="211">
        <v>25789</v>
      </c>
      <c r="D37" s="211">
        <f t="shared" si="5"/>
        <v>310074.5</v>
      </c>
      <c r="E37" s="211">
        <v>86888.2</v>
      </c>
      <c r="F37" s="211">
        <v>414200.3</v>
      </c>
      <c r="G37" s="211">
        <f t="shared" si="6"/>
        <v>501088.5</v>
      </c>
      <c r="H37" s="211">
        <v>7671</v>
      </c>
      <c r="I37" s="211">
        <v>41072.400000000001</v>
      </c>
      <c r="J37" s="211">
        <f t="shared" si="7"/>
        <v>48743.4</v>
      </c>
      <c r="K37" s="211">
        <f>9258.2+1733376.2</f>
        <v>1742634.4</v>
      </c>
      <c r="L37" s="211">
        <f t="shared" si="8"/>
        <v>2292466.2999999998</v>
      </c>
      <c r="M37" s="211">
        <v>-434644.8</v>
      </c>
      <c r="N37" s="211">
        <f t="shared" ref="N37" si="18">L37+M37</f>
        <v>1857821.4999999998</v>
      </c>
      <c r="O37" s="211">
        <f t="shared" ref="O37" si="19">D37+N37</f>
        <v>2167896</v>
      </c>
      <c r="P37" s="191" t="s">
        <v>559</v>
      </c>
      <c r="Q37" s="660"/>
      <c r="R37" s="660"/>
      <c r="S37" s="660"/>
    </row>
    <row r="38" spans="1:19" s="152" customFormat="1" ht="9.9499999999999993" customHeight="1">
      <c r="A38" s="273" t="s">
        <v>560</v>
      </c>
      <c r="B38" s="250">
        <v>289617.3</v>
      </c>
      <c r="C38" s="250">
        <v>27126</v>
      </c>
      <c r="D38" s="250">
        <f t="shared" si="5"/>
        <v>316743.3</v>
      </c>
      <c r="E38" s="250">
        <v>75256.899999999994</v>
      </c>
      <c r="F38" s="250">
        <v>421677.4</v>
      </c>
      <c r="G38" s="250">
        <f t="shared" si="6"/>
        <v>496934.30000000005</v>
      </c>
      <c r="H38" s="250">
        <v>7378.4</v>
      </c>
      <c r="I38" s="250">
        <v>41146.800000000003</v>
      </c>
      <c r="J38" s="250">
        <f t="shared" si="7"/>
        <v>48525.200000000004</v>
      </c>
      <c r="K38" s="250">
        <f>9046.1+1738048.6</f>
        <v>1747094.7000000002</v>
      </c>
      <c r="L38" s="250">
        <f t="shared" si="8"/>
        <v>2292554.2000000002</v>
      </c>
      <c r="M38" s="250">
        <v>-427532.4</v>
      </c>
      <c r="N38" s="250">
        <f t="shared" ref="N38:N39" si="20">L38+M38</f>
        <v>1865021.8000000003</v>
      </c>
      <c r="O38" s="250">
        <f t="shared" ref="O38:O43" si="21">D38+N38</f>
        <v>2181765.1</v>
      </c>
      <c r="P38" s="266" t="s">
        <v>560</v>
      </c>
      <c r="Q38" s="660"/>
      <c r="R38" s="660"/>
      <c r="S38" s="660"/>
    </row>
    <row r="39" spans="1:19" s="152" customFormat="1" ht="9.9499999999999993" customHeight="1">
      <c r="A39" s="139" t="s">
        <v>554</v>
      </c>
      <c r="B39" s="211">
        <v>302125.59999999998</v>
      </c>
      <c r="C39" s="211">
        <v>14256.6</v>
      </c>
      <c r="D39" s="211">
        <f t="shared" si="5"/>
        <v>316382.19999999995</v>
      </c>
      <c r="E39" s="211">
        <v>80684.3</v>
      </c>
      <c r="F39" s="211">
        <v>436864.9</v>
      </c>
      <c r="G39" s="211">
        <f t="shared" si="6"/>
        <v>517549.2</v>
      </c>
      <c r="H39" s="211">
        <v>7375.7</v>
      </c>
      <c r="I39" s="211">
        <v>40141.599999999999</v>
      </c>
      <c r="J39" s="211">
        <f t="shared" si="7"/>
        <v>47517.299999999996</v>
      </c>
      <c r="K39" s="211">
        <f>8861.6+1747227.6</f>
        <v>1756089.2000000002</v>
      </c>
      <c r="L39" s="211">
        <f t="shared" si="8"/>
        <v>2321155.7000000002</v>
      </c>
      <c r="M39" s="211">
        <v>-447550.8</v>
      </c>
      <c r="N39" s="211">
        <f t="shared" si="20"/>
        <v>1873604.9000000001</v>
      </c>
      <c r="O39" s="211">
        <f t="shared" si="21"/>
        <v>2189987.1</v>
      </c>
      <c r="P39" s="191" t="s">
        <v>554</v>
      </c>
      <c r="Q39" s="660"/>
      <c r="R39" s="660"/>
      <c r="S39" s="660"/>
    </row>
    <row r="40" spans="1:19" s="152" customFormat="1" ht="9.9499999999999993" customHeight="1">
      <c r="A40" s="273" t="s">
        <v>561</v>
      </c>
      <c r="B40" s="250">
        <v>305459.59999999998</v>
      </c>
      <c r="C40" s="250">
        <v>11470.2</v>
      </c>
      <c r="D40" s="250">
        <f t="shared" si="5"/>
        <v>316929.8</v>
      </c>
      <c r="E40" s="250">
        <v>80516.899999999994</v>
      </c>
      <c r="F40" s="250">
        <v>449761.9</v>
      </c>
      <c r="G40" s="250">
        <f t="shared" si="6"/>
        <v>530278.80000000005</v>
      </c>
      <c r="H40" s="250">
        <v>7383.1</v>
      </c>
      <c r="I40" s="250">
        <v>38832.400000000001</v>
      </c>
      <c r="J40" s="250">
        <f t="shared" si="7"/>
        <v>46215.5</v>
      </c>
      <c r="K40" s="250">
        <f>1751061.8+8329.2</f>
        <v>1759391</v>
      </c>
      <c r="L40" s="250">
        <f t="shared" si="8"/>
        <v>2335885.2999999998</v>
      </c>
      <c r="M40" s="250">
        <v>-457729.7</v>
      </c>
      <c r="N40" s="250">
        <f t="shared" ref="N40:N43" si="22">L40+M40</f>
        <v>1878155.5999999999</v>
      </c>
      <c r="O40" s="250">
        <f t="shared" si="21"/>
        <v>2195085.4</v>
      </c>
      <c r="P40" s="266" t="s">
        <v>561</v>
      </c>
      <c r="Q40" s="660"/>
      <c r="R40" s="660"/>
      <c r="S40" s="660"/>
    </row>
    <row r="41" spans="1:19" s="152" customFormat="1" ht="9.9499999999999993" customHeight="1">
      <c r="A41" s="139" t="s">
        <v>562</v>
      </c>
      <c r="B41" s="211">
        <v>301884.2</v>
      </c>
      <c r="C41" s="211">
        <v>19172.8</v>
      </c>
      <c r="D41" s="211">
        <f t="shared" si="5"/>
        <v>321057</v>
      </c>
      <c r="E41" s="211">
        <v>98604.1</v>
      </c>
      <c r="F41" s="211">
        <v>455306.4</v>
      </c>
      <c r="G41" s="211">
        <f t="shared" si="6"/>
        <v>553910.5</v>
      </c>
      <c r="H41" s="211">
        <v>7390.4</v>
      </c>
      <c r="I41" s="211">
        <v>38262.6</v>
      </c>
      <c r="J41" s="211">
        <f t="shared" si="7"/>
        <v>45653</v>
      </c>
      <c r="K41" s="211">
        <f>1766076.2+8200.9</f>
        <v>1774277.0999999999</v>
      </c>
      <c r="L41" s="211">
        <f t="shared" si="8"/>
        <v>2373840.5999999996</v>
      </c>
      <c r="M41" s="211">
        <v>-472084.9</v>
      </c>
      <c r="N41" s="211">
        <f t="shared" si="22"/>
        <v>1901755.6999999997</v>
      </c>
      <c r="O41" s="211">
        <f t="shared" si="21"/>
        <v>2222812.6999999997</v>
      </c>
      <c r="P41" s="191" t="s">
        <v>562</v>
      </c>
      <c r="Q41" s="660"/>
      <c r="R41" s="660"/>
      <c r="S41" s="660"/>
    </row>
    <row r="42" spans="1:19" ht="9.9499999999999993" customHeight="1">
      <c r="A42" s="273" t="s">
        <v>555</v>
      </c>
      <c r="B42" s="250">
        <v>317802.09999999998</v>
      </c>
      <c r="C42" s="250">
        <v>12212</v>
      </c>
      <c r="D42" s="250">
        <f t="shared" si="5"/>
        <v>330014.09999999998</v>
      </c>
      <c r="E42" s="250">
        <v>94976.7</v>
      </c>
      <c r="F42" s="250">
        <v>454349</v>
      </c>
      <c r="G42" s="250">
        <f t="shared" si="6"/>
        <v>549325.69999999995</v>
      </c>
      <c r="H42" s="250">
        <v>7372.8</v>
      </c>
      <c r="I42" s="250">
        <v>40245.1</v>
      </c>
      <c r="J42" s="250">
        <f t="shared" si="7"/>
        <v>47617.9</v>
      </c>
      <c r="K42" s="250">
        <f>1770972.3+17051.8</f>
        <v>1788024.1</v>
      </c>
      <c r="L42" s="250">
        <f t="shared" si="8"/>
        <v>2384967.7000000002</v>
      </c>
      <c r="M42" s="250">
        <v>-465097.2</v>
      </c>
      <c r="N42" s="250">
        <f t="shared" si="22"/>
        <v>1919870.5000000002</v>
      </c>
      <c r="O42" s="250">
        <f t="shared" si="21"/>
        <v>2249884.6</v>
      </c>
      <c r="P42" s="266" t="s">
        <v>555</v>
      </c>
      <c r="Q42" s="660"/>
      <c r="R42" s="660"/>
      <c r="S42" s="660"/>
    </row>
    <row r="43" spans="1:19" ht="9.9499999999999993" customHeight="1">
      <c r="A43" s="139" t="s">
        <v>563</v>
      </c>
      <c r="B43" s="1480">
        <v>327284</v>
      </c>
      <c r="C43" s="1480">
        <v>14968.8</v>
      </c>
      <c r="D43" s="211">
        <f t="shared" si="5"/>
        <v>342252.79999999999</v>
      </c>
      <c r="E43" s="1480">
        <v>86457.9</v>
      </c>
      <c r="F43" s="1480">
        <v>476735.4</v>
      </c>
      <c r="G43" s="211">
        <f t="shared" si="6"/>
        <v>563193.30000000005</v>
      </c>
      <c r="H43" s="1480">
        <v>7621.1</v>
      </c>
      <c r="I43" s="1480">
        <v>40444.199999999997</v>
      </c>
      <c r="J43" s="211">
        <f t="shared" si="7"/>
        <v>48065.299999999996</v>
      </c>
      <c r="K43" s="211">
        <v>1781471</v>
      </c>
      <c r="L43" s="211">
        <f t="shared" si="8"/>
        <v>2392729.6000000001</v>
      </c>
      <c r="M43" s="1480">
        <v>-484449.1</v>
      </c>
      <c r="N43" s="211">
        <f t="shared" si="22"/>
        <v>1908280.5</v>
      </c>
      <c r="O43" s="211">
        <f t="shared" si="21"/>
        <v>2250533.2999999998</v>
      </c>
      <c r="P43" s="1239" t="s">
        <v>563</v>
      </c>
      <c r="R43" s="660"/>
      <c r="S43" s="660"/>
    </row>
    <row r="44" spans="1:19" ht="9.9499999999999993" customHeight="1">
      <c r="A44" s="273" t="s">
        <v>564</v>
      </c>
      <c r="B44" s="250">
        <v>342571.3</v>
      </c>
      <c r="C44" s="250">
        <v>12304.1</v>
      </c>
      <c r="D44" s="250">
        <f t="shared" si="5"/>
        <v>354875.39999999997</v>
      </c>
      <c r="E44" s="250">
        <v>80916.600000000006</v>
      </c>
      <c r="F44" s="250">
        <v>498615.5</v>
      </c>
      <c r="G44" s="250">
        <f t="shared" si="6"/>
        <v>579532.1</v>
      </c>
      <c r="H44" s="250">
        <v>7629.3</v>
      </c>
      <c r="I44" s="250">
        <v>40631.800000000003</v>
      </c>
      <c r="J44" s="250">
        <f t="shared" si="7"/>
        <v>48261.100000000006</v>
      </c>
      <c r="K44" s="250">
        <v>1785976</v>
      </c>
      <c r="L44" s="250">
        <f>G44+J44+K44</f>
        <v>2413769.2000000002</v>
      </c>
      <c r="M44" s="250">
        <v>-486779.1</v>
      </c>
      <c r="N44" s="250">
        <f t="shared" ref="N44:N45" si="23">L44+M44</f>
        <v>1926990.1</v>
      </c>
      <c r="O44" s="250">
        <f t="shared" ref="O44:O45" si="24">D44+N44</f>
        <v>2281865.5</v>
      </c>
      <c r="P44" s="266" t="s">
        <v>564</v>
      </c>
      <c r="Q44" s="153"/>
      <c r="R44" s="660"/>
      <c r="S44" s="660"/>
    </row>
    <row r="45" spans="1:19" ht="9.9499999999999993" customHeight="1">
      <c r="A45" s="139" t="s">
        <v>556</v>
      </c>
      <c r="B45" s="1480">
        <v>341188.7</v>
      </c>
      <c r="C45" s="1480">
        <v>26840</v>
      </c>
      <c r="D45" s="211">
        <f t="shared" si="5"/>
        <v>368028.7</v>
      </c>
      <c r="E45" s="1480">
        <v>109285.9</v>
      </c>
      <c r="F45" s="1480">
        <v>507946.7</v>
      </c>
      <c r="G45" s="211">
        <f t="shared" si="6"/>
        <v>617232.6</v>
      </c>
      <c r="H45" s="1480">
        <v>7637.5</v>
      </c>
      <c r="I45" s="1480">
        <v>38227.300000000003</v>
      </c>
      <c r="J45" s="211">
        <f t="shared" si="7"/>
        <v>45864.800000000003</v>
      </c>
      <c r="K45" s="211">
        <v>1800543.5</v>
      </c>
      <c r="L45" s="211">
        <f t="shared" si="8"/>
        <v>2463640.9</v>
      </c>
      <c r="M45" s="1480">
        <v>-496071.7</v>
      </c>
      <c r="N45" s="211">
        <f t="shared" si="23"/>
        <v>1967569.2</v>
      </c>
      <c r="O45" s="211">
        <f t="shared" si="24"/>
        <v>2335597.9</v>
      </c>
      <c r="P45" s="1239" t="s">
        <v>556</v>
      </c>
      <c r="R45" s="660"/>
      <c r="S45" s="660"/>
    </row>
    <row r="46" spans="1:19">
      <c r="A46" s="273" t="s">
        <v>565</v>
      </c>
      <c r="B46" s="250">
        <v>342995.7</v>
      </c>
      <c r="C46" s="250">
        <v>21815.8</v>
      </c>
      <c r="D46" s="250">
        <f t="shared" si="5"/>
        <v>364811.5</v>
      </c>
      <c r="E46" s="250">
        <v>83221.8</v>
      </c>
      <c r="F46" s="250">
        <v>513138.3</v>
      </c>
      <c r="G46" s="250">
        <f t="shared" si="6"/>
        <v>596360.1</v>
      </c>
      <c r="H46" s="250">
        <v>7645.8</v>
      </c>
      <c r="I46" s="250">
        <v>37960.800000000003</v>
      </c>
      <c r="J46" s="250">
        <f t="shared" si="7"/>
        <v>45606.600000000006</v>
      </c>
      <c r="K46" s="250">
        <v>1803525.8</v>
      </c>
      <c r="L46" s="250">
        <f t="shared" si="8"/>
        <v>2445492.5</v>
      </c>
      <c r="M46" s="250">
        <v>-472103.7</v>
      </c>
      <c r="N46" s="250">
        <f t="shared" ref="N46" si="25">L46+M46</f>
        <v>1973388.8</v>
      </c>
      <c r="O46" s="250">
        <f t="shared" ref="O46" si="26">D46+N46</f>
        <v>2338200.2999999998</v>
      </c>
      <c r="P46" s="266" t="s">
        <v>565</v>
      </c>
      <c r="Q46" s="153"/>
      <c r="R46" s="660"/>
    </row>
    <row r="47" spans="1:19">
      <c r="A47" s="139" t="s">
        <v>566</v>
      </c>
      <c r="B47" s="211">
        <v>346581.5</v>
      </c>
      <c r="C47" s="211">
        <v>17236.3</v>
      </c>
      <c r="D47" s="211">
        <f t="shared" si="5"/>
        <v>363817.8</v>
      </c>
      <c r="E47" s="211">
        <v>87817.3</v>
      </c>
      <c r="F47" s="211">
        <v>498194.7</v>
      </c>
      <c r="G47" s="211">
        <f t="shared" si="6"/>
        <v>586012</v>
      </c>
      <c r="H47" s="211">
        <v>7654.2</v>
      </c>
      <c r="I47" s="211">
        <v>35880</v>
      </c>
      <c r="J47" s="211">
        <f t="shared" si="7"/>
        <v>43534.2</v>
      </c>
      <c r="K47" s="211">
        <v>1825419.7</v>
      </c>
      <c r="L47" s="211">
        <f t="shared" si="8"/>
        <v>2454965.9</v>
      </c>
      <c r="M47" s="211">
        <v>-427717</v>
      </c>
      <c r="N47" s="211">
        <f t="shared" ref="N47" si="27">L47+M47</f>
        <v>2027248.9</v>
      </c>
      <c r="O47" s="211">
        <f t="shared" ref="O47" si="28">D47+N47</f>
        <v>2391066.6999999997</v>
      </c>
      <c r="P47" s="191" t="s">
        <v>566</v>
      </c>
      <c r="Q47" s="153"/>
      <c r="R47" s="660"/>
    </row>
    <row r="48" spans="1:19" ht="11.25" customHeight="1">
      <c r="A48" s="273" t="s">
        <v>557</v>
      </c>
      <c r="B48" s="250">
        <v>375653.4</v>
      </c>
      <c r="C48" s="250">
        <v>6952.4</v>
      </c>
      <c r="D48" s="250">
        <f t="shared" si="5"/>
        <v>382605.80000000005</v>
      </c>
      <c r="E48" s="250">
        <v>81252.899999999994</v>
      </c>
      <c r="F48" s="250">
        <v>575425</v>
      </c>
      <c r="G48" s="250">
        <f t="shared" si="6"/>
        <v>656677.9</v>
      </c>
      <c r="H48" s="250">
        <v>7664.6</v>
      </c>
      <c r="I48" s="250">
        <v>35625.4</v>
      </c>
      <c r="J48" s="250">
        <f t="shared" si="7"/>
        <v>43290</v>
      </c>
      <c r="K48" s="250">
        <v>1825962.8</v>
      </c>
      <c r="L48" s="250">
        <f t="shared" si="8"/>
        <v>2525930.7000000002</v>
      </c>
      <c r="M48" s="250">
        <v>-492250.3</v>
      </c>
      <c r="N48" s="250">
        <f t="shared" ref="N48:N50" si="29">L48+M48</f>
        <v>2033680.4000000001</v>
      </c>
      <c r="O48" s="250">
        <f t="shared" ref="O48:O50" si="30">D48+N48</f>
        <v>2416286.2000000002</v>
      </c>
      <c r="P48" s="266" t="s">
        <v>557</v>
      </c>
      <c r="Q48" s="660"/>
      <c r="R48" s="660"/>
    </row>
    <row r="49" spans="1:18">
      <c r="A49" s="763" t="s">
        <v>2929</v>
      </c>
      <c r="B49" s="211"/>
      <c r="C49" s="211"/>
      <c r="D49" s="211"/>
      <c r="E49" s="211"/>
      <c r="F49" s="211"/>
      <c r="G49" s="211"/>
      <c r="H49" s="211"/>
      <c r="I49" s="211"/>
      <c r="J49" s="211"/>
      <c r="K49" s="211"/>
      <c r="L49" s="211"/>
      <c r="M49" s="211"/>
      <c r="N49" s="211"/>
      <c r="O49" s="211"/>
      <c r="P49" s="1801" t="s">
        <v>2929</v>
      </c>
      <c r="R49" s="660"/>
    </row>
    <row r="50" spans="1:18" ht="12" thickBot="1">
      <c r="A50" s="1087" t="s">
        <v>559</v>
      </c>
      <c r="B50" s="1628">
        <v>365244.8</v>
      </c>
      <c r="C50" s="1628">
        <v>13406.4</v>
      </c>
      <c r="D50" s="1628">
        <f t="shared" si="5"/>
        <v>378651.2</v>
      </c>
      <c r="E50" s="1628">
        <v>80627.399999999994</v>
      </c>
      <c r="F50" s="1628">
        <v>591365.69999999995</v>
      </c>
      <c r="G50" s="1628">
        <f t="shared" si="6"/>
        <v>671993.1</v>
      </c>
      <c r="H50" s="1628">
        <v>7619.7</v>
      </c>
      <c r="I50" s="1628">
        <v>35964.199999999997</v>
      </c>
      <c r="J50" s="1628">
        <f t="shared" si="7"/>
        <v>43583.899999999994</v>
      </c>
      <c r="K50" s="1628">
        <v>1823101.5999999999</v>
      </c>
      <c r="L50" s="1628">
        <f t="shared" si="8"/>
        <v>2538678.5999999996</v>
      </c>
      <c r="M50" s="1628">
        <v>-494384.3</v>
      </c>
      <c r="N50" s="1628">
        <f t="shared" si="29"/>
        <v>2044294.2999999996</v>
      </c>
      <c r="O50" s="1628">
        <f t="shared" si="30"/>
        <v>2422945.4999999995</v>
      </c>
      <c r="P50" s="1634" t="s">
        <v>559</v>
      </c>
      <c r="R50" s="660"/>
    </row>
    <row r="51" spans="1:18">
      <c r="A51" s="510" t="s">
        <v>194</v>
      </c>
      <c r="B51" s="2149" t="s">
        <v>2142</v>
      </c>
      <c r="C51" s="2149"/>
      <c r="D51" s="2149"/>
      <c r="E51" s="2149"/>
      <c r="F51" s="2149"/>
      <c r="G51" s="2149"/>
      <c r="H51" s="2149"/>
      <c r="I51" s="510" t="s">
        <v>196</v>
      </c>
      <c r="J51" s="2149" t="s">
        <v>1001</v>
      </c>
      <c r="K51" s="2149"/>
      <c r="L51" s="2149"/>
      <c r="M51" s="2149"/>
      <c r="N51" s="2149"/>
      <c r="O51" s="2149"/>
      <c r="P51" s="2149"/>
    </row>
    <row r="52" spans="1:18">
      <c r="A52" s="35"/>
      <c r="B52" s="2146" t="s">
        <v>1280</v>
      </c>
      <c r="C52" s="2146"/>
      <c r="D52" s="2146"/>
      <c r="E52" s="614"/>
      <c r="F52" s="994"/>
      <c r="G52" s="994" t="s">
        <v>1296</v>
      </c>
      <c r="H52" s="614"/>
      <c r="J52" s="2147" t="s">
        <v>1204</v>
      </c>
      <c r="K52" s="2147"/>
      <c r="L52" s="2147"/>
      <c r="M52" s="2147"/>
      <c r="N52" s="2147"/>
      <c r="O52" s="2147"/>
      <c r="P52" s="2147"/>
    </row>
    <row r="53" spans="1:18">
      <c r="B53" s="1320"/>
      <c r="C53" s="1320"/>
      <c r="D53" s="1320"/>
      <c r="E53" s="1009"/>
      <c r="F53" s="1009"/>
      <c r="G53" s="1009"/>
      <c r="H53" s="1316"/>
      <c r="I53" s="43" t="s">
        <v>195</v>
      </c>
      <c r="J53" s="2148" t="s">
        <v>1205</v>
      </c>
      <c r="K53" s="2148"/>
      <c r="L53" s="2148"/>
      <c r="M53" s="2148"/>
      <c r="N53" s="2148"/>
    </row>
    <row r="54" spans="1:18">
      <c r="F54" s="1009"/>
      <c r="G54" s="1009"/>
      <c r="J54" s="36"/>
      <c r="L54" s="36"/>
      <c r="M54" s="36"/>
      <c r="N54" s="36"/>
      <c r="O54" s="36"/>
      <c r="P54" s="36"/>
    </row>
    <row r="55" spans="1:18">
      <c r="B55" s="1610"/>
      <c r="C55" s="1008"/>
      <c r="D55" s="211"/>
      <c r="E55" s="1008"/>
      <c r="F55" s="1611"/>
      <c r="G55" s="1611"/>
      <c r="H55" s="1612"/>
      <c r="I55" s="1612"/>
      <c r="J55" s="1612"/>
      <c r="K55" s="1612"/>
      <c r="L55" s="1612"/>
      <c r="M55" s="1612"/>
      <c r="N55" s="1612"/>
      <c r="O55" s="1612"/>
    </row>
    <row r="56" spans="1:18">
      <c r="B56" s="1610"/>
      <c r="C56" s="1008"/>
      <c r="D56" s="1008"/>
      <c r="E56" s="1008"/>
      <c r="F56" s="1008"/>
      <c r="G56" s="1008"/>
      <c r="H56" s="1612"/>
      <c r="I56" s="1612"/>
      <c r="J56" s="1612"/>
      <c r="K56" s="1610"/>
      <c r="L56" s="1610"/>
      <c r="M56" s="1612"/>
      <c r="N56" s="1612"/>
      <c r="O56" s="1612"/>
    </row>
    <row r="57" spans="1:18">
      <c r="B57" s="1610"/>
      <c r="C57" s="1610"/>
      <c r="D57" s="1610"/>
      <c r="E57" s="1612"/>
      <c r="F57" s="1611"/>
      <c r="G57" s="1611"/>
      <c r="H57" s="1612"/>
      <c r="I57" s="1612"/>
      <c r="J57" s="1610"/>
      <c r="K57" s="1612"/>
      <c r="L57" s="1612"/>
      <c r="M57" s="1612"/>
      <c r="N57" s="1612"/>
      <c r="O57" s="1612"/>
      <c r="P57" s="436"/>
    </row>
    <row r="58" spans="1:18"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436"/>
    </row>
    <row r="59" spans="1:18"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436"/>
    </row>
    <row r="60" spans="1:18"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153"/>
    </row>
    <row r="61" spans="1:18"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</row>
    <row r="62" spans="1:18">
      <c r="G62" s="1009"/>
      <c r="J62" s="36"/>
      <c r="K62" s="83"/>
      <c r="L62" s="36"/>
      <c r="M62" s="83"/>
    </row>
    <row r="63" spans="1:18">
      <c r="G63" s="1009"/>
      <c r="J63" s="36"/>
    </row>
    <row r="64" spans="1:18">
      <c r="G64" s="1009"/>
    </row>
    <row r="65" spans="2:16">
      <c r="G65" s="1009"/>
      <c r="L65" s="36"/>
      <c r="M65" s="83"/>
    </row>
    <row r="66" spans="2:16">
      <c r="G66" s="1009"/>
    </row>
    <row r="67" spans="2:16">
      <c r="B67" s="36"/>
      <c r="C67" s="36"/>
      <c r="D67" s="36"/>
      <c r="E67" s="36"/>
      <c r="F67" s="36"/>
      <c r="G67" s="1009"/>
      <c r="H67" s="36"/>
      <c r="I67" s="36"/>
      <c r="J67" s="36"/>
      <c r="K67" s="36"/>
      <c r="L67" s="36"/>
      <c r="M67" s="36"/>
      <c r="N67" s="36"/>
      <c r="O67" s="36"/>
      <c r="P67" s="36"/>
    </row>
    <row r="68" spans="2:16">
      <c r="B68" s="36"/>
      <c r="C68" s="36"/>
      <c r="D68" s="36"/>
      <c r="E68" s="36"/>
      <c r="F68" s="36"/>
      <c r="G68" s="1009"/>
      <c r="H68" s="36"/>
      <c r="I68" s="36"/>
      <c r="J68" s="36"/>
      <c r="K68" s="36"/>
      <c r="L68" s="36"/>
      <c r="M68" s="36"/>
      <c r="N68" s="36"/>
      <c r="O68" s="36"/>
      <c r="P68" s="36"/>
    </row>
    <row r="69" spans="2:16">
      <c r="B69" s="36"/>
      <c r="C69" s="36"/>
      <c r="D69" s="36"/>
      <c r="E69" s="36"/>
      <c r="F69" s="36"/>
      <c r="G69" s="1009"/>
      <c r="H69" s="36"/>
      <c r="I69" s="36"/>
      <c r="J69" s="36"/>
      <c r="K69" s="36"/>
      <c r="L69" s="36"/>
      <c r="M69" s="36"/>
      <c r="N69" s="36"/>
      <c r="O69" s="36"/>
      <c r="P69" s="36"/>
    </row>
    <row r="70" spans="2:16">
      <c r="B70" s="36"/>
      <c r="C70" s="36"/>
      <c r="D70" s="36"/>
      <c r="E70" s="36"/>
      <c r="F70" s="36"/>
      <c r="G70" s="1009"/>
      <c r="H70" s="36"/>
      <c r="I70" s="36"/>
      <c r="J70" s="36"/>
      <c r="K70" s="36"/>
      <c r="L70" s="36"/>
      <c r="M70" s="36"/>
      <c r="N70" s="36"/>
      <c r="O70" s="36"/>
      <c r="P70" s="36"/>
    </row>
    <row r="71" spans="2:16">
      <c r="B71" s="36"/>
      <c r="C71" s="36"/>
      <c r="D71" s="36"/>
      <c r="E71" s="36"/>
      <c r="F71" s="36"/>
      <c r="G71" s="1009"/>
      <c r="H71" s="36"/>
      <c r="I71" s="36"/>
      <c r="J71" s="36"/>
      <c r="K71" s="36"/>
      <c r="L71" s="36"/>
      <c r="M71" s="36"/>
      <c r="N71" s="36"/>
      <c r="O71" s="36"/>
      <c r="P71" s="36"/>
    </row>
    <row r="72" spans="2:16">
      <c r="B72" s="36"/>
      <c r="C72" s="36"/>
      <c r="D72" s="36"/>
      <c r="E72" s="36"/>
      <c r="F72" s="36"/>
      <c r="G72" s="1009"/>
      <c r="H72" s="36"/>
      <c r="I72" s="36"/>
      <c r="J72" s="36"/>
      <c r="K72" s="36"/>
      <c r="L72" s="36"/>
      <c r="M72" s="36"/>
      <c r="N72" s="36"/>
      <c r="O72" s="36"/>
      <c r="P72" s="36"/>
    </row>
    <row r="73" spans="2:16">
      <c r="B73" s="36"/>
      <c r="C73" s="36"/>
      <c r="D73" s="36"/>
      <c r="E73" s="36"/>
      <c r="F73" s="36"/>
      <c r="G73" s="1009"/>
      <c r="H73" s="36"/>
      <c r="I73" s="36"/>
      <c r="J73" s="36"/>
      <c r="K73" s="36"/>
      <c r="L73" s="36"/>
      <c r="M73" s="36"/>
      <c r="N73" s="36"/>
      <c r="O73" s="36"/>
      <c r="P73" s="36"/>
    </row>
    <row r="74" spans="2:16">
      <c r="B74" s="36"/>
      <c r="C74" s="36"/>
      <c r="D74" s="36"/>
      <c r="E74" s="36"/>
      <c r="F74" s="36"/>
      <c r="G74" s="1009"/>
      <c r="H74" s="36"/>
      <c r="I74" s="36"/>
      <c r="J74" s="36"/>
      <c r="K74" s="36"/>
      <c r="L74" s="36"/>
      <c r="M74" s="36"/>
      <c r="N74" s="36"/>
      <c r="O74" s="36"/>
      <c r="P74" s="36"/>
    </row>
    <row r="75" spans="2:16">
      <c r="B75" s="36"/>
      <c r="C75" s="36"/>
      <c r="D75" s="36"/>
      <c r="E75" s="36"/>
      <c r="F75" s="36"/>
      <c r="G75" s="1009"/>
      <c r="H75" s="36"/>
      <c r="I75" s="36"/>
      <c r="J75" s="36"/>
      <c r="K75" s="36"/>
      <c r="L75" s="36"/>
      <c r="M75" s="36"/>
      <c r="N75" s="36"/>
      <c r="O75" s="36"/>
      <c r="P75" s="36"/>
    </row>
    <row r="76" spans="2:16"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</row>
    <row r="77" spans="2:16"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</row>
  </sheetData>
  <customSheetViews>
    <customSheetView guid="{A374FC54-96E3-45F0-9C12-8450400C12DF}" scale="170">
      <pane xSplit="1" ySplit="8" topLeftCell="D45" activePane="bottomRight" state="frozen"/>
      <selection pane="bottomRight" activeCell="L47" sqref="L47:L49"/>
      <pageMargins left="0.62992125984252001" right="0.511811023622047" top="0.261811024" bottom="0" header="0" footer="0.196850393700787"/>
      <pageSetup paperSize="132" firstPageNumber="12" orientation="portrait" useFirstPageNumber="1" r:id="rId1"/>
      <headerFooter alignWithMargins="0">
        <oddFooter>&amp;C&amp;"Times New Roman,Regular"&amp;8&amp;P</oddFooter>
      </headerFooter>
    </customSheetView>
  </customSheetViews>
  <mergeCells count="33">
    <mergeCell ref="B52:D52"/>
    <mergeCell ref="J52:P52"/>
    <mergeCell ref="J53:N53"/>
    <mergeCell ref="J51:P51"/>
    <mergeCell ref="B51:H51"/>
    <mergeCell ref="A1:C1"/>
    <mergeCell ref="E4:J4"/>
    <mergeCell ref="G6:G7"/>
    <mergeCell ref="D1:F1"/>
    <mergeCell ref="L4:L7"/>
    <mergeCell ref="E5:G5"/>
    <mergeCell ref="E6:E7"/>
    <mergeCell ref="F6:F7"/>
    <mergeCell ref="B3:D3"/>
    <mergeCell ref="D4:D7"/>
    <mergeCell ref="B4:B7"/>
    <mergeCell ref="H5:J5"/>
    <mergeCell ref="I3:K3"/>
    <mergeCell ref="A3:A8"/>
    <mergeCell ref="J6:J7"/>
    <mergeCell ref="C4:C7"/>
    <mergeCell ref="O1:P1"/>
    <mergeCell ref="O2:P2"/>
    <mergeCell ref="O3:O7"/>
    <mergeCell ref="G1:H1"/>
    <mergeCell ref="M3:M7"/>
    <mergeCell ref="I1:J1"/>
    <mergeCell ref="N3:N7"/>
    <mergeCell ref="P3:P8"/>
    <mergeCell ref="K4:K7"/>
    <mergeCell ref="H6:H7"/>
    <mergeCell ref="I6:I7"/>
    <mergeCell ref="E3:H3"/>
  </mergeCells>
  <phoneticPr fontId="0" type="noConversion"/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7"/>
  <dimension ref="A1:XFD74"/>
  <sheetViews>
    <sheetView zoomScale="130" zoomScaleNormal="130" workbookViewId="0">
      <pane xSplit="1" ySplit="5" topLeftCell="B30" activePane="bottomRight" state="frozen"/>
      <selection activeCell="Q6" sqref="Q6"/>
      <selection pane="topRight" activeCell="Q6" sqref="Q6"/>
      <selection pane="bottomLeft" activeCell="Q6" sqref="Q6"/>
      <selection pane="bottomRight" activeCell="M40" sqref="M40"/>
    </sheetView>
  </sheetViews>
  <sheetFormatPr defaultColWidth="9.140625" defaultRowHeight="12.75"/>
  <cols>
    <col min="1" max="1" width="11.140625" style="393" customWidth="1"/>
    <col min="2" max="2" width="13.7109375" style="393" customWidth="1"/>
    <col min="3" max="3" width="12.85546875" style="393" customWidth="1"/>
    <col min="4" max="4" width="13" style="393" customWidth="1"/>
    <col min="5" max="5" width="13.42578125" style="393" customWidth="1"/>
    <col min="6" max="6" width="13" style="393" customWidth="1"/>
    <col min="7" max="8" width="12.7109375" style="393" customWidth="1"/>
    <col min="9" max="10" width="13.28515625" style="393" customWidth="1"/>
    <col min="11" max="11" width="14.42578125" style="393" customWidth="1"/>
    <col min="12" max="12" width="11.85546875" style="393" customWidth="1"/>
    <col min="13" max="13" width="12.140625" style="393" customWidth="1"/>
    <col min="14" max="14" width="12" style="393" bestFit="1" customWidth="1"/>
    <col min="15" max="15" width="11" style="393" customWidth="1"/>
    <col min="16" max="16384" width="9.140625" style="393"/>
  </cols>
  <sheetData>
    <row r="1" spans="1:16384" s="155" customFormat="1" ht="15.75">
      <c r="D1" s="2159" t="s">
        <v>784</v>
      </c>
      <c r="E1" s="2159"/>
      <c r="F1" s="2159"/>
      <c r="G1" s="2163" t="s">
        <v>433</v>
      </c>
      <c r="H1" s="2163"/>
      <c r="I1" s="2163"/>
      <c r="K1" s="2159" t="s">
        <v>328</v>
      </c>
      <c r="L1" s="2159"/>
    </row>
    <row r="2" spans="1:16384" s="158" customFormat="1" ht="10.5" customHeight="1">
      <c r="F2" s="1325"/>
      <c r="K2" s="2164" t="s">
        <v>218</v>
      </c>
      <c r="L2" s="2164"/>
      <c r="N2" s="155"/>
      <c r="O2" s="155"/>
    </row>
    <row r="3" spans="1:16384" s="160" customFormat="1" ht="22.5" customHeight="1">
      <c r="A3" s="2153" t="s">
        <v>891</v>
      </c>
      <c r="B3" s="2157" t="s">
        <v>197</v>
      </c>
      <c r="C3" s="2156" t="s">
        <v>894</v>
      </c>
      <c r="D3" s="2160" t="s">
        <v>381</v>
      </c>
      <c r="E3" s="2161"/>
      <c r="F3" s="2162"/>
      <c r="G3" s="2160" t="s">
        <v>383</v>
      </c>
      <c r="H3" s="2161"/>
      <c r="I3" s="2162"/>
      <c r="J3" s="2156" t="s">
        <v>751</v>
      </c>
      <c r="K3" s="2156" t="s">
        <v>893</v>
      </c>
      <c r="L3" s="2153" t="s">
        <v>892</v>
      </c>
      <c r="N3" s="155"/>
      <c r="O3" s="155"/>
    </row>
    <row r="4" spans="1:16384" s="160" customFormat="1" ht="22.5" customHeight="1">
      <c r="A4" s="2154"/>
      <c r="B4" s="2158"/>
      <c r="C4" s="2018"/>
      <c r="D4" s="1324" t="s">
        <v>382</v>
      </c>
      <c r="E4" s="1324" t="s">
        <v>478</v>
      </c>
      <c r="F4" s="1324" t="s">
        <v>477</v>
      </c>
      <c r="G4" s="1324" t="s">
        <v>382</v>
      </c>
      <c r="H4" s="1324" t="s">
        <v>478</v>
      </c>
      <c r="I4" s="1324" t="s">
        <v>477</v>
      </c>
      <c r="J4" s="2018"/>
      <c r="K4" s="2018"/>
      <c r="L4" s="2154"/>
      <c r="N4" s="155"/>
      <c r="O4" s="155"/>
    </row>
    <row r="5" spans="1:16384" s="456" customFormat="1" ht="12" customHeight="1">
      <c r="A5" s="2155"/>
      <c r="B5" s="1326">
        <v>1</v>
      </c>
      <c r="C5" s="455">
        <v>2</v>
      </c>
      <c r="D5" s="455">
        <v>3</v>
      </c>
      <c r="E5" s="455">
        <v>4</v>
      </c>
      <c r="F5" s="455" t="s">
        <v>198</v>
      </c>
      <c r="G5" s="455">
        <v>6</v>
      </c>
      <c r="H5" s="455">
        <v>7</v>
      </c>
      <c r="I5" s="455" t="s">
        <v>199</v>
      </c>
      <c r="J5" s="455">
        <v>9</v>
      </c>
      <c r="K5" s="455" t="s">
        <v>384</v>
      </c>
      <c r="L5" s="2155"/>
      <c r="N5" s="155"/>
      <c r="O5" s="155"/>
    </row>
    <row r="6" spans="1:16384" s="311" customFormat="1" ht="11.1" customHeight="1">
      <c r="A6" s="248" t="s">
        <v>1154</v>
      </c>
      <c r="B6" s="411">
        <v>114219.6</v>
      </c>
      <c r="C6" s="411">
        <v>0</v>
      </c>
      <c r="D6" s="411">
        <v>6923.8</v>
      </c>
      <c r="E6" s="411">
        <v>26923.7</v>
      </c>
      <c r="F6" s="411">
        <v>33847.5</v>
      </c>
      <c r="G6" s="411">
        <v>9127.2999999999993</v>
      </c>
      <c r="H6" s="411">
        <v>531340.4</v>
      </c>
      <c r="I6" s="411">
        <v>540467.70000000007</v>
      </c>
      <c r="J6" s="411">
        <v>112745.2</v>
      </c>
      <c r="K6" s="411">
        <v>801280</v>
      </c>
      <c r="L6" s="335" t="s">
        <v>1154</v>
      </c>
      <c r="N6" s="155"/>
      <c r="O6" s="155"/>
      <c r="P6" s="155"/>
      <c r="Q6" s="155"/>
    </row>
    <row r="7" spans="1:16384" s="311" customFormat="1" ht="11.1" customHeight="1">
      <c r="A7" s="209" t="s">
        <v>1178</v>
      </c>
      <c r="B7" s="416">
        <v>97333.5</v>
      </c>
      <c r="C7" s="416">
        <v>0</v>
      </c>
      <c r="D7" s="416">
        <v>8161.5</v>
      </c>
      <c r="E7" s="416">
        <v>33950.300000000003</v>
      </c>
      <c r="F7" s="416">
        <v>42111.8</v>
      </c>
      <c r="G7" s="416">
        <v>9118.7000000000007</v>
      </c>
      <c r="H7" s="416">
        <v>612395</v>
      </c>
      <c r="I7" s="416">
        <v>621513.69999999995</v>
      </c>
      <c r="J7" s="416">
        <v>129711.2</v>
      </c>
      <c r="K7" s="416">
        <v>890670.2</v>
      </c>
      <c r="L7" s="357" t="s">
        <v>1178</v>
      </c>
      <c r="N7" s="155"/>
      <c r="O7" s="155"/>
      <c r="P7" s="158"/>
      <c r="Q7" s="158"/>
    </row>
    <row r="8" spans="1:16384" s="311" customFormat="1" ht="11.1" customHeight="1">
      <c r="A8" s="1005" t="s">
        <v>1298</v>
      </c>
      <c r="B8" s="416">
        <v>94894.9</v>
      </c>
      <c r="C8" s="416">
        <v>0</v>
      </c>
      <c r="D8" s="416">
        <v>8638.7999999999993</v>
      </c>
      <c r="E8" s="416">
        <v>43216.2</v>
      </c>
      <c r="F8" s="451">
        <v>51875.3</v>
      </c>
      <c r="G8" s="416">
        <v>10561.3</v>
      </c>
      <c r="H8" s="416">
        <v>714397</v>
      </c>
      <c r="I8" s="451">
        <v>724958.3</v>
      </c>
      <c r="J8" s="416">
        <v>149898.09999999995</v>
      </c>
      <c r="K8" s="451">
        <v>1021626.6</v>
      </c>
      <c r="L8" s="1006" t="s">
        <v>1298</v>
      </c>
      <c r="N8" s="155"/>
      <c r="O8" s="155"/>
      <c r="P8" s="160"/>
      <c r="Q8" s="160"/>
    </row>
    <row r="9" spans="1:16384" s="311" customFormat="1" ht="11.1" customHeight="1">
      <c r="A9" s="209" t="s">
        <v>1407</v>
      </c>
      <c r="B9" s="416">
        <v>113273.4</v>
      </c>
      <c r="C9" s="416">
        <v>0</v>
      </c>
      <c r="D9" s="416">
        <v>10941.8</v>
      </c>
      <c r="E9" s="416">
        <v>44526.6</v>
      </c>
      <c r="F9" s="416">
        <v>55468.399999999994</v>
      </c>
      <c r="G9" s="416">
        <v>12413.8</v>
      </c>
      <c r="H9" s="416">
        <v>797858.7</v>
      </c>
      <c r="I9" s="416">
        <v>810272.5</v>
      </c>
      <c r="J9" s="416">
        <v>167870.4</v>
      </c>
      <c r="K9" s="416">
        <v>1146884.7</v>
      </c>
      <c r="L9" s="357" t="s">
        <v>1407</v>
      </c>
      <c r="N9" s="155"/>
      <c r="O9" s="155"/>
      <c r="P9" s="160"/>
      <c r="Q9" s="160"/>
    </row>
    <row r="10" spans="1:16384" s="205" customFormat="1" ht="11.1" customHeight="1">
      <c r="A10" s="248" t="s">
        <v>1487</v>
      </c>
      <c r="B10" s="411">
        <v>181150.7</v>
      </c>
      <c r="C10" s="411">
        <v>0</v>
      </c>
      <c r="D10" s="411">
        <v>11420.7</v>
      </c>
      <c r="E10" s="411">
        <v>43383.4</v>
      </c>
      <c r="F10" s="411">
        <v>54804.100000000006</v>
      </c>
      <c r="G10" s="411">
        <v>17794.400000000001</v>
      </c>
      <c r="H10" s="411">
        <v>875826.1</v>
      </c>
      <c r="I10" s="411">
        <v>893620.5</v>
      </c>
      <c r="J10" s="411">
        <v>178058.39999999991</v>
      </c>
      <c r="K10" s="411">
        <v>1307633.7</v>
      </c>
      <c r="L10" s="335" t="s">
        <v>1487</v>
      </c>
      <c r="N10" s="155"/>
      <c r="O10" s="155"/>
      <c r="P10" s="456"/>
      <c r="Q10" s="456"/>
    </row>
    <row r="11" spans="1:16384" ht="11.1" customHeight="1">
      <c r="A11" s="209" t="s">
        <v>1539</v>
      </c>
      <c r="B11" s="416">
        <v>221024.9</v>
      </c>
      <c r="C11" s="416">
        <v>0</v>
      </c>
      <c r="D11" s="416">
        <v>11686.7</v>
      </c>
      <c r="E11" s="416">
        <v>44685.5</v>
      </c>
      <c r="F11" s="416">
        <v>56372.2</v>
      </c>
      <c r="G11" s="416">
        <v>18330.400000000001</v>
      </c>
      <c r="H11" s="416">
        <v>944500.9</v>
      </c>
      <c r="I11" s="416">
        <v>962831.3</v>
      </c>
      <c r="J11" s="416">
        <v>199670.7</v>
      </c>
      <c r="K11" s="416">
        <v>1439899.0999999999</v>
      </c>
      <c r="L11" s="357" t="s">
        <v>1539</v>
      </c>
      <c r="N11" s="155"/>
      <c r="O11" s="155"/>
      <c r="P11" s="155"/>
      <c r="Q11" s="155"/>
    </row>
    <row r="12" spans="1:16384" s="153" customFormat="1" ht="11.1" customHeight="1">
      <c r="A12" s="354" t="s">
        <v>1810</v>
      </c>
      <c r="B12" s="411">
        <v>283314.5</v>
      </c>
      <c r="C12" s="411">
        <v>0</v>
      </c>
      <c r="D12" s="411">
        <v>11888.306285111861</v>
      </c>
      <c r="E12" s="411">
        <v>46525.068338350975</v>
      </c>
      <c r="F12" s="411">
        <v>58413.374623462834</v>
      </c>
      <c r="G12" s="411">
        <v>25306.388915850399</v>
      </c>
      <c r="H12" s="411">
        <v>1078354.71160969</v>
      </c>
      <c r="I12" s="411">
        <v>1103661.1005255403</v>
      </c>
      <c r="J12" s="411">
        <v>226359.92485099685</v>
      </c>
      <c r="K12" s="411">
        <v>1671748.9</v>
      </c>
      <c r="L12" s="1007" t="s">
        <v>1810</v>
      </c>
      <c r="M12" s="1396"/>
      <c r="N12" s="416"/>
      <c r="O12" s="416"/>
      <c r="P12" s="416"/>
      <c r="Q12" s="416"/>
      <c r="R12" s="416"/>
      <c r="S12" s="416"/>
      <c r="T12" s="416"/>
      <c r="U12" s="416"/>
      <c r="V12" s="416"/>
      <c r="W12" s="416"/>
      <c r="X12" s="1008"/>
      <c r="Y12" s="1396"/>
      <c r="Z12" s="416"/>
      <c r="AA12" s="416"/>
      <c r="AB12" s="416"/>
      <c r="AC12" s="416"/>
      <c r="AD12" s="416"/>
      <c r="AE12" s="416"/>
      <c r="AF12" s="416"/>
      <c r="AG12" s="416"/>
      <c r="AH12" s="416"/>
      <c r="AI12" s="416"/>
      <c r="AJ12" s="1008"/>
      <c r="AK12" s="1396"/>
      <c r="AL12" s="416"/>
      <c r="AM12" s="416"/>
      <c r="AN12" s="416"/>
      <c r="AO12" s="416"/>
      <c r="AP12" s="416"/>
      <c r="AQ12" s="416"/>
      <c r="AR12" s="416"/>
      <c r="AS12" s="416"/>
      <c r="AT12" s="416"/>
      <c r="AU12" s="416"/>
      <c r="AV12" s="1008"/>
      <c r="AW12" s="1396"/>
      <c r="AX12" s="416"/>
      <c r="AY12" s="416"/>
      <c r="AZ12" s="416"/>
      <c r="BA12" s="416"/>
      <c r="BB12" s="416"/>
      <c r="BC12" s="416"/>
      <c r="BD12" s="416"/>
      <c r="BE12" s="416"/>
      <c r="BF12" s="416"/>
      <c r="BG12" s="416"/>
      <c r="BH12" s="1008"/>
      <c r="BI12" s="1396"/>
      <c r="BJ12" s="416"/>
      <c r="BK12" s="416"/>
      <c r="BL12" s="416"/>
      <c r="BM12" s="416"/>
      <c r="BN12" s="416"/>
      <c r="BO12" s="416"/>
      <c r="BP12" s="416"/>
      <c r="BQ12" s="416"/>
      <c r="BR12" s="416"/>
      <c r="BS12" s="416"/>
      <c r="BT12" s="1008"/>
      <c r="BU12" s="1396"/>
      <c r="BV12" s="416"/>
      <c r="BW12" s="416"/>
      <c r="BX12" s="416"/>
      <c r="BY12" s="416"/>
      <c r="BZ12" s="416"/>
      <c r="CA12" s="416"/>
      <c r="CB12" s="416"/>
      <c r="CC12" s="416"/>
      <c r="CD12" s="416"/>
      <c r="CE12" s="416"/>
      <c r="CF12" s="1008"/>
      <c r="CG12" s="1396"/>
      <c r="CH12" s="416"/>
      <c r="CI12" s="416"/>
      <c r="CJ12" s="416"/>
      <c r="CK12" s="416"/>
      <c r="CL12" s="416"/>
      <c r="CM12" s="416"/>
      <c r="CN12" s="416"/>
      <c r="CO12" s="416"/>
      <c r="CP12" s="416"/>
      <c r="CQ12" s="416"/>
      <c r="CR12" s="1008"/>
      <c r="CS12" s="1396"/>
      <c r="CT12" s="416"/>
      <c r="CU12" s="416"/>
      <c r="CV12" s="416"/>
      <c r="CW12" s="416"/>
      <c r="CX12" s="416"/>
      <c r="CY12" s="416"/>
      <c r="CZ12" s="416"/>
      <c r="DA12" s="416"/>
      <c r="DB12" s="416"/>
      <c r="DC12" s="416"/>
      <c r="DD12" s="1008"/>
      <c r="DE12" s="1396"/>
      <c r="DF12" s="416"/>
      <c r="DG12" s="416"/>
      <c r="DH12" s="416"/>
      <c r="DI12" s="416"/>
      <c r="DJ12" s="416"/>
      <c r="DK12" s="416"/>
      <c r="DL12" s="416"/>
      <c r="DM12" s="416"/>
      <c r="DN12" s="416"/>
      <c r="DO12" s="416"/>
      <c r="DP12" s="1008"/>
      <c r="DQ12" s="1396"/>
      <c r="DR12" s="416"/>
      <c r="DS12" s="416"/>
      <c r="DT12" s="416"/>
      <c r="DU12" s="416"/>
      <c r="DV12" s="416"/>
      <c r="DW12" s="416"/>
      <c r="DX12" s="416"/>
      <c r="DY12" s="416"/>
      <c r="DZ12" s="416"/>
      <c r="EA12" s="416"/>
      <c r="EB12" s="1008"/>
      <c r="EC12" s="1396"/>
      <c r="ED12" s="416"/>
      <c r="EE12" s="416"/>
      <c r="EF12" s="416"/>
      <c r="EG12" s="416"/>
      <c r="EH12" s="416"/>
      <c r="EI12" s="416"/>
      <c r="EJ12" s="416"/>
      <c r="EK12" s="416"/>
      <c r="EL12" s="416"/>
      <c r="EM12" s="416"/>
      <c r="EN12" s="1008"/>
      <c r="EO12" s="1396"/>
      <c r="EP12" s="416"/>
      <c r="EQ12" s="416"/>
      <c r="ER12" s="416"/>
      <c r="ES12" s="416"/>
      <c r="ET12" s="416"/>
      <c r="EU12" s="416"/>
      <c r="EV12" s="416"/>
      <c r="EW12" s="416"/>
      <c r="EX12" s="416"/>
      <c r="EY12" s="416"/>
      <c r="EZ12" s="1008"/>
      <c r="FA12" s="1396"/>
      <c r="FB12" s="416"/>
      <c r="FC12" s="416"/>
      <c r="FD12" s="416"/>
      <c r="FE12" s="416"/>
      <c r="FF12" s="416"/>
      <c r="FG12" s="416"/>
      <c r="FH12" s="416"/>
      <c r="FI12" s="416"/>
      <c r="FJ12" s="416"/>
      <c r="FK12" s="416"/>
      <c r="FL12" s="1008"/>
      <c r="FM12" s="1396"/>
      <c r="FN12" s="416"/>
      <c r="FO12" s="416"/>
      <c r="FP12" s="416"/>
      <c r="FQ12" s="416"/>
      <c r="FR12" s="416"/>
      <c r="FS12" s="416"/>
      <c r="FT12" s="416"/>
      <c r="FU12" s="416"/>
      <c r="FV12" s="416"/>
      <c r="FW12" s="416"/>
      <c r="FX12" s="1008"/>
      <c r="FY12" s="1396"/>
      <c r="FZ12" s="416"/>
      <c r="GA12" s="416"/>
      <c r="GB12" s="416"/>
      <c r="GC12" s="416"/>
      <c r="GD12" s="416"/>
      <c r="GE12" s="416"/>
      <c r="GF12" s="416"/>
      <c r="GG12" s="416"/>
      <c r="GH12" s="416"/>
      <c r="GI12" s="416"/>
      <c r="GJ12" s="1008"/>
      <c r="GK12" s="1396"/>
      <c r="GL12" s="416"/>
      <c r="GM12" s="416"/>
      <c r="GN12" s="416"/>
      <c r="GO12" s="416"/>
      <c r="GP12" s="416"/>
      <c r="GQ12" s="416"/>
      <c r="GR12" s="416"/>
      <c r="GS12" s="416"/>
      <c r="GT12" s="416"/>
      <c r="GU12" s="416"/>
      <c r="GV12" s="1008"/>
      <c r="GW12" s="1396"/>
      <c r="GX12" s="416"/>
      <c r="GY12" s="416"/>
      <c r="GZ12" s="416"/>
      <c r="HA12" s="416"/>
      <c r="HB12" s="416"/>
      <c r="HC12" s="416"/>
      <c r="HD12" s="416"/>
      <c r="HE12" s="416"/>
      <c r="HF12" s="416"/>
      <c r="HG12" s="416"/>
      <c r="HH12" s="1008"/>
      <c r="HI12" s="1396"/>
      <c r="HJ12" s="416"/>
      <c r="HK12" s="416"/>
      <c r="HL12" s="416"/>
      <c r="HM12" s="416"/>
      <c r="HN12" s="416"/>
      <c r="HO12" s="416"/>
      <c r="HP12" s="416"/>
      <c r="HQ12" s="416"/>
      <c r="HR12" s="416"/>
      <c r="HS12" s="416"/>
      <c r="HT12" s="1008"/>
      <c r="HU12" s="1396"/>
      <c r="HV12" s="416"/>
      <c r="HW12" s="416"/>
      <c r="HX12" s="416"/>
      <c r="HY12" s="416"/>
      <c r="HZ12" s="416"/>
      <c r="IA12" s="416"/>
      <c r="IB12" s="416"/>
      <c r="IC12" s="416"/>
      <c r="ID12" s="416"/>
      <c r="IE12" s="416"/>
      <c r="IF12" s="1008"/>
      <c r="IG12" s="1396"/>
      <c r="IH12" s="416"/>
      <c r="II12" s="416"/>
      <c r="IJ12" s="416"/>
      <c r="IK12" s="416"/>
      <c r="IL12" s="416"/>
      <c r="IM12" s="416"/>
      <c r="IN12" s="416"/>
      <c r="IO12" s="416"/>
      <c r="IP12" s="416"/>
      <c r="IQ12" s="416"/>
      <c r="IR12" s="1008"/>
      <c r="IS12" s="1396"/>
      <c r="IT12" s="416"/>
      <c r="IU12" s="416"/>
      <c r="IV12" s="416"/>
      <c r="IW12" s="416"/>
      <c r="IX12" s="416"/>
      <c r="IY12" s="416"/>
      <c r="IZ12" s="416"/>
      <c r="JA12" s="416"/>
      <c r="JB12" s="416"/>
      <c r="JC12" s="416"/>
      <c r="JD12" s="1008"/>
      <c r="JE12" s="1396"/>
      <c r="JF12" s="416"/>
      <c r="JG12" s="416"/>
      <c r="JH12" s="416"/>
      <c r="JI12" s="416"/>
      <c r="JJ12" s="416"/>
      <c r="JK12" s="416"/>
      <c r="JL12" s="416"/>
      <c r="JM12" s="416"/>
      <c r="JN12" s="416"/>
      <c r="JO12" s="416"/>
      <c r="JP12" s="1008"/>
      <c r="JQ12" s="1396"/>
      <c r="JR12" s="416"/>
      <c r="JS12" s="416"/>
      <c r="JT12" s="416"/>
      <c r="JU12" s="416"/>
      <c r="JV12" s="416"/>
      <c r="JW12" s="416"/>
      <c r="JX12" s="416"/>
      <c r="JY12" s="416"/>
      <c r="JZ12" s="416"/>
      <c r="KA12" s="416"/>
      <c r="KB12" s="1008"/>
      <c r="KC12" s="1396"/>
      <c r="KD12" s="416"/>
      <c r="KE12" s="416"/>
      <c r="KF12" s="416"/>
      <c r="KG12" s="416"/>
      <c r="KH12" s="416"/>
      <c r="KI12" s="416"/>
      <c r="KJ12" s="416"/>
      <c r="KK12" s="416"/>
      <c r="KL12" s="416"/>
      <c r="KM12" s="416"/>
      <c r="KN12" s="1008"/>
      <c r="KO12" s="1396"/>
      <c r="KP12" s="416"/>
      <c r="KQ12" s="416"/>
      <c r="KR12" s="416"/>
      <c r="KS12" s="416"/>
      <c r="KT12" s="416"/>
      <c r="KU12" s="416"/>
      <c r="KV12" s="416"/>
      <c r="KW12" s="416"/>
      <c r="KX12" s="416"/>
      <c r="KY12" s="416"/>
      <c r="KZ12" s="1008"/>
      <c r="LA12" s="1396"/>
      <c r="LB12" s="416"/>
      <c r="LC12" s="416"/>
      <c r="LD12" s="416"/>
      <c r="LE12" s="416"/>
      <c r="LF12" s="416"/>
      <c r="LG12" s="416"/>
      <c r="LH12" s="416"/>
      <c r="LI12" s="416"/>
      <c r="LJ12" s="416"/>
      <c r="LK12" s="416"/>
      <c r="LL12" s="1008"/>
      <c r="LM12" s="1396"/>
      <c r="LN12" s="416"/>
      <c r="LO12" s="416"/>
      <c r="LP12" s="416"/>
      <c r="LQ12" s="416"/>
      <c r="LR12" s="416"/>
      <c r="LS12" s="416"/>
      <c r="LT12" s="416"/>
      <c r="LU12" s="416"/>
      <c r="LV12" s="416"/>
      <c r="LW12" s="416"/>
      <c r="LX12" s="1008"/>
      <c r="LY12" s="1396"/>
      <c r="LZ12" s="416"/>
      <c r="MA12" s="416"/>
      <c r="MB12" s="416"/>
      <c r="MC12" s="416"/>
      <c r="MD12" s="416"/>
      <c r="ME12" s="416"/>
      <c r="MF12" s="416"/>
      <c r="MG12" s="416"/>
      <c r="MH12" s="416"/>
      <c r="MI12" s="416"/>
      <c r="MJ12" s="1008"/>
      <c r="MK12" s="1396"/>
      <c r="ML12" s="416"/>
      <c r="MM12" s="416"/>
      <c r="MN12" s="416"/>
      <c r="MO12" s="416"/>
      <c r="MP12" s="416"/>
      <c r="MQ12" s="416"/>
      <c r="MR12" s="416"/>
      <c r="MS12" s="416"/>
      <c r="MT12" s="416"/>
      <c r="MU12" s="416"/>
      <c r="MV12" s="1008"/>
      <c r="MW12" s="1396"/>
      <c r="MX12" s="416"/>
      <c r="MY12" s="416"/>
      <c r="MZ12" s="416"/>
      <c r="NA12" s="416"/>
      <c r="NB12" s="416"/>
      <c r="NC12" s="416"/>
      <c r="ND12" s="416"/>
      <c r="NE12" s="416"/>
      <c r="NF12" s="416"/>
      <c r="NG12" s="416"/>
      <c r="NH12" s="1008"/>
      <c r="NI12" s="1396"/>
      <c r="NJ12" s="416"/>
      <c r="NK12" s="416"/>
      <c r="NL12" s="416"/>
      <c r="NM12" s="416"/>
      <c r="NN12" s="416"/>
      <c r="NO12" s="416"/>
      <c r="NP12" s="416"/>
      <c r="NQ12" s="416"/>
      <c r="NR12" s="416"/>
      <c r="NS12" s="416"/>
      <c r="NT12" s="1008"/>
      <c r="NU12" s="1396"/>
      <c r="NV12" s="416"/>
      <c r="NW12" s="416"/>
      <c r="NX12" s="416"/>
      <c r="NY12" s="416"/>
      <c r="NZ12" s="416"/>
      <c r="OA12" s="416"/>
      <c r="OB12" s="416"/>
      <c r="OC12" s="416"/>
      <c r="OD12" s="416"/>
      <c r="OE12" s="416"/>
      <c r="OF12" s="1008"/>
      <c r="OG12" s="1396"/>
      <c r="OH12" s="416"/>
      <c r="OI12" s="416"/>
      <c r="OJ12" s="416"/>
      <c r="OK12" s="416"/>
      <c r="OL12" s="416"/>
      <c r="OM12" s="416"/>
      <c r="ON12" s="416"/>
      <c r="OO12" s="416"/>
      <c r="OP12" s="416"/>
      <c r="OQ12" s="416"/>
      <c r="OR12" s="1008"/>
      <c r="OS12" s="1396"/>
      <c r="OT12" s="416"/>
      <c r="OU12" s="416"/>
      <c r="OV12" s="416"/>
      <c r="OW12" s="416"/>
      <c r="OX12" s="416"/>
      <c r="OY12" s="416"/>
      <c r="OZ12" s="416"/>
      <c r="PA12" s="416"/>
      <c r="PB12" s="416"/>
      <c r="PC12" s="416"/>
      <c r="PD12" s="1008"/>
      <c r="PE12" s="1396"/>
      <c r="PF12" s="416"/>
      <c r="PG12" s="416"/>
      <c r="PH12" s="416"/>
      <c r="PI12" s="416"/>
      <c r="PJ12" s="416"/>
      <c r="PK12" s="416"/>
      <c r="PL12" s="416"/>
      <c r="PM12" s="416"/>
      <c r="PN12" s="416"/>
      <c r="PO12" s="416"/>
      <c r="PP12" s="1008"/>
      <c r="PQ12" s="1396"/>
      <c r="PR12" s="416"/>
      <c r="PS12" s="416"/>
      <c r="PT12" s="416"/>
      <c r="PU12" s="416"/>
      <c r="PV12" s="416"/>
      <c r="PW12" s="416"/>
      <c r="PX12" s="416"/>
      <c r="PY12" s="416"/>
      <c r="PZ12" s="416"/>
      <c r="QA12" s="416"/>
      <c r="QB12" s="1008"/>
      <c r="QC12" s="1396"/>
      <c r="QD12" s="416"/>
      <c r="QE12" s="416"/>
      <c r="QF12" s="416"/>
      <c r="QG12" s="416"/>
      <c r="QH12" s="416"/>
      <c r="QI12" s="416"/>
      <c r="QJ12" s="416"/>
      <c r="QK12" s="416"/>
      <c r="QL12" s="416"/>
      <c r="QM12" s="416"/>
      <c r="QN12" s="1008"/>
      <c r="QO12" s="1396"/>
      <c r="QP12" s="416"/>
      <c r="QQ12" s="416"/>
      <c r="QR12" s="416"/>
      <c r="QS12" s="416"/>
      <c r="QT12" s="416"/>
      <c r="QU12" s="416"/>
      <c r="QV12" s="416"/>
      <c r="QW12" s="416"/>
      <c r="QX12" s="416"/>
      <c r="QY12" s="416"/>
      <c r="QZ12" s="1008"/>
      <c r="RA12" s="1396"/>
      <c r="RB12" s="416"/>
      <c r="RC12" s="416"/>
      <c r="RD12" s="416"/>
      <c r="RE12" s="416"/>
      <c r="RF12" s="416"/>
      <c r="RG12" s="416"/>
      <c r="RH12" s="416"/>
      <c r="RI12" s="416"/>
      <c r="RJ12" s="416"/>
      <c r="RK12" s="416"/>
      <c r="RL12" s="1008"/>
      <c r="RM12" s="1396"/>
      <c r="RN12" s="416"/>
      <c r="RO12" s="416"/>
      <c r="RP12" s="416"/>
      <c r="RQ12" s="416"/>
      <c r="RR12" s="416"/>
      <c r="RS12" s="416"/>
      <c r="RT12" s="416"/>
      <c r="RU12" s="416"/>
      <c r="RV12" s="416"/>
      <c r="RW12" s="416"/>
      <c r="RX12" s="1008"/>
      <c r="RY12" s="1396"/>
      <c r="RZ12" s="416"/>
      <c r="SA12" s="416"/>
      <c r="SB12" s="416"/>
      <c r="SC12" s="416"/>
      <c r="SD12" s="416"/>
      <c r="SE12" s="416"/>
      <c r="SF12" s="416"/>
      <c r="SG12" s="416"/>
      <c r="SH12" s="416"/>
      <c r="SI12" s="416"/>
      <c r="SJ12" s="1008"/>
      <c r="SK12" s="1396"/>
      <c r="SL12" s="416"/>
      <c r="SM12" s="416"/>
      <c r="SN12" s="416"/>
      <c r="SO12" s="416"/>
      <c r="SP12" s="416"/>
      <c r="SQ12" s="416"/>
      <c r="SR12" s="416"/>
      <c r="SS12" s="416"/>
      <c r="ST12" s="416"/>
      <c r="SU12" s="416"/>
      <c r="SV12" s="1008"/>
      <c r="SW12" s="1396"/>
      <c r="SX12" s="416"/>
      <c r="SY12" s="416"/>
      <c r="SZ12" s="416"/>
      <c r="TA12" s="416"/>
      <c r="TB12" s="416"/>
      <c r="TC12" s="416"/>
      <c r="TD12" s="416"/>
      <c r="TE12" s="416"/>
      <c r="TF12" s="416"/>
      <c r="TG12" s="416"/>
      <c r="TH12" s="1008"/>
      <c r="TI12" s="1396"/>
      <c r="TJ12" s="416"/>
      <c r="TK12" s="416"/>
      <c r="TL12" s="416"/>
      <c r="TM12" s="416"/>
      <c r="TN12" s="416"/>
      <c r="TO12" s="416"/>
      <c r="TP12" s="416"/>
      <c r="TQ12" s="416"/>
      <c r="TR12" s="416"/>
      <c r="TS12" s="416"/>
      <c r="TT12" s="1008"/>
      <c r="TU12" s="1396"/>
      <c r="TV12" s="416"/>
      <c r="TW12" s="416"/>
      <c r="TX12" s="416"/>
      <c r="TY12" s="416"/>
      <c r="TZ12" s="416"/>
      <c r="UA12" s="416"/>
      <c r="UB12" s="416"/>
      <c r="UC12" s="416"/>
      <c r="UD12" s="416"/>
      <c r="UE12" s="416"/>
      <c r="UF12" s="1008"/>
      <c r="UG12" s="1396"/>
      <c r="UH12" s="416"/>
      <c r="UI12" s="416"/>
      <c r="UJ12" s="416"/>
      <c r="UK12" s="416"/>
      <c r="UL12" s="416"/>
      <c r="UM12" s="416"/>
      <c r="UN12" s="416"/>
      <c r="UO12" s="416"/>
      <c r="UP12" s="416"/>
      <c r="UQ12" s="416"/>
      <c r="UR12" s="1008"/>
      <c r="US12" s="1396"/>
      <c r="UT12" s="416"/>
      <c r="UU12" s="416"/>
      <c r="UV12" s="416"/>
      <c r="UW12" s="416"/>
      <c r="UX12" s="416"/>
      <c r="UY12" s="416"/>
      <c r="UZ12" s="416"/>
      <c r="VA12" s="416"/>
      <c r="VB12" s="416"/>
      <c r="VC12" s="416"/>
      <c r="VD12" s="1008"/>
      <c r="VE12" s="1396"/>
      <c r="VF12" s="416"/>
      <c r="VG12" s="416"/>
      <c r="VH12" s="416"/>
      <c r="VI12" s="416"/>
      <c r="VJ12" s="416"/>
      <c r="VK12" s="416"/>
      <c r="VL12" s="416"/>
      <c r="VM12" s="416"/>
      <c r="VN12" s="416"/>
      <c r="VO12" s="416"/>
      <c r="VP12" s="1008"/>
      <c r="VQ12" s="1396"/>
      <c r="VR12" s="416"/>
      <c r="VS12" s="416"/>
      <c r="VT12" s="416"/>
      <c r="VU12" s="416"/>
      <c r="VV12" s="416"/>
      <c r="VW12" s="416"/>
      <c r="VX12" s="416"/>
      <c r="VY12" s="416"/>
      <c r="VZ12" s="416"/>
      <c r="WA12" s="416"/>
      <c r="WB12" s="1008"/>
      <c r="WC12" s="1396"/>
      <c r="WD12" s="416"/>
      <c r="WE12" s="416"/>
      <c r="WF12" s="416"/>
      <c r="WG12" s="416"/>
      <c r="WH12" s="416"/>
      <c r="WI12" s="416"/>
      <c r="WJ12" s="416"/>
      <c r="WK12" s="416"/>
      <c r="WL12" s="416"/>
      <c r="WM12" s="416"/>
      <c r="WN12" s="1008"/>
      <c r="WO12" s="1396"/>
      <c r="WP12" s="416"/>
      <c r="WQ12" s="416"/>
      <c r="WR12" s="416"/>
      <c r="WS12" s="416"/>
      <c r="WT12" s="416"/>
      <c r="WU12" s="416"/>
      <c r="WV12" s="416"/>
      <c r="WW12" s="416"/>
      <c r="WX12" s="416"/>
      <c r="WY12" s="416"/>
      <c r="WZ12" s="1008"/>
      <c r="XA12" s="1396"/>
      <c r="XB12" s="416"/>
      <c r="XC12" s="416"/>
      <c r="XD12" s="416"/>
      <c r="XE12" s="416"/>
      <c r="XF12" s="416"/>
      <c r="XG12" s="416"/>
      <c r="XH12" s="416"/>
      <c r="XI12" s="416"/>
      <c r="XJ12" s="416"/>
      <c r="XK12" s="416"/>
      <c r="XL12" s="1008"/>
      <c r="XM12" s="1396"/>
      <c r="XN12" s="416"/>
      <c r="XO12" s="416"/>
      <c r="XP12" s="416"/>
      <c r="XQ12" s="416"/>
      <c r="XR12" s="416"/>
      <c r="XS12" s="416"/>
      <c r="XT12" s="416"/>
      <c r="XU12" s="416"/>
      <c r="XV12" s="416"/>
      <c r="XW12" s="416"/>
      <c r="XX12" s="1008"/>
      <c r="XY12" s="1396"/>
      <c r="XZ12" s="416"/>
      <c r="YA12" s="416"/>
      <c r="YB12" s="416"/>
      <c r="YC12" s="416"/>
      <c r="YD12" s="416"/>
      <c r="YE12" s="416"/>
      <c r="YF12" s="416"/>
      <c r="YG12" s="416"/>
      <c r="YH12" s="416"/>
      <c r="YI12" s="416"/>
      <c r="YJ12" s="1008"/>
      <c r="YK12" s="1396"/>
      <c r="YL12" s="416"/>
      <c r="YM12" s="416"/>
      <c r="YN12" s="416"/>
      <c r="YO12" s="416"/>
      <c r="YP12" s="416"/>
      <c r="YQ12" s="416"/>
      <c r="YR12" s="416"/>
      <c r="YS12" s="416"/>
      <c r="YT12" s="416"/>
      <c r="YU12" s="416"/>
      <c r="YV12" s="1008"/>
      <c r="YW12" s="1396"/>
      <c r="YX12" s="416"/>
      <c r="YY12" s="416"/>
      <c r="YZ12" s="416"/>
      <c r="ZA12" s="416"/>
      <c r="ZB12" s="416"/>
      <c r="ZC12" s="416"/>
      <c r="ZD12" s="416"/>
      <c r="ZE12" s="416"/>
      <c r="ZF12" s="416"/>
      <c r="ZG12" s="416"/>
      <c r="ZH12" s="1008"/>
      <c r="ZI12" s="1396"/>
      <c r="ZJ12" s="416"/>
      <c r="ZK12" s="416"/>
      <c r="ZL12" s="416"/>
      <c r="ZM12" s="416"/>
      <c r="ZN12" s="416"/>
      <c r="ZO12" s="416"/>
      <c r="ZP12" s="416"/>
      <c r="ZQ12" s="416"/>
      <c r="ZR12" s="416"/>
      <c r="ZS12" s="416"/>
      <c r="ZT12" s="1008"/>
      <c r="ZU12" s="1396"/>
      <c r="ZV12" s="416"/>
      <c r="ZW12" s="416"/>
      <c r="ZX12" s="416"/>
      <c r="ZY12" s="416"/>
      <c r="ZZ12" s="416"/>
      <c r="AAA12" s="416"/>
      <c r="AAB12" s="416"/>
      <c r="AAC12" s="416"/>
      <c r="AAD12" s="416"/>
      <c r="AAE12" s="416"/>
      <c r="AAF12" s="1008"/>
      <c r="AAG12" s="1396"/>
      <c r="AAH12" s="416"/>
      <c r="AAI12" s="416"/>
      <c r="AAJ12" s="416"/>
      <c r="AAK12" s="416"/>
      <c r="AAL12" s="416"/>
      <c r="AAM12" s="416"/>
      <c r="AAN12" s="416"/>
      <c r="AAO12" s="416"/>
      <c r="AAP12" s="416"/>
      <c r="AAQ12" s="416"/>
      <c r="AAR12" s="1008"/>
      <c r="AAS12" s="1396"/>
      <c r="AAT12" s="416"/>
      <c r="AAU12" s="416"/>
      <c r="AAV12" s="416"/>
      <c r="AAW12" s="416"/>
      <c r="AAX12" s="416"/>
      <c r="AAY12" s="416"/>
      <c r="AAZ12" s="416"/>
      <c r="ABA12" s="416"/>
      <c r="ABB12" s="416"/>
      <c r="ABC12" s="416"/>
      <c r="ABD12" s="1008"/>
      <c r="ABE12" s="1396"/>
      <c r="ABF12" s="416"/>
      <c r="ABG12" s="416"/>
      <c r="ABH12" s="416"/>
      <c r="ABI12" s="416"/>
      <c r="ABJ12" s="416"/>
      <c r="ABK12" s="416"/>
      <c r="ABL12" s="416"/>
      <c r="ABM12" s="416"/>
      <c r="ABN12" s="416"/>
      <c r="ABO12" s="416"/>
      <c r="ABP12" s="1008"/>
      <c r="ABQ12" s="1396"/>
      <c r="ABR12" s="416"/>
      <c r="ABS12" s="416"/>
      <c r="ABT12" s="416"/>
      <c r="ABU12" s="416"/>
      <c r="ABV12" s="416"/>
      <c r="ABW12" s="416"/>
      <c r="ABX12" s="416"/>
      <c r="ABY12" s="416"/>
      <c r="ABZ12" s="416"/>
      <c r="ACA12" s="416"/>
      <c r="ACB12" s="1008"/>
      <c r="ACC12" s="1396"/>
      <c r="ACD12" s="416"/>
      <c r="ACE12" s="416"/>
      <c r="ACF12" s="416"/>
      <c r="ACG12" s="416"/>
      <c r="ACH12" s="416"/>
      <c r="ACI12" s="416"/>
      <c r="ACJ12" s="416"/>
      <c r="ACK12" s="416"/>
      <c r="ACL12" s="416"/>
      <c r="ACM12" s="416"/>
      <c r="ACN12" s="1008"/>
      <c r="ACO12" s="1396"/>
      <c r="ACP12" s="416"/>
      <c r="ACQ12" s="416"/>
      <c r="ACR12" s="416"/>
      <c r="ACS12" s="416"/>
      <c r="ACT12" s="416"/>
      <c r="ACU12" s="416"/>
      <c r="ACV12" s="416"/>
      <c r="ACW12" s="416"/>
      <c r="ACX12" s="416"/>
      <c r="ACY12" s="416"/>
      <c r="ACZ12" s="1008"/>
      <c r="ADA12" s="1396"/>
      <c r="ADB12" s="416"/>
      <c r="ADC12" s="416"/>
      <c r="ADD12" s="416"/>
      <c r="ADE12" s="416"/>
      <c r="ADF12" s="416"/>
      <c r="ADG12" s="416"/>
      <c r="ADH12" s="416"/>
      <c r="ADI12" s="416"/>
      <c r="ADJ12" s="416"/>
      <c r="ADK12" s="416"/>
      <c r="ADL12" s="1008"/>
      <c r="ADM12" s="1396"/>
      <c r="ADN12" s="416"/>
      <c r="ADO12" s="416"/>
      <c r="ADP12" s="416"/>
      <c r="ADQ12" s="416"/>
      <c r="ADR12" s="416"/>
      <c r="ADS12" s="416"/>
      <c r="ADT12" s="416"/>
      <c r="ADU12" s="416"/>
      <c r="ADV12" s="416"/>
      <c r="ADW12" s="416"/>
      <c r="ADX12" s="1008"/>
      <c r="ADY12" s="1396"/>
      <c r="ADZ12" s="416"/>
      <c r="AEA12" s="416"/>
      <c r="AEB12" s="416"/>
      <c r="AEC12" s="416"/>
      <c r="AED12" s="416"/>
      <c r="AEE12" s="416"/>
      <c r="AEF12" s="416"/>
      <c r="AEG12" s="416"/>
      <c r="AEH12" s="416"/>
      <c r="AEI12" s="416"/>
      <c r="AEJ12" s="1008"/>
      <c r="AEK12" s="1396"/>
      <c r="AEL12" s="416"/>
      <c r="AEM12" s="416"/>
      <c r="AEN12" s="416"/>
      <c r="AEO12" s="416"/>
      <c r="AEP12" s="416"/>
      <c r="AEQ12" s="416"/>
      <c r="AER12" s="416"/>
      <c r="AES12" s="416"/>
      <c r="AET12" s="416"/>
      <c r="AEU12" s="416"/>
      <c r="AEV12" s="1008"/>
      <c r="AEW12" s="1396"/>
      <c r="AEX12" s="416"/>
      <c r="AEY12" s="416"/>
      <c r="AEZ12" s="416"/>
      <c r="AFA12" s="416"/>
      <c r="AFB12" s="416"/>
      <c r="AFC12" s="416"/>
      <c r="AFD12" s="416"/>
      <c r="AFE12" s="416"/>
      <c r="AFF12" s="416"/>
      <c r="AFG12" s="416"/>
      <c r="AFH12" s="1008"/>
      <c r="AFI12" s="1396"/>
      <c r="AFJ12" s="416"/>
      <c r="AFK12" s="416"/>
      <c r="AFL12" s="416"/>
      <c r="AFM12" s="416"/>
      <c r="AFN12" s="416"/>
      <c r="AFO12" s="416"/>
      <c r="AFP12" s="416"/>
      <c r="AFQ12" s="416"/>
      <c r="AFR12" s="416"/>
      <c r="AFS12" s="416"/>
      <c r="AFT12" s="1008"/>
      <c r="AFU12" s="1396"/>
      <c r="AFV12" s="416"/>
      <c r="AFW12" s="416"/>
      <c r="AFX12" s="416"/>
      <c r="AFY12" s="416"/>
      <c r="AFZ12" s="416"/>
      <c r="AGA12" s="416"/>
      <c r="AGB12" s="416"/>
      <c r="AGC12" s="416"/>
      <c r="AGD12" s="416"/>
      <c r="AGE12" s="416"/>
      <c r="AGF12" s="1008"/>
      <c r="AGG12" s="1396"/>
      <c r="AGH12" s="416"/>
      <c r="AGI12" s="416"/>
      <c r="AGJ12" s="416"/>
      <c r="AGK12" s="416"/>
      <c r="AGL12" s="416"/>
      <c r="AGM12" s="416"/>
      <c r="AGN12" s="416"/>
      <c r="AGO12" s="416"/>
      <c r="AGP12" s="416"/>
      <c r="AGQ12" s="416"/>
      <c r="AGR12" s="1008"/>
      <c r="AGS12" s="1396"/>
      <c r="AGT12" s="416"/>
      <c r="AGU12" s="416"/>
      <c r="AGV12" s="416"/>
      <c r="AGW12" s="416"/>
      <c r="AGX12" s="416"/>
      <c r="AGY12" s="416"/>
      <c r="AGZ12" s="416"/>
      <c r="AHA12" s="416"/>
      <c r="AHB12" s="416"/>
      <c r="AHC12" s="416"/>
      <c r="AHD12" s="1008"/>
      <c r="AHE12" s="1396"/>
      <c r="AHF12" s="416"/>
      <c r="AHG12" s="416"/>
      <c r="AHH12" s="416"/>
      <c r="AHI12" s="416"/>
      <c r="AHJ12" s="416"/>
      <c r="AHK12" s="416"/>
      <c r="AHL12" s="416"/>
      <c r="AHM12" s="416"/>
      <c r="AHN12" s="416"/>
      <c r="AHO12" s="416"/>
      <c r="AHP12" s="1008"/>
      <c r="AHQ12" s="1396"/>
      <c r="AHR12" s="416"/>
      <c r="AHS12" s="416"/>
      <c r="AHT12" s="416"/>
      <c r="AHU12" s="416"/>
      <c r="AHV12" s="416"/>
      <c r="AHW12" s="416"/>
      <c r="AHX12" s="416"/>
      <c r="AHY12" s="416"/>
      <c r="AHZ12" s="416"/>
      <c r="AIA12" s="416"/>
      <c r="AIB12" s="1008"/>
      <c r="AIC12" s="1396"/>
      <c r="AID12" s="416"/>
      <c r="AIE12" s="416"/>
      <c r="AIF12" s="416"/>
      <c r="AIG12" s="416"/>
      <c r="AIH12" s="416"/>
      <c r="AII12" s="416"/>
      <c r="AIJ12" s="416"/>
      <c r="AIK12" s="416"/>
      <c r="AIL12" s="416"/>
      <c r="AIM12" s="416"/>
      <c r="AIN12" s="1008"/>
      <c r="AIO12" s="1396"/>
      <c r="AIP12" s="416"/>
      <c r="AIQ12" s="416"/>
      <c r="AIR12" s="416"/>
      <c r="AIS12" s="416"/>
      <c r="AIT12" s="416"/>
      <c r="AIU12" s="416"/>
      <c r="AIV12" s="416"/>
      <c r="AIW12" s="416"/>
      <c r="AIX12" s="416"/>
      <c r="AIY12" s="416"/>
      <c r="AIZ12" s="1008"/>
      <c r="AJA12" s="1396"/>
      <c r="AJB12" s="416"/>
      <c r="AJC12" s="416"/>
      <c r="AJD12" s="416"/>
      <c r="AJE12" s="416"/>
      <c r="AJF12" s="416"/>
      <c r="AJG12" s="416"/>
      <c r="AJH12" s="416"/>
      <c r="AJI12" s="416"/>
      <c r="AJJ12" s="416"/>
      <c r="AJK12" s="416"/>
      <c r="AJL12" s="1008"/>
      <c r="AJM12" s="1396"/>
      <c r="AJN12" s="416"/>
      <c r="AJO12" s="416"/>
      <c r="AJP12" s="416"/>
      <c r="AJQ12" s="416"/>
      <c r="AJR12" s="416"/>
      <c r="AJS12" s="416"/>
      <c r="AJT12" s="416"/>
      <c r="AJU12" s="416"/>
      <c r="AJV12" s="416"/>
      <c r="AJW12" s="416"/>
      <c r="AJX12" s="1008"/>
      <c r="AJY12" s="1396"/>
      <c r="AJZ12" s="416"/>
      <c r="AKA12" s="416"/>
      <c r="AKB12" s="416"/>
      <c r="AKC12" s="416"/>
      <c r="AKD12" s="416"/>
      <c r="AKE12" s="416"/>
      <c r="AKF12" s="416"/>
      <c r="AKG12" s="416"/>
      <c r="AKH12" s="416"/>
      <c r="AKI12" s="416"/>
      <c r="AKJ12" s="1008"/>
      <c r="AKK12" s="1396"/>
      <c r="AKL12" s="416"/>
      <c r="AKM12" s="416"/>
      <c r="AKN12" s="416"/>
      <c r="AKO12" s="416"/>
      <c r="AKP12" s="416"/>
      <c r="AKQ12" s="416"/>
      <c r="AKR12" s="416"/>
      <c r="AKS12" s="416"/>
      <c r="AKT12" s="416"/>
      <c r="AKU12" s="416"/>
      <c r="AKV12" s="1008"/>
      <c r="AKW12" s="1396"/>
      <c r="AKX12" s="416"/>
      <c r="AKY12" s="416"/>
      <c r="AKZ12" s="416"/>
      <c r="ALA12" s="416"/>
      <c r="ALB12" s="416"/>
      <c r="ALC12" s="416"/>
      <c r="ALD12" s="416"/>
      <c r="ALE12" s="416"/>
      <c r="ALF12" s="416"/>
      <c r="ALG12" s="416"/>
      <c r="ALH12" s="1008"/>
      <c r="ALI12" s="1396"/>
      <c r="ALJ12" s="416"/>
      <c r="ALK12" s="416"/>
      <c r="ALL12" s="416"/>
      <c r="ALM12" s="416"/>
      <c r="ALN12" s="416"/>
      <c r="ALO12" s="416"/>
      <c r="ALP12" s="416"/>
      <c r="ALQ12" s="416"/>
      <c r="ALR12" s="416"/>
      <c r="ALS12" s="416"/>
      <c r="ALT12" s="1008"/>
      <c r="ALU12" s="1396"/>
      <c r="ALV12" s="416"/>
      <c r="ALW12" s="416"/>
      <c r="ALX12" s="416"/>
      <c r="ALY12" s="416"/>
      <c r="ALZ12" s="416"/>
      <c r="AMA12" s="416"/>
      <c r="AMB12" s="416"/>
      <c r="AMC12" s="416"/>
      <c r="AMD12" s="416"/>
      <c r="AME12" s="416"/>
      <c r="AMF12" s="1008"/>
      <c r="AMG12" s="1396"/>
      <c r="AMH12" s="416"/>
      <c r="AMI12" s="416"/>
      <c r="AMJ12" s="416"/>
      <c r="AMK12" s="416"/>
      <c r="AML12" s="416"/>
      <c r="AMM12" s="416"/>
      <c r="AMN12" s="416"/>
      <c r="AMO12" s="416"/>
      <c r="AMP12" s="416"/>
      <c r="AMQ12" s="416"/>
      <c r="AMR12" s="1008"/>
      <c r="AMS12" s="1396"/>
      <c r="AMT12" s="416"/>
      <c r="AMU12" s="416"/>
      <c r="AMV12" s="416"/>
      <c r="AMW12" s="416"/>
      <c r="AMX12" s="416"/>
      <c r="AMY12" s="416"/>
      <c r="AMZ12" s="416"/>
      <c r="ANA12" s="416"/>
      <c r="ANB12" s="416"/>
      <c r="ANC12" s="416"/>
      <c r="AND12" s="1008"/>
      <c r="ANE12" s="1396"/>
      <c r="ANF12" s="416"/>
      <c r="ANG12" s="416"/>
      <c r="ANH12" s="416"/>
      <c r="ANI12" s="416"/>
      <c r="ANJ12" s="416"/>
      <c r="ANK12" s="416"/>
      <c r="ANL12" s="416"/>
      <c r="ANM12" s="416"/>
      <c r="ANN12" s="416"/>
      <c r="ANO12" s="416"/>
      <c r="ANP12" s="1008"/>
      <c r="ANQ12" s="1396"/>
      <c r="ANR12" s="416"/>
      <c r="ANS12" s="416"/>
      <c r="ANT12" s="416"/>
      <c r="ANU12" s="416"/>
      <c r="ANV12" s="416"/>
      <c r="ANW12" s="416"/>
      <c r="ANX12" s="416"/>
      <c r="ANY12" s="416"/>
      <c r="ANZ12" s="416"/>
      <c r="AOA12" s="416"/>
      <c r="AOB12" s="1008"/>
      <c r="AOC12" s="1396"/>
      <c r="AOD12" s="416"/>
      <c r="AOE12" s="416"/>
      <c r="AOF12" s="416"/>
      <c r="AOG12" s="416"/>
      <c r="AOH12" s="416"/>
      <c r="AOI12" s="416"/>
      <c r="AOJ12" s="416"/>
      <c r="AOK12" s="416"/>
      <c r="AOL12" s="416"/>
      <c r="AOM12" s="416"/>
      <c r="AON12" s="1008"/>
      <c r="AOO12" s="1396"/>
      <c r="AOP12" s="416"/>
      <c r="AOQ12" s="416"/>
      <c r="AOR12" s="416"/>
      <c r="AOS12" s="416"/>
      <c r="AOT12" s="416"/>
      <c r="AOU12" s="416"/>
      <c r="AOV12" s="416"/>
      <c r="AOW12" s="416"/>
      <c r="AOX12" s="416"/>
      <c r="AOY12" s="416"/>
      <c r="AOZ12" s="1008"/>
      <c r="APA12" s="1396"/>
      <c r="APB12" s="416"/>
      <c r="APC12" s="416"/>
      <c r="APD12" s="416"/>
      <c r="APE12" s="416"/>
      <c r="APF12" s="416"/>
      <c r="APG12" s="416"/>
      <c r="APH12" s="416"/>
      <c r="API12" s="416"/>
      <c r="APJ12" s="416"/>
      <c r="APK12" s="416"/>
      <c r="APL12" s="1008"/>
      <c r="APM12" s="1396"/>
      <c r="APN12" s="416"/>
      <c r="APO12" s="416"/>
      <c r="APP12" s="416"/>
      <c r="APQ12" s="416"/>
      <c r="APR12" s="416"/>
      <c r="APS12" s="416"/>
      <c r="APT12" s="416"/>
      <c r="APU12" s="416"/>
      <c r="APV12" s="416"/>
      <c r="APW12" s="416"/>
      <c r="APX12" s="1008"/>
      <c r="APY12" s="1396"/>
      <c r="APZ12" s="416"/>
      <c r="AQA12" s="416"/>
      <c r="AQB12" s="416"/>
      <c r="AQC12" s="416"/>
      <c r="AQD12" s="416"/>
      <c r="AQE12" s="416"/>
      <c r="AQF12" s="416"/>
      <c r="AQG12" s="416"/>
      <c r="AQH12" s="416"/>
      <c r="AQI12" s="416"/>
      <c r="AQJ12" s="1008"/>
      <c r="AQK12" s="1396"/>
      <c r="AQL12" s="416"/>
      <c r="AQM12" s="416"/>
      <c r="AQN12" s="416"/>
      <c r="AQO12" s="416"/>
      <c r="AQP12" s="416"/>
      <c r="AQQ12" s="416"/>
      <c r="AQR12" s="416"/>
      <c r="AQS12" s="416"/>
      <c r="AQT12" s="416"/>
      <c r="AQU12" s="416"/>
      <c r="AQV12" s="1008"/>
      <c r="AQW12" s="1396"/>
      <c r="AQX12" s="416"/>
      <c r="AQY12" s="416"/>
      <c r="AQZ12" s="416"/>
      <c r="ARA12" s="416"/>
      <c r="ARB12" s="416"/>
      <c r="ARC12" s="416"/>
      <c r="ARD12" s="416"/>
      <c r="ARE12" s="416"/>
      <c r="ARF12" s="416"/>
      <c r="ARG12" s="416"/>
      <c r="ARH12" s="1008"/>
      <c r="ARI12" s="1396"/>
      <c r="ARJ12" s="416"/>
      <c r="ARK12" s="416"/>
      <c r="ARL12" s="416"/>
      <c r="ARM12" s="416"/>
      <c r="ARN12" s="416"/>
      <c r="ARO12" s="416"/>
      <c r="ARP12" s="416"/>
      <c r="ARQ12" s="416"/>
      <c r="ARR12" s="416"/>
      <c r="ARS12" s="416"/>
      <c r="ART12" s="1008"/>
      <c r="ARU12" s="1396"/>
      <c r="ARV12" s="416"/>
      <c r="ARW12" s="416"/>
      <c r="ARX12" s="416"/>
      <c r="ARY12" s="416"/>
      <c r="ARZ12" s="416"/>
      <c r="ASA12" s="416"/>
      <c r="ASB12" s="416"/>
      <c r="ASC12" s="416"/>
      <c r="ASD12" s="416"/>
      <c r="ASE12" s="416"/>
      <c r="ASF12" s="1008"/>
      <c r="ASG12" s="1396"/>
      <c r="ASH12" s="416"/>
      <c r="ASI12" s="416"/>
      <c r="ASJ12" s="416"/>
      <c r="ASK12" s="416"/>
      <c r="ASL12" s="416"/>
      <c r="ASM12" s="416"/>
      <c r="ASN12" s="416"/>
      <c r="ASO12" s="416"/>
      <c r="ASP12" s="416"/>
      <c r="ASQ12" s="416"/>
      <c r="ASR12" s="1008"/>
      <c r="ASS12" s="1396"/>
      <c r="AST12" s="416"/>
      <c r="ASU12" s="416"/>
      <c r="ASV12" s="416"/>
      <c r="ASW12" s="416"/>
      <c r="ASX12" s="416"/>
      <c r="ASY12" s="416"/>
      <c r="ASZ12" s="416"/>
      <c r="ATA12" s="416"/>
      <c r="ATB12" s="416"/>
      <c r="ATC12" s="416"/>
      <c r="ATD12" s="1008"/>
      <c r="ATE12" s="1396"/>
      <c r="ATF12" s="416"/>
      <c r="ATG12" s="416"/>
      <c r="ATH12" s="416"/>
      <c r="ATI12" s="416"/>
      <c r="ATJ12" s="416"/>
      <c r="ATK12" s="416"/>
      <c r="ATL12" s="416"/>
      <c r="ATM12" s="416"/>
      <c r="ATN12" s="416"/>
      <c r="ATO12" s="416"/>
      <c r="ATP12" s="1008"/>
      <c r="ATQ12" s="1396"/>
      <c r="ATR12" s="416"/>
      <c r="ATS12" s="416"/>
      <c r="ATT12" s="416"/>
      <c r="ATU12" s="416"/>
      <c r="ATV12" s="416"/>
      <c r="ATW12" s="416"/>
      <c r="ATX12" s="416"/>
      <c r="ATY12" s="416"/>
      <c r="ATZ12" s="416"/>
      <c r="AUA12" s="416"/>
      <c r="AUB12" s="1008"/>
      <c r="AUC12" s="1396"/>
      <c r="AUD12" s="416"/>
      <c r="AUE12" s="416"/>
      <c r="AUF12" s="416"/>
      <c r="AUG12" s="416"/>
      <c r="AUH12" s="416"/>
      <c r="AUI12" s="416"/>
      <c r="AUJ12" s="416"/>
      <c r="AUK12" s="416"/>
      <c r="AUL12" s="416"/>
      <c r="AUM12" s="416"/>
      <c r="AUN12" s="1008"/>
      <c r="AUO12" s="1396"/>
      <c r="AUP12" s="416"/>
      <c r="AUQ12" s="416"/>
      <c r="AUR12" s="416"/>
      <c r="AUS12" s="416"/>
      <c r="AUT12" s="416"/>
      <c r="AUU12" s="416"/>
      <c r="AUV12" s="416"/>
      <c r="AUW12" s="416"/>
      <c r="AUX12" s="416"/>
      <c r="AUY12" s="416"/>
      <c r="AUZ12" s="1008"/>
      <c r="AVA12" s="1396"/>
      <c r="AVB12" s="416"/>
      <c r="AVC12" s="416"/>
      <c r="AVD12" s="416"/>
      <c r="AVE12" s="416"/>
      <c r="AVF12" s="416"/>
      <c r="AVG12" s="416"/>
      <c r="AVH12" s="416"/>
      <c r="AVI12" s="416"/>
      <c r="AVJ12" s="416"/>
      <c r="AVK12" s="416"/>
      <c r="AVL12" s="1008"/>
      <c r="AVM12" s="1396"/>
      <c r="AVN12" s="416"/>
      <c r="AVO12" s="416"/>
      <c r="AVP12" s="416"/>
      <c r="AVQ12" s="416"/>
      <c r="AVR12" s="416"/>
      <c r="AVS12" s="416"/>
      <c r="AVT12" s="416"/>
      <c r="AVU12" s="416"/>
      <c r="AVV12" s="416"/>
      <c r="AVW12" s="416"/>
      <c r="AVX12" s="1008"/>
      <c r="AVY12" s="1396"/>
      <c r="AVZ12" s="416"/>
      <c r="AWA12" s="416"/>
      <c r="AWB12" s="416"/>
      <c r="AWC12" s="416"/>
      <c r="AWD12" s="416"/>
      <c r="AWE12" s="416"/>
      <c r="AWF12" s="416"/>
      <c r="AWG12" s="416"/>
      <c r="AWH12" s="416"/>
      <c r="AWI12" s="416"/>
      <c r="AWJ12" s="1008"/>
      <c r="AWK12" s="1396"/>
      <c r="AWL12" s="416"/>
      <c r="AWM12" s="416"/>
      <c r="AWN12" s="416"/>
      <c r="AWO12" s="416"/>
      <c r="AWP12" s="416"/>
      <c r="AWQ12" s="416"/>
      <c r="AWR12" s="416"/>
      <c r="AWS12" s="416"/>
      <c r="AWT12" s="416"/>
      <c r="AWU12" s="416"/>
      <c r="AWV12" s="1008"/>
      <c r="AWW12" s="1396"/>
      <c r="AWX12" s="416"/>
      <c r="AWY12" s="416"/>
      <c r="AWZ12" s="416"/>
      <c r="AXA12" s="416"/>
      <c r="AXB12" s="416"/>
      <c r="AXC12" s="416"/>
      <c r="AXD12" s="416"/>
      <c r="AXE12" s="416"/>
      <c r="AXF12" s="416"/>
      <c r="AXG12" s="416"/>
      <c r="AXH12" s="1008"/>
      <c r="AXI12" s="1396"/>
      <c r="AXJ12" s="416"/>
      <c r="AXK12" s="416"/>
      <c r="AXL12" s="416"/>
      <c r="AXM12" s="416"/>
      <c r="AXN12" s="416"/>
      <c r="AXO12" s="416"/>
      <c r="AXP12" s="416"/>
      <c r="AXQ12" s="416"/>
      <c r="AXR12" s="416"/>
      <c r="AXS12" s="416"/>
      <c r="AXT12" s="1008"/>
      <c r="AXU12" s="1396"/>
      <c r="AXV12" s="416"/>
      <c r="AXW12" s="416"/>
      <c r="AXX12" s="416"/>
      <c r="AXY12" s="416"/>
      <c r="AXZ12" s="416"/>
      <c r="AYA12" s="416"/>
      <c r="AYB12" s="416"/>
      <c r="AYC12" s="416"/>
      <c r="AYD12" s="416"/>
      <c r="AYE12" s="416"/>
      <c r="AYF12" s="1008"/>
      <c r="AYG12" s="1396"/>
      <c r="AYH12" s="416"/>
      <c r="AYI12" s="416"/>
      <c r="AYJ12" s="416"/>
      <c r="AYK12" s="416"/>
      <c r="AYL12" s="416"/>
      <c r="AYM12" s="416"/>
      <c r="AYN12" s="416"/>
      <c r="AYO12" s="416"/>
      <c r="AYP12" s="416"/>
      <c r="AYQ12" s="416"/>
      <c r="AYR12" s="1008"/>
      <c r="AYS12" s="1396"/>
      <c r="AYT12" s="416"/>
      <c r="AYU12" s="416"/>
      <c r="AYV12" s="416"/>
      <c r="AYW12" s="416"/>
      <c r="AYX12" s="416"/>
      <c r="AYY12" s="416"/>
      <c r="AYZ12" s="416"/>
      <c r="AZA12" s="416"/>
      <c r="AZB12" s="416"/>
      <c r="AZC12" s="416"/>
      <c r="AZD12" s="1008"/>
      <c r="AZE12" s="1396"/>
      <c r="AZF12" s="416"/>
      <c r="AZG12" s="416"/>
      <c r="AZH12" s="416"/>
      <c r="AZI12" s="416"/>
      <c r="AZJ12" s="416"/>
      <c r="AZK12" s="416"/>
      <c r="AZL12" s="416"/>
      <c r="AZM12" s="416"/>
      <c r="AZN12" s="416"/>
      <c r="AZO12" s="416"/>
      <c r="AZP12" s="1008"/>
      <c r="AZQ12" s="1396"/>
      <c r="AZR12" s="416"/>
      <c r="AZS12" s="416"/>
      <c r="AZT12" s="416"/>
      <c r="AZU12" s="416"/>
      <c r="AZV12" s="416"/>
      <c r="AZW12" s="416"/>
      <c r="AZX12" s="416"/>
      <c r="AZY12" s="416"/>
      <c r="AZZ12" s="416"/>
      <c r="BAA12" s="416"/>
      <c r="BAB12" s="1008"/>
      <c r="BAC12" s="1396"/>
      <c r="BAD12" s="416"/>
      <c r="BAE12" s="416"/>
      <c r="BAF12" s="416"/>
      <c r="BAG12" s="416"/>
      <c r="BAH12" s="416"/>
      <c r="BAI12" s="416"/>
      <c r="BAJ12" s="416"/>
      <c r="BAK12" s="416"/>
      <c r="BAL12" s="416"/>
      <c r="BAM12" s="416"/>
      <c r="BAN12" s="1008"/>
      <c r="BAO12" s="1396"/>
      <c r="BAP12" s="416"/>
      <c r="BAQ12" s="416"/>
      <c r="BAR12" s="416"/>
      <c r="BAS12" s="416"/>
      <c r="BAT12" s="416"/>
      <c r="BAU12" s="416"/>
      <c r="BAV12" s="416"/>
      <c r="BAW12" s="416"/>
      <c r="BAX12" s="416"/>
      <c r="BAY12" s="416"/>
      <c r="BAZ12" s="1008"/>
      <c r="BBA12" s="1396"/>
      <c r="BBB12" s="416"/>
      <c r="BBC12" s="416"/>
      <c r="BBD12" s="416"/>
      <c r="BBE12" s="416"/>
      <c r="BBF12" s="416"/>
      <c r="BBG12" s="416"/>
      <c r="BBH12" s="416"/>
      <c r="BBI12" s="416"/>
      <c r="BBJ12" s="416"/>
      <c r="BBK12" s="416"/>
      <c r="BBL12" s="1008"/>
      <c r="BBM12" s="1396"/>
      <c r="BBN12" s="416"/>
      <c r="BBO12" s="416"/>
      <c r="BBP12" s="416"/>
      <c r="BBQ12" s="416"/>
      <c r="BBR12" s="416"/>
      <c r="BBS12" s="416"/>
      <c r="BBT12" s="416"/>
      <c r="BBU12" s="416"/>
      <c r="BBV12" s="416"/>
      <c r="BBW12" s="416"/>
      <c r="BBX12" s="1008"/>
      <c r="BBY12" s="1396"/>
      <c r="BBZ12" s="416"/>
      <c r="BCA12" s="416"/>
      <c r="BCB12" s="416"/>
      <c r="BCC12" s="416"/>
      <c r="BCD12" s="416"/>
      <c r="BCE12" s="416"/>
      <c r="BCF12" s="416"/>
      <c r="BCG12" s="416"/>
      <c r="BCH12" s="416"/>
      <c r="BCI12" s="416"/>
      <c r="BCJ12" s="1008"/>
      <c r="BCK12" s="1396"/>
      <c r="BCL12" s="416"/>
      <c r="BCM12" s="416"/>
      <c r="BCN12" s="416"/>
      <c r="BCO12" s="416"/>
      <c r="BCP12" s="416"/>
      <c r="BCQ12" s="416"/>
      <c r="BCR12" s="416"/>
      <c r="BCS12" s="416"/>
      <c r="BCT12" s="416"/>
      <c r="BCU12" s="416"/>
      <c r="BCV12" s="1008"/>
      <c r="BCW12" s="1396"/>
      <c r="BCX12" s="416"/>
      <c r="BCY12" s="416"/>
      <c r="BCZ12" s="416"/>
      <c r="BDA12" s="416"/>
      <c r="BDB12" s="416"/>
      <c r="BDC12" s="416"/>
      <c r="BDD12" s="416"/>
      <c r="BDE12" s="416"/>
      <c r="BDF12" s="416"/>
      <c r="BDG12" s="416"/>
      <c r="BDH12" s="1008"/>
      <c r="BDI12" s="1396"/>
      <c r="BDJ12" s="416"/>
      <c r="BDK12" s="416"/>
      <c r="BDL12" s="416"/>
      <c r="BDM12" s="416"/>
      <c r="BDN12" s="416"/>
      <c r="BDO12" s="416"/>
      <c r="BDP12" s="416"/>
      <c r="BDQ12" s="416"/>
      <c r="BDR12" s="416"/>
      <c r="BDS12" s="416"/>
      <c r="BDT12" s="1008"/>
      <c r="BDU12" s="1396"/>
      <c r="BDV12" s="416"/>
      <c r="BDW12" s="416"/>
      <c r="BDX12" s="416"/>
      <c r="BDY12" s="416"/>
      <c r="BDZ12" s="416"/>
      <c r="BEA12" s="416"/>
      <c r="BEB12" s="416"/>
      <c r="BEC12" s="416"/>
      <c r="BED12" s="416"/>
      <c r="BEE12" s="416"/>
      <c r="BEF12" s="1008"/>
      <c r="BEG12" s="1396"/>
      <c r="BEH12" s="416"/>
      <c r="BEI12" s="416"/>
      <c r="BEJ12" s="416"/>
      <c r="BEK12" s="416"/>
      <c r="BEL12" s="416"/>
      <c r="BEM12" s="416"/>
      <c r="BEN12" s="416"/>
      <c r="BEO12" s="416"/>
      <c r="BEP12" s="416"/>
      <c r="BEQ12" s="416"/>
      <c r="BER12" s="1008"/>
      <c r="BES12" s="1396"/>
      <c r="BET12" s="416"/>
      <c r="BEU12" s="416"/>
      <c r="BEV12" s="416"/>
      <c r="BEW12" s="416"/>
      <c r="BEX12" s="416"/>
      <c r="BEY12" s="416"/>
      <c r="BEZ12" s="416"/>
      <c r="BFA12" s="416"/>
      <c r="BFB12" s="416"/>
      <c r="BFC12" s="416"/>
      <c r="BFD12" s="1008"/>
      <c r="BFE12" s="1396"/>
      <c r="BFF12" s="416"/>
      <c r="BFG12" s="416"/>
      <c r="BFH12" s="416"/>
      <c r="BFI12" s="416"/>
      <c r="BFJ12" s="416"/>
      <c r="BFK12" s="416"/>
      <c r="BFL12" s="416"/>
      <c r="BFM12" s="416"/>
      <c r="BFN12" s="416"/>
      <c r="BFO12" s="416"/>
      <c r="BFP12" s="1008"/>
      <c r="BFQ12" s="1396"/>
      <c r="BFR12" s="416"/>
      <c r="BFS12" s="416"/>
      <c r="BFT12" s="416"/>
      <c r="BFU12" s="416"/>
      <c r="BFV12" s="416"/>
      <c r="BFW12" s="416"/>
      <c r="BFX12" s="416"/>
      <c r="BFY12" s="416"/>
      <c r="BFZ12" s="416"/>
      <c r="BGA12" s="416"/>
      <c r="BGB12" s="1008"/>
      <c r="BGC12" s="1396"/>
      <c r="BGD12" s="416"/>
      <c r="BGE12" s="416"/>
      <c r="BGF12" s="416"/>
      <c r="BGG12" s="416"/>
      <c r="BGH12" s="416"/>
      <c r="BGI12" s="416"/>
      <c r="BGJ12" s="416"/>
      <c r="BGK12" s="416"/>
      <c r="BGL12" s="416"/>
      <c r="BGM12" s="416"/>
      <c r="BGN12" s="1008"/>
      <c r="BGO12" s="1396"/>
      <c r="BGP12" s="416"/>
      <c r="BGQ12" s="416"/>
      <c r="BGR12" s="416"/>
      <c r="BGS12" s="416"/>
      <c r="BGT12" s="416"/>
      <c r="BGU12" s="416"/>
      <c r="BGV12" s="416"/>
      <c r="BGW12" s="416"/>
      <c r="BGX12" s="416"/>
      <c r="BGY12" s="416"/>
      <c r="BGZ12" s="1008"/>
      <c r="BHA12" s="1396"/>
      <c r="BHB12" s="416"/>
      <c r="BHC12" s="416"/>
      <c r="BHD12" s="416"/>
      <c r="BHE12" s="416"/>
      <c r="BHF12" s="416"/>
      <c r="BHG12" s="416"/>
      <c r="BHH12" s="416"/>
      <c r="BHI12" s="416"/>
      <c r="BHJ12" s="416"/>
      <c r="BHK12" s="416"/>
      <c r="BHL12" s="1008"/>
      <c r="BHM12" s="1396"/>
      <c r="BHN12" s="416"/>
      <c r="BHO12" s="416"/>
      <c r="BHP12" s="416"/>
      <c r="BHQ12" s="416"/>
      <c r="BHR12" s="416"/>
      <c r="BHS12" s="416"/>
      <c r="BHT12" s="416"/>
      <c r="BHU12" s="416"/>
      <c r="BHV12" s="416"/>
      <c r="BHW12" s="416"/>
      <c r="BHX12" s="1008"/>
      <c r="BHY12" s="1396"/>
      <c r="BHZ12" s="416"/>
      <c r="BIA12" s="416"/>
      <c r="BIB12" s="416"/>
      <c r="BIC12" s="416"/>
      <c r="BID12" s="416"/>
      <c r="BIE12" s="416"/>
      <c r="BIF12" s="416"/>
      <c r="BIG12" s="416"/>
      <c r="BIH12" s="416"/>
      <c r="BII12" s="416"/>
      <c r="BIJ12" s="1008"/>
      <c r="BIK12" s="1396"/>
      <c r="BIL12" s="416"/>
      <c r="BIM12" s="416"/>
      <c r="BIN12" s="416"/>
      <c r="BIO12" s="416"/>
      <c r="BIP12" s="416"/>
      <c r="BIQ12" s="416"/>
      <c r="BIR12" s="416"/>
      <c r="BIS12" s="416"/>
      <c r="BIT12" s="416"/>
      <c r="BIU12" s="416"/>
      <c r="BIV12" s="1008"/>
      <c r="BIW12" s="1396"/>
      <c r="BIX12" s="416"/>
      <c r="BIY12" s="416"/>
      <c r="BIZ12" s="416"/>
      <c r="BJA12" s="416"/>
      <c r="BJB12" s="416"/>
      <c r="BJC12" s="416"/>
      <c r="BJD12" s="416"/>
      <c r="BJE12" s="416"/>
      <c r="BJF12" s="416"/>
      <c r="BJG12" s="416"/>
      <c r="BJH12" s="1008"/>
      <c r="BJI12" s="1396"/>
      <c r="BJJ12" s="416"/>
      <c r="BJK12" s="416"/>
      <c r="BJL12" s="416"/>
      <c r="BJM12" s="416"/>
      <c r="BJN12" s="416"/>
      <c r="BJO12" s="416"/>
      <c r="BJP12" s="416"/>
      <c r="BJQ12" s="416"/>
      <c r="BJR12" s="416"/>
      <c r="BJS12" s="416"/>
      <c r="BJT12" s="1008"/>
      <c r="BJU12" s="1396"/>
      <c r="BJV12" s="416"/>
      <c r="BJW12" s="416"/>
      <c r="BJX12" s="416"/>
      <c r="BJY12" s="416"/>
      <c r="BJZ12" s="416"/>
      <c r="BKA12" s="416"/>
      <c r="BKB12" s="416"/>
      <c r="BKC12" s="416"/>
      <c r="BKD12" s="416"/>
      <c r="BKE12" s="416"/>
      <c r="BKF12" s="1008"/>
      <c r="BKG12" s="1396"/>
      <c r="BKH12" s="416"/>
      <c r="BKI12" s="416"/>
      <c r="BKJ12" s="416"/>
      <c r="BKK12" s="416"/>
      <c r="BKL12" s="416"/>
      <c r="BKM12" s="416"/>
      <c r="BKN12" s="416"/>
      <c r="BKO12" s="416"/>
      <c r="BKP12" s="416"/>
      <c r="BKQ12" s="416"/>
      <c r="BKR12" s="1008"/>
      <c r="BKS12" s="1396"/>
      <c r="BKT12" s="416"/>
      <c r="BKU12" s="416"/>
      <c r="BKV12" s="416"/>
      <c r="BKW12" s="416"/>
      <c r="BKX12" s="416"/>
      <c r="BKY12" s="416"/>
      <c r="BKZ12" s="416"/>
      <c r="BLA12" s="416"/>
      <c r="BLB12" s="416"/>
      <c r="BLC12" s="416"/>
      <c r="BLD12" s="1008"/>
      <c r="BLE12" s="1396"/>
      <c r="BLF12" s="416"/>
      <c r="BLG12" s="416"/>
      <c r="BLH12" s="416"/>
      <c r="BLI12" s="416"/>
      <c r="BLJ12" s="416"/>
      <c r="BLK12" s="416"/>
      <c r="BLL12" s="416"/>
      <c r="BLM12" s="416"/>
      <c r="BLN12" s="416"/>
      <c r="BLO12" s="416"/>
      <c r="BLP12" s="1008"/>
      <c r="BLQ12" s="1396"/>
      <c r="BLR12" s="416"/>
      <c r="BLS12" s="416"/>
      <c r="BLT12" s="416"/>
      <c r="BLU12" s="416"/>
      <c r="BLV12" s="416"/>
      <c r="BLW12" s="416"/>
      <c r="BLX12" s="416"/>
      <c r="BLY12" s="416"/>
      <c r="BLZ12" s="416"/>
      <c r="BMA12" s="416"/>
      <c r="BMB12" s="1008"/>
      <c r="BMC12" s="1396"/>
      <c r="BMD12" s="416"/>
      <c r="BME12" s="416"/>
      <c r="BMF12" s="416"/>
      <c r="BMG12" s="416"/>
      <c r="BMH12" s="416"/>
      <c r="BMI12" s="416"/>
      <c r="BMJ12" s="416"/>
      <c r="BMK12" s="416"/>
      <c r="BML12" s="416"/>
      <c r="BMM12" s="416"/>
      <c r="BMN12" s="1008"/>
      <c r="BMO12" s="1396"/>
      <c r="BMP12" s="416"/>
      <c r="BMQ12" s="416"/>
      <c r="BMR12" s="416"/>
      <c r="BMS12" s="416"/>
      <c r="BMT12" s="416"/>
      <c r="BMU12" s="416"/>
      <c r="BMV12" s="416"/>
      <c r="BMW12" s="416"/>
      <c r="BMX12" s="416"/>
      <c r="BMY12" s="416"/>
      <c r="BMZ12" s="1008"/>
      <c r="BNA12" s="1396"/>
      <c r="BNB12" s="416"/>
      <c r="BNC12" s="416"/>
      <c r="BND12" s="416"/>
      <c r="BNE12" s="416"/>
      <c r="BNF12" s="416"/>
      <c r="BNG12" s="416"/>
      <c r="BNH12" s="416"/>
      <c r="BNI12" s="416"/>
      <c r="BNJ12" s="416"/>
      <c r="BNK12" s="416"/>
      <c r="BNL12" s="1008"/>
      <c r="BNM12" s="1396"/>
      <c r="BNN12" s="416"/>
      <c r="BNO12" s="416"/>
      <c r="BNP12" s="416"/>
      <c r="BNQ12" s="416"/>
      <c r="BNR12" s="416"/>
      <c r="BNS12" s="416"/>
      <c r="BNT12" s="416"/>
      <c r="BNU12" s="416"/>
      <c r="BNV12" s="416"/>
      <c r="BNW12" s="416"/>
      <c r="BNX12" s="1008"/>
      <c r="BNY12" s="1396"/>
      <c r="BNZ12" s="416"/>
      <c r="BOA12" s="416"/>
      <c r="BOB12" s="416"/>
      <c r="BOC12" s="416"/>
      <c r="BOD12" s="416"/>
      <c r="BOE12" s="416"/>
      <c r="BOF12" s="416"/>
      <c r="BOG12" s="416"/>
      <c r="BOH12" s="416"/>
      <c r="BOI12" s="416"/>
      <c r="BOJ12" s="1008"/>
      <c r="BOK12" s="1396"/>
      <c r="BOL12" s="416"/>
      <c r="BOM12" s="416"/>
      <c r="BON12" s="416"/>
      <c r="BOO12" s="416"/>
      <c r="BOP12" s="416"/>
      <c r="BOQ12" s="416"/>
      <c r="BOR12" s="416"/>
      <c r="BOS12" s="416"/>
      <c r="BOT12" s="416"/>
      <c r="BOU12" s="416"/>
      <c r="BOV12" s="1008"/>
      <c r="BOW12" s="1396"/>
      <c r="BOX12" s="416"/>
      <c r="BOY12" s="416"/>
      <c r="BOZ12" s="416"/>
      <c r="BPA12" s="416"/>
      <c r="BPB12" s="416"/>
      <c r="BPC12" s="416"/>
      <c r="BPD12" s="416"/>
      <c r="BPE12" s="416"/>
      <c r="BPF12" s="416"/>
      <c r="BPG12" s="416"/>
      <c r="BPH12" s="1008"/>
      <c r="BPI12" s="1396"/>
      <c r="BPJ12" s="416"/>
      <c r="BPK12" s="416"/>
      <c r="BPL12" s="416"/>
      <c r="BPM12" s="416"/>
      <c r="BPN12" s="416"/>
      <c r="BPO12" s="416"/>
      <c r="BPP12" s="416"/>
      <c r="BPQ12" s="416"/>
      <c r="BPR12" s="416"/>
      <c r="BPS12" s="416"/>
      <c r="BPT12" s="1008"/>
      <c r="BPU12" s="1396"/>
      <c r="BPV12" s="416"/>
      <c r="BPW12" s="416"/>
      <c r="BPX12" s="416"/>
      <c r="BPY12" s="416"/>
      <c r="BPZ12" s="416"/>
      <c r="BQA12" s="416"/>
      <c r="BQB12" s="416"/>
      <c r="BQC12" s="416"/>
      <c r="BQD12" s="416"/>
      <c r="BQE12" s="416"/>
      <c r="BQF12" s="1008"/>
      <c r="BQG12" s="1396"/>
      <c r="BQH12" s="416"/>
      <c r="BQI12" s="416"/>
      <c r="BQJ12" s="416"/>
      <c r="BQK12" s="416"/>
      <c r="BQL12" s="416"/>
      <c r="BQM12" s="416"/>
      <c r="BQN12" s="416"/>
      <c r="BQO12" s="416"/>
      <c r="BQP12" s="416"/>
      <c r="BQQ12" s="416"/>
      <c r="BQR12" s="1008"/>
      <c r="BQS12" s="1396"/>
      <c r="BQT12" s="416"/>
      <c r="BQU12" s="416"/>
      <c r="BQV12" s="416"/>
      <c r="BQW12" s="416"/>
      <c r="BQX12" s="416"/>
      <c r="BQY12" s="416"/>
      <c r="BQZ12" s="416"/>
      <c r="BRA12" s="416"/>
      <c r="BRB12" s="416"/>
      <c r="BRC12" s="416"/>
      <c r="BRD12" s="1008"/>
      <c r="BRE12" s="1396"/>
      <c r="BRF12" s="416"/>
      <c r="BRG12" s="416"/>
      <c r="BRH12" s="416"/>
      <c r="BRI12" s="416"/>
      <c r="BRJ12" s="416"/>
      <c r="BRK12" s="416"/>
      <c r="BRL12" s="416"/>
      <c r="BRM12" s="416"/>
      <c r="BRN12" s="416"/>
      <c r="BRO12" s="416"/>
      <c r="BRP12" s="1008"/>
      <c r="BRQ12" s="1396"/>
      <c r="BRR12" s="416"/>
      <c r="BRS12" s="416"/>
      <c r="BRT12" s="416"/>
      <c r="BRU12" s="416"/>
      <c r="BRV12" s="416"/>
      <c r="BRW12" s="416"/>
      <c r="BRX12" s="416"/>
      <c r="BRY12" s="416"/>
      <c r="BRZ12" s="416"/>
      <c r="BSA12" s="416"/>
      <c r="BSB12" s="1008"/>
      <c r="BSC12" s="1396"/>
      <c r="BSD12" s="416"/>
      <c r="BSE12" s="416"/>
      <c r="BSF12" s="416"/>
      <c r="BSG12" s="416"/>
      <c r="BSH12" s="416"/>
      <c r="BSI12" s="416"/>
      <c r="BSJ12" s="416"/>
      <c r="BSK12" s="416"/>
      <c r="BSL12" s="416"/>
      <c r="BSM12" s="416"/>
      <c r="BSN12" s="1008"/>
      <c r="BSO12" s="1396"/>
      <c r="BSP12" s="416"/>
      <c r="BSQ12" s="416"/>
      <c r="BSR12" s="416"/>
      <c r="BSS12" s="416"/>
      <c r="BST12" s="416"/>
      <c r="BSU12" s="416"/>
      <c r="BSV12" s="416"/>
      <c r="BSW12" s="416"/>
      <c r="BSX12" s="416"/>
      <c r="BSY12" s="416"/>
      <c r="BSZ12" s="1008"/>
      <c r="BTA12" s="1396"/>
      <c r="BTB12" s="416"/>
      <c r="BTC12" s="416"/>
      <c r="BTD12" s="416"/>
      <c r="BTE12" s="416"/>
      <c r="BTF12" s="416"/>
      <c r="BTG12" s="416"/>
      <c r="BTH12" s="416"/>
      <c r="BTI12" s="416"/>
      <c r="BTJ12" s="416"/>
      <c r="BTK12" s="416"/>
      <c r="BTL12" s="1008"/>
      <c r="BTM12" s="1396"/>
      <c r="BTN12" s="416"/>
      <c r="BTO12" s="416"/>
      <c r="BTP12" s="416"/>
      <c r="BTQ12" s="416"/>
      <c r="BTR12" s="416"/>
      <c r="BTS12" s="416"/>
      <c r="BTT12" s="416"/>
      <c r="BTU12" s="416"/>
      <c r="BTV12" s="416"/>
      <c r="BTW12" s="416"/>
      <c r="BTX12" s="1008"/>
      <c r="BTY12" s="1396"/>
      <c r="BTZ12" s="416"/>
      <c r="BUA12" s="416"/>
      <c r="BUB12" s="416"/>
      <c r="BUC12" s="416"/>
      <c r="BUD12" s="416"/>
      <c r="BUE12" s="416"/>
      <c r="BUF12" s="416"/>
      <c r="BUG12" s="416"/>
      <c r="BUH12" s="416"/>
      <c r="BUI12" s="416"/>
      <c r="BUJ12" s="1008"/>
      <c r="BUK12" s="1396"/>
      <c r="BUL12" s="416"/>
      <c r="BUM12" s="416"/>
      <c r="BUN12" s="416"/>
      <c r="BUO12" s="416"/>
      <c r="BUP12" s="416"/>
      <c r="BUQ12" s="416"/>
      <c r="BUR12" s="416"/>
      <c r="BUS12" s="416"/>
      <c r="BUT12" s="416"/>
      <c r="BUU12" s="416"/>
      <c r="BUV12" s="1008"/>
      <c r="BUW12" s="1396"/>
      <c r="BUX12" s="416"/>
      <c r="BUY12" s="416"/>
      <c r="BUZ12" s="416"/>
      <c r="BVA12" s="416"/>
      <c r="BVB12" s="416"/>
      <c r="BVC12" s="416"/>
      <c r="BVD12" s="416"/>
      <c r="BVE12" s="416"/>
      <c r="BVF12" s="416"/>
      <c r="BVG12" s="416"/>
      <c r="BVH12" s="1008"/>
      <c r="BVI12" s="1396"/>
      <c r="BVJ12" s="416"/>
      <c r="BVK12" s="416"/>
      <c r="BVL12" s="416"/>
      <c r="BVM12" s="416"/>
      <c r="BVN12" s="416"/>
      <c r="BVO12" s="416"/>
      <c r="BVP12" s="416"/>
      <c r="BVQ12" s="416"/>
      <c r="BVR12" s="416"/>
      <c r="BVS12" s="416"/>
      <c r="BVT12" s="1008"/>
      <c r="BVU12" s="1396"/>
      <c r="BVV12" s="416"/>
      <c r="BVW12" s="416"/>
      <c r="BVX12" s="416"/>
      <c r="BVY12" s="416"/>
      <c r="BVZ12" s="416"/>
      <c r="BWA12" s="416"/>
      <c r="BWB12" s="416"/>
      <c r="BWC12" s="416"/>
      <c r="BWD12" s="416"/>
      <c r="BWE12" s="416"/>
      <c r="BWF12" s="1008"/>
      <c r="BWG12" s="1396"/>
      <c r="BWH12" s="416"/>
      <c r="BWI12" s="416"/>
      <c r="BWJ12" s="416"/>
      <c r="BWK12" s="416"/>
      <c r="BWL12" s="416"/>
      <c r="BWM12" s="416"/>
      <c r="BWN12" s="416"/>
      <c r="BWO12" s="416"/>
      <c r="BWP12" s="416"/>
      <c r="BWQ12" s="416"/>
      <c r="BWR12" s="1008"/>
      <c r="BWS12" s="1396"/>
      <c r="BWT12" s="416"/>
      <c r="BWU12" s="416"/>
      <c r="BWV12" s="416"/>
      <c r="BWW12" s="416"/>
      <c r="BWX12" s="416"/>
      <c r="BWY12" s="416"/>
      <c r="BWZ12" s="416"/>
      <c r="BXA12" s="416"/>
      <c r="BXB12" s="416"/>
      <c r="BXC12" s="416"/>
      <c r="BXD12" s="1008"/>
      <c r="BXE12" s="1396"/>
      <c r="BXF12" s="416"/>
      <c r="BXG12" s="416"/>
      <c r="BXH12" s="416"/>
      <c r="BXI12" s="416"/>
      <c r="BXJ12" s="416"/>
      <c r="BXK12" s="416"/>
      <c r="BXL12" s="416"/>
      <c r="BXM12" s="416"/>
      <c r="BXN12" s="416"/>
      <c r="BXO12" s="416"/>
      <c r="BXP12" s="1008"/>
      <c r="BXQ12" s="1396"/>
      <c r="BXR12" s="416"/>
      <c r="BXS12" s="416"/>
      <c r="BXT12" s="416"/>
      <c r="BXU12" s="416"/>
      <c r="BXV12" s="416"/>
      <c r="BXW12" s="416"/>
      <c r="BXX12" s="416"/>
      <c r="BXY12" s="416"/>
      <c r="BXZ12" s="416"/>
      <c r="BYA12" s="416"/>
      <c r="BYB12" s="1008"/>
      <c r="BYC12" s="1396"/>
      <c r="BYD12" s="416"/>
      <c r="BYE12" s="416"/>
      <c r="BYF12" s="416"/>
      <c r="BYG12" s="416"/>
      <c r="BYH12" s="416"/>
      <c r="BYI12" s="416"/>
      <c r="BYJ12" s="416"/>
      <c r="BYK12" s="416"/>
      <c r="BYL12" s="416"/>
      <c r="BYM12" s="416"/>
      <c r="BYN12" s="1008"/>
      <c r="BYO12" s="1396"/>
      <c r="BYP12" s="416"/>
      <c r="BYQ12" s="416"/>
      <c r="BYR12" s="416"/>
      <c r="BYS12" s="416"/>
      <c r="BYT12" s="416"/>
      <c r="BYU12" s="416"/>
      <c r="BYV12" s="416"/>
      <c r="BYW12" s="416"/>
      <c r="BYX12" s="416"/>
      <c r="BYY12" s="416"/>
      <c r="BYZ12" s="1008"/>
      <c r="BZA12" s="1396"/>
      <c r="BZB12" s="416"/>
      <c r="BZC12" s="416"/>
      <c r="BZD12" s="416"/>
      <c r="BZE12" s="416"/>
      <c r="BZF12" s="416"/>
      <c r="BZG12" s="416"/>
      <c r="BZH12" s="416"/>
      <c r="BZI12" s="416"/>
      <c r="BZJ12" s="416"/>
      <c r="BZK12" s="416"/>
      <c r="BZL12" s="1008"/>
      <c r="BZM12" s="1396"/>
      <c r="BZN12" s="416"/>
      <c r="BZO12" s="416"/>
      <c r="BZP12" s="416"/>
      <c r="BZQ12" s="416"/>
      <c r="BZR12" s="416"/>
      <c r="BZS12" s="416"/>
      <c r="BZT12" s="416"/>
      <c r="BZU12" s="416"/>
      <c r="BZV12" s="416"/>
      <c r="BZW12" s="416"/>
      <c r="BZX12" s="1008"/>
      <c r="BZY12" s="1396"/>
      <c r="BZZ12" s="416"/>
      <c r="CAA12" s="416"/>
      <c r="CAB12" s="416"/>
      <c r="CAC12" s="416"/>
      <c r="CAD12" s="416"/>
      <c r="CAE12" s="416"/>
      <c r="CAF12" s="416"/>
      <c r="CAG12" s="416"/>
      <c r="CAH12" s="416"/>
      <c r="CAI12" s="416"/>
      <c r="CAJ12" s="1008"/>
      <c r="CAK12" s="1396"/>
      <c r="CAL12" s="416"/>
      <c r="CAM12" s="416"/>
      <c r="CAN12" s="416"/>
      <c r="CAO12" s="416"/>
      <c r="CAP12" s="416"/>
      <c r="CAQ12" s="416"/>
      <c r="CAR12" s="416"/>
      <c r="CAS12" s="416"/>
      <c r="CAT12" s="416"/>
      <c r="CAU12" s="416"/>
      <c r="CAV12" s="1008"/>
      <c r="CAW12" s="1396"/>
      <c r="CAX12" s="416"/>
      <c r="CAY12" s="416"/>
      <c r="CAZ12" s="416"/>
      <c r="CBA12" s="416"/>
      <c r="CBB12" s="416"/>
      <c r="CBC12" s="416"/>
      <c r="CBD12" s="416"/>
      <c r="CBE12" s="416"/>
      <c r="CBF12" s="416"/>
      <c r="CBG12" s="416"/>
      <c r="CBH12" s="1008"/>
      <c r="CBI12" s="1396"/>
      <c r="CBJ12" s="416"/>
      <c r="CBK12" s="416"/>
      <c r="CBL12" s="416"/>
      <c r="CBM12" s="416"/>
      <c r="CBN12" s="416"/>
      <c r="CBO12" s="416"/>
      <c r="CBP12" s="416"/>
      <c r="CBQ12" s="416"/>
      <c r="CBR12" s="416"/>
      <c r="CBS12" s="416"/>
      <c r="CBT12" s="1008"/>
      <c r="CBU12" s="1396"/>
      <c r="CBV12" s="416"/>
      <c r="CBW12" s="416"/>
      <c r="CBX12" s="416"/>
      <c r="CBY12" s="416"/>
      <c r="CBZ12" s="416"/>
      <c r="CCA12" s="416"/>
      <c r="CCB12" s="416"/>
      <c r="CCC12" s="416"/>
      <c r="CCD12" s="416"/>
      <c r="CCE12" s="416"/>
      <c r="CCF12" s="1008"/>
      <c r="CCG12" s="1396"/>
      <c r="CCH12" s="416"/>
      <c r="CCI12" s="416"/>
      <c r="CCJ12" s="416"/>
      <c r="CCK12" s="416"/>
      <c r="CCL12" s="416"/>
      <c r="CCM12" s="416"/>
      <c r="CCN12" s="416"/>
      <c r="CCO12" s="416"/>
      <c r="CCP12" s="416"/>
      <c r="CCQ12" s="416"/>
      <c r="CCR12" s="1008"/>
      <c r="CCS12" s="1396"/>
      <c r="CCT12" s="416"/>
      <c r="CCU12" s="416"/>
      <c r="CCV12" s="416"/>
      <c r="CCW12" s="416"/>
      <c r="CCX12" s="416"/>
      <c r="CCY12" s="416"/>
      <c r="CCZ12" s="416"/>
      <c r="CDA12" s="416"/>
      <c r="CDB12" s="416"/>
      <c r="CDC12" s="416"/>
      <c r="CDD12" s="1008"/>
      <c r="CDE12" s="1396"/>
      <c r="CDF12" s="416"/>
      <c r="CDG12" s="416"/>
      <c r="CDH12" s="416"/>
      <c r="CDI12" s="416"/>
      <c r="CDJ12" s="416"/>
      <c r="CDK12" s="416"/>
      <c r="CDL12" s="416"/>
      <c r="CDM12" s="416"/>
      <c r="CDN12" s="416"/>
      <c r="CDO12" s="416"/>
      <c r="CDP12" s="1008"/>
      <c r="CDQ12" s="1396"/>
      <c r="CDR12" s="416"/>
      <c r="CDS12" s="416"/>
      <c r="CDT12" s="416"/>
      <c r="CDU12" s="416"/>
      <c r="CDV12" s="416"/>
      <c r="CDW12" s="416"/>
      <c r="CDX12" s="416"/>
      <c r="CDY12" s="416"/>
      <c r="CDZ12" s="416"/>
      <c r="CEA12" s="416"/>
      <c r="CEB12" s="1008"/>
      <c r="CEC12" s="1396"/>
      <c r="CED12" s="416"/>
      <c r="CEE12" s="416"/>
      <c r="CEF12" s="416"/>
      <c r="CEG12" s="416"/>
      <c r="CEH12" s="416"/>
      <c r="CEI12" s="416"/>
      <c r="CEJ12" s="416"/>
      <c r="CEK12" s="416"/>
      <c r="CEL12" s="416"/>
      <c r="CEM12" s="416"/>
      <c r="CEN12" s="1008"/>
      <c r="CEO12" s="1396"/>
      <c r="CEP12" s="416"/>
      <c r="CEQ12" s="416"/>
      <c r="CER12" s="416"/>
      <c r="CES12" s="416"/>
      <c r="CET12" s="416"/>
      <c r="CEU12" s="416"/>
      <c r="CEV12" s="416"/>
      <c r="CEW12" s="416"/>
      <c r="CEX12" s="416"/>
      <c r="CEY12" s="416"/>
      <c r="CEZ12" s="1008"/>
      <c r="CFA12" s="1396"/>
      <c r="CFB12" s="416"/>
      <c r="CFC12" s="416"/>
      <c r="CFD12" s="416"/>
      <c r="CFE12" s="416"/>
      <c r="CFF12" s="416"/>
      <c r="CFG12" s="416"/>
      <c r="CFH12" s="416"/>
      <c r="CFI12" s="416"/>
      <c r="CFJ12" s="416"/>
      <c r="CFK12" s="416"/>
      <c r="CFL12" s="1008"/>
      <c r="CFM12" s="1396"/>
      <c r="CFN12" s="416"/>
      <c r="CFO12" s="416"/>
      <c r="CFP12" s="416"/>
      <c r="CFQ12" s="416"/>
      <c r="CFR12" s="416"/>
      <c r="CFS12" s="416"/>
      <c r="CFT12" s="416"/>
      <c r="CFU12" s="416"/>
      <c r="CFV12" s="416"/>
      <c r="CFW12" s="416"/>
      <c r="CFX12" s="1008"/>
      <c r="CFY12" s="1396"/>
      <c r="CFZ12" s="416"/>
      <c r="CGA12" s="416"/>
      <c r="CGB12" s="416"/>
      <c r="CGC12" s="416"/>
      <c r="CGD12" s="416"/>
      <c r="CGE12" s="416"/>
      <c r="CGF12" s="416"/>
      <c r="CGG12" s="416"/>
      <c r="CGH12" s="416"/>
      <c r="CGI12" s="416"/>
      <c r="CGJ12" s="1008"/>
      <c r="CGK12" s="1396"/>
      <c r="CGL12" s="416"/>
      <c r="CGM12" s="416"/>
      <c r="CGN12" s="416"/>
      <c r="CGO12" s="416"/>
      <c r="CGP12" s="416"/>
      <c r="CGQ12" s="416"/>
      <c r="CGR12" s="416"/>
      <c r="CGS12" s="416"/>
      <c r="CGT12" s="416"/>
      <c r="CGU12" s="416"/>
      <c r="CGV12" s="1008"/>
      <c r="CGW12" s="1396"/>
      <c r="CGX12" s="416"/>
      <c r="CGY12" s="416"/>
      <c r="CGZ12" s="416"/>
      <c r="CHA12" s="416"/>
      <c r="CHB12" s="416"/>
      <c r="CHC12" s="416"/>
      <c r="CHD12" s="416"/>
      <c r="CHE12" s="416"/>
      <c r="CHF12" s="416"/>
      <c r="CHG12" s="416"/>
      <c r="CHH12" s="1008"/>
      <c r="CHI12" s="1396"/>
      <c r="CHJ12" s="416"/>
      <c r="CHK12" s="416"/>
      <c r="CHL12" s="416"/>
      <c r="CHM12" s="416"/>
      <c r="CHN12" s="416"/>
      <c r="CHO12" s="416"/>
      <c r="CHP12" s="416"/>
      <c r="CHQ12" s="416"/>
      <c r="CHR12" s="416"/>
      <c r="CHS12" s="416"/>
      <c r="CHT12" s="1008"/>
      <c r="CHU12" s="1396"/>
      <c r="CHV12" s="416"/>
      <c r="CHW12" s="416"/>
      <c r="CHX12" s="416"/>
      <c r="CHY12" s="416"/>
      <c r="CHZ12" s="416"/>
      <c r="CIA12" s="416"/>
      <c r="CIB12" s="416"/>
      <c r="CIC12" s="416"/>
      <c r="CID12" s="416"/>
      <c r="CIE12" s="416"/>
      <c r="CIF12" s="1008"/>
      <c r="CIG12" s="1396"/>
      <c r="CIH12" s="416"/>
      <c r="CII12" s="416"/>
      <c r="CIJ12" s="416"/>
      <c r="CIK12" s="416"/>
      <c r="CIL12" s="416"/>
      <c r="CIM12" s="416"/>
      <c r="CIN12" s="416"/>
      <c r="CIO12" s="416"/>
      <c r="CIP12" s="416"/>
      <c r="CIQ12" s="416"/>
      <c r="CIR12" s="1008"/>
      <c r="CIS12" s="1396"/>
      <c r="CIT12" s="416"/>
      <c r="CIU12" s="416"/>
      <c r="CIV12" s="416"/>
      <c r="CIW12" s="416"/>
      <c r="CIX12" s="416"/>
      <c r="CIY12" s="416"/>
      <c r="CIZ12" s="416"/>
      <c r="CJA12" s="416"/>
      <c r="CJB12" s="416"/>
      <c r="CJC12" s="416"/>
      <c r="CJD12" s="1008"/>
      <c r="CJE12" s="1396"/>
      <c r="CJF12" s="416"/>
      <c r="CJG12" s="416"/>
      <c r="CJH12" s="416"/>
      <c r="CJI12" s="416"/>
      <c r="CJJ12" s="416"/>
      <c r="CJK12" s="416"/>
      <c r="CJL12" s="416"/>
      <c r="CJM12" s="416"/>
      <c r="CJN12" s="416"/>
      <c r="CJO12" s="416"/>
      <c r="CJP12" s="1008"/>
      <c r="CJQ12" s="1396"/>
      <c r="CJR12" s="416"/>
      <c r="CJS12" s="416"/>
      <c r="CJT12" s="416"/>
      <c r="CJU12" s="416"/>
      <c r="CJV12" s="416"/>
      <c r="CJW12" s="416"/>
      <c r="CJX12" s="416"/>
      <c r="CJY12" s="416"/>
      <c r="CJZ12" s="416"/>
      <c r="CKA12" s="416"/>
      <c r="CKB12" s="1008"/>
      <c r="CKC12" s="1396"/>
      <c r="CKD12" s="416"/>
      <c r="CKE12" s="416"/>
      <c r="CKF12" s="416"/>
      <c r="CKG12" s="416"/>
      <c r="CKH12" s="416"/>
      <c r="CKI12" s="416"/>
      <c r="CKJ12" s="416"/>
      <c r="CKK12" s="416"/>
      <c r="CKL12" s="416"/>
      <c r="CKM12" s="416"/>
      <c r="CKN12" s="1008"/>
      <c r="CKO12" s="1396"/>
      <c r="CKP12" s="416"/>
      <c r="CKQ12" s="416"/>
      <c r="CKR12" s="416"/>
      <c r="CKS12" s="416"/>
      <c r="CKT12" s="416"/>
      <c r="CKU12" s="416"/>
      <c r="CKV12" s="416"/>
      <c r="CKW12" s="416"/>
      <c r="CKX12" s="416"/>
      <c r="CKY12" s="416"/>
      <c r="CKZ12" s="1008"/>
      <c r="CLA12" s="1396"/>
      <c r="CLB12" s="416"/>
      <c r="CLC12" s="416"/>
      <c r="CLD12" s="416"/>
      <c r="CLE12" s="416"/>
      <c r="CLF12" s="416"/>
      <c r="CLG12" s="416"/>
      <c r="CLH12" s="416"/>
      <c r="CLI12" s="416"/>
      <c r="CLJ12" s="416"/>
      <c r="CLK12" s="416"/>
      <c r="CLL12" s="1008"/>
      <c r="CLM12" s="1396"/>
      <c r="CLN12" s="416"/>
      <c r="CLO12" s="416"/>
      <c r="CLP12" s="416"/>
      <c r="CLQ12" s="416"/>
      <c r="CLR12" s="416"/>
      <c r="CLS12" s="416"/>
      <c r="CLT12" s="416"/>
      <c r="CLU12" s="416"/>
      <c r="CLV12" s="416"/>
      <c r="CLW12" s="416"/>
      <c r="CLX12" s="1008"/>
      <c r="CLY12" s="1396"/>
      <c r="CLZ12" s="416"/>
      <c r="CMA12" s="416"/>
      <c r="CMB12" s="416"/>
      <c r="CMC12" s="416"/>
      <c r="CMD12" s="416"/>
      <c r="CME12" s="416"/>
      <c r="CMF12" s="416"/>
      <c r="CMG12" s="416"/>
      <c r="CMH12" s="416"/>
      <c r="CMI12" s="416"/>
      <c r="CMJ12" s="1008"/>
      <c r="CMK12" s="1396"/>
      <c r="CML12" s="416"/>
      <c r="CMM12" s="416"/>
      <c r="CMN12" s="416"/>
      <c r="CMO12" s="416"/>
      <c r="CMP12" s="416"/>
      <c r="CMQ12" s="416"/>
      <c r="CMR12" s="416"/>
      <c r="CMS12" s="416"/>
      <c r="CMT12" s="416"/>
      <c r="CMU12" s="416"/>
      <c r="CMV12" s="1008"/>
      <c r="CMW12" s="1396"/>
      <c r="CMX12" s="416"/>
      <c r="CMY12" s="416"/>
      <c r="CMZ12" s="416"/>
      <c r="CNA12" s="416"/>
      <c r="CNB12" s="416"/>
      <c r="CNC12" s="416"/>
      <c r="CND12" s="416"/>
      <c r="CNE12" s="416"/>
      <c r="CNF12" s="416"/>
      <c r="CNG12" s="416"/>
      <c r="CNH12" s="1008"/>
      <c r="CNI12" s="1396"/>
      <c r="CNJ12" s="416"/>
      <c r="CNK12" s="416"/>
      <c r="CNL12" s="416"/>
      <c r="CNM12" s="416"/>
      <c r="CNN12" s="416"/>
      <c r="CNO12" s="416"/>
      <c r="CNP12" s="416"/>
      <c r="CNQ12" s="416"/>
      <c r="CNR12" s="416"/>
      <c r="CNS12" s="416"/>
      <c r="CNT12" s="1008"/>
      <c r="CNU12" s="1396"/>
      <c r="CNV12" s="416"/>
      <c r="CNW12" s="416"/>
      <c r="CNX12" s="416"/>
      <c r="CNY12" s="416"/>
      <c r="CNZ12" s="416"/>
      <c r="COA12" s="416"/>
      <c r="COB12" s="416"/>
      <c r="COC12" s="416"/>
      <c r="COD12" s="416"/>
      <c r="COE12" s="416"/>
      <c r="COF12" s="1008"/>
      <c r="COG12" s="1396"/>
      <c r="COH12" s="416"/>
      <c r="COI12" s="416"/>
      <c r="COJ12" s="416"/>
      <c r="COK12" s="416"/>
      <c r="COL12" s="416"/>
      <c r="COM12" s="416"/>
      <c r="CON12" s="416"/>
      <c r="COO12" s="416"/>
      <c r="COP12" s="416"/>
      <c r="COQ12" s="416"/>
      <c r="COR12" s="1008"/>
      <c r="COS12" s="1396"/>
      <c r="COT12" s="416"/>
      <c r="COU12" s="416"/>
      <c r="COV12" s="416"/>
      <c r="COW12" s="416"/>
      <c r="COX12" s="416"/>
      <c r="COY12" s="416"/>
      <c r="COZ12" s="416"/>
      <c r="CPA12" s="416"/>
      <c r="CPB12" s="416"/>
      <c r="CPC12" s="416"/>
      <c r="CPD12" s="1008"/>
      <c r="CPE12" s="1396"/>
      <c r="CPF12" s="416"/>
      <c r="CPG12" s="416"/>
      <c r="CPH12" s="416"/>
      <c r="CPI12" s="416"/>
      <c r="CPJ12" s="416"/>
      <c r="CPK12" s="416"/>
      <c r="CPL12" s="416"/>
      <c r="CPM12" s="416"/>
      <c r="CPN12" s="416"/>
      <c r="CPO12" s="416"/>
      <c r="CPP12" s="1008"/>
      <c r="CPQ12" s="1396"/>
      <c r="CPR12" s="416"/>
      <c r="CPS12" s="416"/>
      <c r="CPT12" s="416"/>
      <c r="CPU12" s="416"/>
      <c r="CPV12" s="416"/>
      <c r="CPW12" s="416"/>
      <c r="CPX12" s="416"/>
      <c r="CPY12" s="416"/>
      <c r="CPZ12" s="416"/>
      <c r="CQA12" s="416"/>
      <c r="CQB12" s="1008"/>
      <c r="CQC12" s="1396"/>
      <c r="CQD12" s="416"/>
      <c r="CQE12" s="416"/>
      <c r="CQF12" s="416"/>
      <c r="CQG12" s="416"/>
      <c r="CQH12" s="416"/>
      <c r="CQI12" s="416"/>
      <c r="CQJ12" s="416"/>
      <c r="CQK12" s="416"/>
      <c r="CQL12" s="416"/>
      <c r="CQM12" s="416"/>
      <c r="CQN12" s="1008"/>
      <c r="CQO12" s="1396"/>
      <c r="CQP12" s="416"/>
      <c r="CQQ12" s="416"/>
      <c r="CQR12" s="416"/>
      <c r="CQS12" s="416"/>
      <c r="CQT12" s="416"/>
      <c r="CQU12" s="416"/>
      <c r="CQV12" s="416"/>
      <c r="CQW12" s="416"/>
      <c r="CQX12" s="416"/>
      <c r="CQY12" s="416"/>
      <c r="CQZ12" s="1008"/>
      <c r="CRA12" s="1396"/>
      <c r="CRB12" s="416"/>
      <c r="CRC12" s="416"/>
      <c r="CRD12" s="416"/>
      <c r="CRE12" s="416"/>
      <c r="CRF12" s="416"/>
      <c r="CRG12" s="416"/>
      <c r="CRH12" s="416"/>
      <c r="CRI12" s="416"/>
      <c r="CRJ12" s="416"/>
      <c r="CRK12" s="416"/>
      <c r="CRL12" s="1008"/>
      <c r="CRM12" s="1396"/>
      <c r="CRN12" s="416"/>
      <c r="CRO12" s="416"/>
      <c r="CRP12" s="416"/>
      <c r="CRQ12" s="416"/>
      <c r="CRR12" s="416"/>
      <c r="CRS12" s="416"/>
      <c r="CRT12" s="416"/>
      <c r="CRU12" s="416"/>
      <c r="CRV12" s="416"/>
      <c r="CRW12" s="416"/>
      <c r="CRX12" s="1008"/>
      <c r="CRY12" s="1396"/>
      <c r="CRZ12" s="416"/>
      <c r="CSA12" s="416"/>
      <c r="CSB12" s="416"/>
      <c r="CSC12" s="416"/>
      <c r="CSD12" s="416"/>
      <c r="CSE12" s="416"/>
      <c r="CSF12" s="416"/>
      <c r="CSG12" s="416"/>
      <c r="CSH12" s="416"/>
      <c r="CSI12" s="416"/>
      <c r="CSJ12" s="1008"/>
      <c r="CSK12" s="1396"/>
      <c r="CSL12" s="416"/>
      <c r="CSM12" s="416"/>
      <c r="CSN12" s="416"/>
      <c r="CSO12" s="416"/>
      <c r="CSP12" s="416"/>
      <c r="CSQ12" s="416"/>
      <c r="CSR12" s="416"/>
      <c r="CSS12" s="416"/>
      <c r="CST12" s="416"/>
      <c r="CSU12" s="416"/>
      <c r="CSV12" s="1008"/>
      <c r="CSW12" s="1396"/>
      <c r="CSX12" s="416"/>
      <c r="CSY12" s="416"/>
      <c r="CSZ12" s="416"/>
      <c r="CTA12" s="416"/>
      <c r="CTB12" s="416"/>
      <c r="CTC12" s="416"/>
      <c r="CTD12" s="416"/>
      <c r="CTE12" s="416"/>
      <c r="CTF12" s="416"/>
      <c r="CTG12" s="416"/>
      <c r="CTH12" s="1008"/>
      <c r="CTI12" s="1396"/>
      <c r="CTJ12" s="416"/>
      <c r="CTK12" s="416"/>
      <c r="CTL12" s="416"/>
      <c r="CTM12" s="416"/>
      <c r="CTN12" s="416"/>
      <c r="CTO12" s="416"/>
      <c r="CTP12" s="416"/>
      <c r="CTQ12" s="416"/>
      <c r="CTR12" s="416"/>
      <c r="CTS12" s="416"/>
      <c r="CTT12" s="1008"/>
      <c r="CTU12" s="1396"/>
      <c r="CTV12" s="416"/>
      <c r="CTW12" s="416"/>
      <c r="CTX12" s="416"/>
      <c r="CTY12" s="416"/>
      <c r="CTZ12" s="416"/>
      <c r="CUA12" s="416"/>
      <c r="CUB12" s="416"/>
      <c r="CUC12" s="416"/>
      <c r="CUD12" s="416"/>
      <c r="CUE12" s="416"/>
      <c r="CUF12" s="1008"/>
      <c r="CUG12" s="1396"/>
      <c r="CUH12" s="416"/>
      <c r="CUI12" s="416"/>
      <c r="CUJ12" s="416"/>
      <c r="CUK12" s="416"/>
      <c r="CUL12" s="416"/>
      <c r="CUM12" s="416"/>
      <c r="CUN12" s="416"/>
      <c r="CUO12" s="416"/>
      <c r="CUP12" s="416"/>
      <c r="CUQ12" s="416"/>
      <c r="CUR12" s="1008"/>
      <c r="CUS12" s="1396"/>
      <c r="CUT12" s="416"/>
      <c r="CUU12" s="416"/>
      <c r="CUV12" s="416"/>
      <c r="CUW12" s="416"/>
      <c r="CUX12" s="416"/>
      <c r="CUY12" s="416"/>
      <c r="CUZ12" s="416"/>
      <c r="CVA12" s="416"/>
      <c r="CVB12" s="416"/>
      <c r="CVC12" s="416"/>
      <c r="CVD12" s="1008"/>
      <c r="CVE12" s="1396"/>
      <c r="CVF12" s="416"/>
      <c r="CVG12" s="416"/>
      <c r="CVH12" s="416"/>
      <c r="CVI12" s="416"/>
      <c r="CVJ12" s="416"/>
      <c r="CVK12" s="416"/>
      <c r="CVL12" s="416"/>
      <c r="CVM12" s="416"/>
      <c r="CVN12" s="416"/>
      <c r="CVO12" s="416"/>
      <c r="CVP12" s="1008"/>
      <c r="CVQ12" s="1396"/>
      <c r="CVR12" s="416"/>
      <c r="CVS12" s="416"/>
      <c r="CVT12" s="416"/>
      <c r="CVU12" s="416"/>
      <c r="CVV12" s="416"/>
      <c r="CVW12" s="416"/>
      <c r="CVX12" s="416"/>
      <c r="CVY12" s="416"/>
      <c r="CVZ12" s="416"/>
      <c r="CWA12" s="416"/>
      <c r="CWB12" s="1008"/>
      <c r="CWC12" s="1396"/>
      <c r="CWD12" s="416"/>
      <c r="CWE12" s="416"/>
      <c r="CWF12" s="416"/>
      <c r="CWG12" s="416"/>
      <c r="CWH12" s="416"/>
      <c r="CWI12" s="416"/>
      <c r="CWJ12" s="416"/>
      <c r="CWK12" s="416"/>
      <c r="CWL12" s="416"/>
      <c r="CWM12" s="416"/>
      <c r="CWN12" s="1008"/>
      <c r="CWO12" s="1396"/>
      <c r="CWP12" s="416"/>
      <c r="CWQ12" s="416"/>
      <c r="CWR12" s="416"/>
      <c r="CWS12" s="416"/>
      <c r="CWT12" s="416"/>
      <c r="CWU12" s="416"/>
      <c r="CWV12" s="416"/>
      <c r="CWW12" s="416"/>
      <c r="CWX12" s="416"/>
      <c r="CWY12" s="416"/>
      <c r="CWZ12" s="1008"/>
      <c r="CXA12" s="1396"/>
      <c r="CXB12" s="416"/>
      <c r="CXC12" s="416"/>
      <c r="CXD12" s="416"/>
      <c r="CXE12" s="416"/>
      <c r="CXF12" s="416"/>
      <c r="CXG12" s="416"/>
      <c r="CXH12" s="416"/>
      <c r="CXI12" s="416"/>
      <c r="CXJ12" s="416"/>
      <c r="CXK12" s="416"/>
      <c r="CXL12" s="1008"/>
      <c r="CXM12" s="1396"/>
      <c r="CXN12" s="416"/>
      <c r="CXO12" s="416"/>
      <c r="CXP12" s="416"/>
      <c r="CXQ12" s="416"/>
      <c r="CXR12" s="416"/>
      <c r="CXS12" s="416"/>
      <c r="CXT12" s="416"/>
      <c r="CXU12" s="416"/>
      <c r="CXV12" s="416"/>
      <c r="CXW12" s="416"/>
      <c r="CXX12" s="1008"/>
      <c r="CXY12" s="1396"/>
      <c r="CXZ12" s="416"/>
      <c r="CYA12" s="416"/>
      <c r="CYB12" s="416"/>
      <c r="CYC12" s="416"/>
      <c r="CYD12" s="416"/>
      <c r="CYE12" s="416"/>
      <c r="CYF12" s="416"/>
      <c r="CYG12" s="416"/>
      <c r="CYH12" s="416"/>
      <c r="CYI12" s="416"/>
      <c r="CYJ12" s="1008"/>
      <c r="CYK12" s="1396"/>
      <c r="CYL12" s="416"/>
      <c r="CYM12" s="416"/>
      <c r="CYN12" s="416"/>
      <c r="CYO12" s="416"/>
      <c r="CYP12" s="416"/>
      <c r="CYQ12" s="416"/>
      <c r="CYR12" s="416"/>
      <c r="CYS12" s="416"/>
      <c r="CYT12" s="416"/>
      <c r="CYU12" s="416"/>
      <c r="CYV12" s="1008"/>
      <c r="CYW12" s="1396"/>
      <c r="CYX12" s="416"/>
      <c r="CYY12" s="416"/>
      <c r="CYZ12" s="416"/>
      <c r="CZA12" s="416"/>
      <c r="CZB12" s="416"/>
      <c r="CZC12" s="416"/>
      <c r="CZD12" s="416"/>
      <c r="CZE12" s="416"/>
      <c r="CZF12" s="416"/>
      <c r="CZG12" s="416"/>
      <c r="CZH12" s="1008"/>
      <c r="CZI12" s="1396"/>
      <c r="CZJ12" s="416"/>
      <c r="CZK12" s="416"/>
      <c r="CZL12" s="416"/>
      <c r="CZM12" s="416"/>
      <c r="CZN12" s="416"/>
      <c r="CZO12" s="416"/>
      <c r="CZP12" s="416"/>
      <c r="CZQ12" s="416"/>
      <c r="CZR12" s="416"/>
      <c r="CZS12" s="416"/>
      <c r="CZT12" s="1008"/>
      <c r="CZU12" s="1396"/>
      <c r="CZV12" s="416"/>
      <c r="CZW12" s="416"/>
      <c r="CZX12" s="416"/>
      <c r="CZY12" s="416"/>
      <c r="CZZ12" s="416"/>
      <c r="DAA12" s="416"/>
      <c r="DAB12" s="416"/>
      <c r="DAC12" s="416"/>
      <c r="DAD12" s="416"/>
      <c r="DAE12" s="416"/>
      <c r="DAF12" s="1008"/>
      <c r="DAG12" s="1396"/>
      <c r="DAH12" s="416"/>
      <c r="DAI12" s="416"/>
      <c r="DAJ12" s="416"/>
      <c r="DAK12" s="416"/>
      <c r="DAL12" s="416"/>
      <c r="DAM12" s="416"/>
      <c r="DAN12" s="416"/>
      <c r="DAO12" s="416"/>
      <c r="DAP12" s="416"/>
      <c r="DAQ12" s="416"/>
      <c r="DAR12" s="1008"/>
      <c r="DAS12" s="1396"/>
      <c r="DAT12" s="416"/>
      <c r="DAU12" s="416"/>
      <c r="DAV12" s="416"/>
      <c r="DAW12" s="416"/>
      <c r="DAX12" s="416"/>
      <c r="DAY12" s="416"/>
      <c r="DAZ12" s="416"/>
      <c r="DBA12" s="416"/>
      <c r="DBB12" s="416"/>
      <c r="DBC12" s="416"/>
      <c r="DBD12" s="1008"/>
      <c r="DBE12" s="1396"/>
      <c r="DBF12" s="416"/>
      <c r="DBG12" s="416"/>
      <c r="DBH12" s="416"/>
      <c r="DBI12" s="416"/>
      <c r="DBJ12" s="416"/>
      <c r="DBK12" s="416"/>
      <c r="DBL12" s="416"/>
      <c r="DBM12" s="416"/>
      <c r="DBN12" s="416"/>
      <c r="DBO12" s="416"/>
      <c r="DBP12" s="1008"/>
      <c r="DBQ12" s="1396"/>
      <c r="DBR12" s="416"/>
      <c r="DBS12" s="416"/>
      <c r="DBT12" s="416"/>
      <c r="DBU12" s="416"/>
      <c r="DBV12" s="416"/>
      <c r="DBW12" s="416"/>
      <c r="DBX12" s="416"/>
      <c r="DBY12" s="416"/>
      <c r="DBZ12" s="416"/>
      <c r="DCA12" s="416"/>
      <c r="DCB12" s="1008"/>
      <c r="DCC12" s="1396"/>
      <c r="DCD12" s="416"/>
      <c r="DCE12" s="416"/>
      <c r="DCF12" s="416"/>
      <c r="DCG12" s="416"/>
      <c r="DCH12" s="416"/>
      <c r="DCI12" s="416"/>
      <c r="DCJ12" s="416"/>
      <c r="DCK12" s="416"/>
      <c r="DCL12" s="416"/>
      <c r="DCM12" s="416"/>
      <c r="DCN12" s="1008"/>
      <c r="DCO12" s="1396"/>
      <c r="DCP12" s="416"/>
      <c r="DCQ12" s="416"/>
      <c r="DCR12" s="416"/>
      <c r="DCS12" s="416"/>
      <c r="DCT12" s="416"/>
      <c r="DCU12" s="416"/>
      <c r="DCV12" s="416"/>
      <c r="DCW12" s="416"/>
      <c r="DCX12" s="416"/>
      <c r="DCY12" s="416"/>
      <c r="DCZ12" s="1008"/>
      <c r="DDA12" s="1396"/>
      <c r="DDB12" s="416"/>
      <c r="DDC12" s="416"/>
      <c r="DDD12" s="416"/>
      <c r="DDE12" s="416"/>
      <c r="DDF12" s="416"/>
      <c r="DDG12" s="416"/>
      <c r="DDH12" s="416"/>
      <c r="DDI12" s="416"/>
      <c r="DDJ12" s="416"/>
      <c r="DDK12" s="416"/>
      <c r="DDL12" s="1008"/>
      <c r="DDM12" s="1396"/>
      <c r="DDN12" s="416"/>
      <c r="DDO12" s="416"/>
      <c r="DDP12" s="416"/>
      <c r="DDQ12" s="416"/>
      <c r="DDR12" s="416"/>
      <c r="DDS12" s="416"/>
      <c r="DDT12" s="416"/>
      <c r="DDU12" s="416"/>
      <c r="DDV12" s="416"/>
      <c r="DDW12" s="416"/>
      <c r="DDX12" s="1008"/>
      <c r="DDY12" s="1396"/>
      <c r="DDZ12" s="416"/>
      <c r="DEA12" s="416"/>
      <c r="DEB12" s="416"/>
      <c r="DEC12" s="416"/>
      <c r="DED12" s="416"/>
      <c r="DEE12" s="416"/>
      <c r="DEF12" s="416"/>
      <c r="DEG12" s="416"/>
      <c r="DEH12" s="416"/>
      <c r="DEI12" s="416"/>
      <c r="DEJ12" s="1008"/>
      <c r="DEK12" s="1396"/>
      <c r="DEL12" s="416"/>
      <c r="DEM12" s="416"/>
      <c r="DEN12" s="416"/>
      <c r="DEO12" s="416"/>
      <c r="DEP12" s="416"/>
      <c r="DEQ12" s="416"/>
      <c r="DER12" s="416"/>
      <c r="DES12" s="416"/>
      <c r="DET12" s="416"/>
      <c r="DEU12" s="416"/>
      <c r="DEV12" s="1008"/>
      <c r="DEW12" s="1396"/>
      <c r="DEX12" s="416"/>
      <c r="DEY12" s="416"/>
      <c r="DEZ12" s="416"/>
      <c r="DFA12" s="416"/>
      <c r="DFB12" s="416"/>
      <c r="DFC12" s="416"/>
      <c r="DFD12" s="416"/>
      <c r="DFE12" s="416"/>
      <c r="DFF12" s="416"/>
      <c r="DFG12" s="416"/>
      <c r="DFH12" s="1008"/>
      <c r="DFI12" s="1396"/>
      <c r="DFJ12" s="416"/>
      <c r="DFK12" s="416"/>
      <c r="DFL12" s="416"/>
      <c r="DFM12" s="416"/>
      <c r="DFN12" s="416"/>
      <c r="DFO12" s="416"/>
      <c r="DFP12" s="416"/>
      <c r="DFQ12" s="416"/>
      <c r="DFR12" s="416"/>
      <c r="DFS12" s="416"/>
      <c r="DFT12" s="1008"/>
      <c r="DFU12" s="1396"/>
      <c r="DFV12" s="416"/>
      <c r="DFW12" s="416"/>
      <c r="DFX12" s="416"/>
      <c r="DFY12" s="416"/>
      <c r="DFZ12" s="416"/>
      <c r="DGA12" s="416"/>
      <c r="DGB12" s="416"/>
      <c r="DGC12" s="416"/>
      <c r="DGD12" s="416"/>
      <c r="DGE12" s="416"/>
      <c r="DGF12" s="1008"/>
      <c r="DGG12" s="1396"/>
      <c r="DGH12" s="416"/>
      <c r="DGI12" s="416"/>
      <c r="DGJ12" s="416"/>
      <c r="DGK12" s="416"/>
      <c r="DGL12" s="416"/>
      <c r="DGM12" s="416"/>
      <c r="DGN12" s="416"/>
      <c r="DGO12" s="416"/>
      <c r="DGP12" s="416"/>
      <c r="DGQ12" s="416"/>
      <c r="DGR12" s="1008"/>
      <c r="DGS12" s="1396"/>
      <c r="DGT12" s="416"/>
      <c r="DGU12" s="416"/>
      <c r="DGV12" s="416"/>
      <c r="DGW12" s="416"/>
      <c r="DGX12" s="416"/>
      <c r="DGY12" s="416"/>
      <c r="DGZ12" s="416"/>
      <c r="DHA12" s="416"/>
      <c r="DHB12" s="416"/>
      <c r="DHC12" s="416"/>
      <c r="DHD12" s="1008"/>
      <c r="DHE12" s="1396"/>
      <c r="DHF12" s="416"/>
      <c r="DHG12" s="416"/>
      <c r="DHH12" s="416"/>
      <c r="DHI12" s="416"/>
      <c r="DHJ12" s="416"/>
      <c r="DHK12" s="416"/>
      <c r="DHL12" s="416"/>
      <c r="DHM12" s="416"/>
      <c r="DHN12" s="416"/>
      <c r="DHO12" s="416"/>
      <c r="DHP12" s="1008"/>
      <c r="DHQ12" s="1396"/>
      <c r="DHR12" s="416"/>
      <c r="DHS12" s="416"/>
      <c r="DHT12" s="416"/>
      <c r="DHU12" s="416"/>
      <c r="DHV12" s="416"/>
      <c r="DHW12" s="416"/>
      <c r="DHX12" s="416"/>
      <c r="DHY12" s="416"/>
      <c r="DHZ12" s="416"/>
      <c r="DIA12" s="416"/>
      <c r="DIB12" s="1008"/>
      <c r="DIC12" s="1396"/>
      <c r="DID12" s="416"/>
      <c r="DIE12" s="416"/>
      <c r="DIF12" s="416"/>
      <c r="DIG12" s="416"/>
      <c r="DIH12" s="416"/>
      <c r="DII12" s="416"/>
      <c r="DIJ12" s="416"/>
      <c r="DIK12" s="416"/>
      <c r="DIL12" s="416"/>
      <c r="DIM12" s="416"/>
      <c r="DIN12" s="1008"/>
      <c r="DIO12" s="1396"/>
      <c r="DIP12" s="416"/>
      <c r="DIQ12" s="416"/>
      <c r="DIR12" s="416"/>
      <c r="DIS12" s="416"/>
      <c r="DIT12" s="416"/>
      <c r="DIU12" s="416"/>
      <c r="DIV12" s="416"/>
      <c r="DIW12" s="416"/>
      <c r="DIX12" s="416"/>
      <c r="DIY12" s="416"/>
      <c r="DIZ12" s="1008"/>
      <c r="DJA12" s="1396"/>
      <c r="DJB12" s="416"/>
      <c r="DJC12" s="416"/>
      <c r="DJD12" s="416"/>
      <c r="DJE12" s="416"/>
      <c r="DJF12" s="416"/>
      <c r="DJG12" s="416"/>
      <c r="DJH12" s="416"/>
      <c r="DJI12" s="416"/>
      <c r="DJJ12" s="416"/>
      <c r="DJK12" s="416"/>
      <c r="DJL12" s="1008"/>
      <c r="DJM12" s="1396"/>
      <c r="DJN12" s="416"/>
      <c r="DJO12" s="416"/>
      <c r="DJP12" s="416"/>
      <c r="DJQ12" s="416"/>
      <c r="DJR12" s="416"/>
      <c r="DJS12" s="416"/>
      <c r="DJT12" s="416"/>
      <c r="DJU12" s="416"/>
      <c r="DJV12" s="416"/>
      <c r="DJW12" s="416"/>
      <c r="DJX12" s="1008"/>
      <c r="DJY12" s="1396"/>
      <c r="DJZ12" s="416"/>
      <c r="DKA12" s="416"/>
      <c r="DKB12" s="416"/>
      <c r="DKC12" s="416"/>
      <c r="DKD12" s="416"/>
      <c r="DKE12" s="416"/>
      <c r="DKF12" s="416"/>
      <c r="DKG12" s="416"/>
      <c r="DKH12" s="416"/>
      <c r="DKI12" s="416"/>
      <c r="DKJ12" s="1008"/>
      <c r="DKK12" s="1396"/>
      <c r="DKL12" s="416"/>
      <c r="DKM12" s="416"/>
      <c r="DKN12" s="416"/>
      <c r="DKO12" s="416"/>
      <c r="DKP12" s="416"/>
      <c r="DKQ12" s="416"/>
      <c r="DKR12" s="416"/>
      <c r="DKS12" s="416"/>
      <c r="DKT12" s="416"/>
      <c r="DKU12" s="416"/>
      <c r="DKV12" s="1008"/>
      <c r="DKW12" s="1396"/>
      <c r="DKX12" s="416"/>
      <c r="DKY12" s="416"/>
      <c r="DKZ12" s="416"/>
      <c r="DLA12" s="416"/>
      <c r="DLB12" s="416"/>
      <c r="DLC12" s="416"/>
      <c r="DLD12" s="416"/>
      <c r="DLE12" s="416"/>
      <c r="DLF12" s="416"/>
      <c r="DLG12" s="416"/>
      <c r="DLH12" s="1008"/>
      <c r="DLI12" s="1396"/>
      <c r="DLJ12" s="416"/>
      <c r="DLK12" s="416"/>
      <c r="DLL12" s="416"/>
      <c r="DLM12" s="416"/>
      <c r="DLN12" s="416"/>
      <c r="DLO12" s="416"/>
      <c r="DLP12" s="416"/>
      <c r="DLQ12" s="416"/>
      <c r="DLR12" s="416"/>
      <c r="DLS12" s="416"/>
      <c r="DLT12" s="1008"/>
      <c r="DLU12" s="1396"/>
      <c r="DLV12" s="416"/>
      <c r="DLW12" s="416"/>
      <c r="DLX12" s="416"/>
      <c r="DLY12" s="416"/>
      <c r="DLZ12" s="416"/>
      <c r="DMA12" s="416"/>
      <c r="DMB12" s="416"/>
      <c r="DMC12" s="416"/>
      <c r="DMD12" s="416"/>
      <c r="DME12" s="416"/>
      <c r="DMF12" s="1008"/>
      <c r="DMG12" s="1396"/>
      <c r="DMH12" s="416"/>
      <c r="DMI12" s="416"/>
      <c r="DMJ12" s="416"/>
      <c r="DMK12" s="416"/>
      <c r="DML12" s="416"/>
      <c r="DMM12" s="416"/>
      <c r="DMN12" s="416"/>
      <c r="DMO12" s="416"/>
      <c r="DMP12" s="416"/>
      <c r="DMQ12" s="416"/>
      <c r="DMR12" s="1008"/>
      <c r="DMS12" s="1396"/>
      <c r="DMT12" s="416"/>
      <c r="DMU12" s="416"/>
      <c r="DMV12" s="416"/>
      <c r="DMW12" s="416"/>
      <c r="DMX12" s="416"/>
      <c r="DMY12" s="416"/>
      <c r="DMZ12" s="416"/>
      <c r="DNA12" s="416"/>
      <c r="DNB12" s="416"/>
      <c r="DNC12" s="416"/>
      <c r="DND12" s="1008"/>
      <c r="DNE12" s="1396"/>
      <c r="DNF12" s="416"/>
      <c r="DNG12" s="416"/>
      <c r="DNH12" s="416"/>
      <c r="DNI12" s="416"/>
      <c r="DNJ12" s="416"/>
      <c r="DNK12" s="416"/>
      <c r="DNL12" s="416"/>
      <c r="DNM12" s="416"/>
      <c r="DNN12" s="416"/>
      <c r="DNO12" s="416"/>
      <c r="DNP12" s="1008"/>
      <c r="DNQ12" s="1396"/>
      <c r="DNR12" s="416"/>
      <c r="DNS12" s="416"/>
      <c r="DNT12" s="416"/>
      <c r="DNU12" s="416"/>
      <c r="DNV12" s="416"/>
      <c r="DNW12" s="416"/>
      <c r="DNX12" s="416"/>
      <c r="DNY12" s="416"/>
      <c r="DNZ12" s="416"/>
      <c r="DOA12" s="416"/>
      <c r="DOB12" s="1008"/>
      <c r="DOC12" s="1396"/>
      <c r="DOD12" s="416"/>
      <c r="DOE12" s="416"/>
      <c r="DOF12" s="416"/>
      <c r="DOG12" s="416"/>
      <c r="DOH12" s="416"/>
      <c r="DOI12" s="416"/>
      <c r="DOJ12" s="416"/>
      <c r="DOK12" s="416"/>
      <c r="DOL12" s="416"/>
      <c r="DOM12" s="416"/>
      <c r="DON12" s="1008"/>
      <c r="DOO12" s="1396"/>
      <c r="DOP12" s="416"/>
      <c r="DOQ12" s="416"/>
      <c r="DOR12" s="416"/>
      <c r="DOS12" s="416"/>
      <c r="DOT12" s="416"/>
      <c r="DOU12" s="416"/>
      <c r="DOV12" s="416"/>
      <c r="DOW12" s="416"/>
      <c r="DOX12" s="416"/>
      <c r="DOY12" s="416"/>
      <c r="DOZ12" s="1008"/>
      <c r="DPA12" s="1396"/>
      <c r="DPB12" s="416"/>
      <c r="DPC12" s="416"/>
      <c r="DPD12" s="416"/>
      <c r="DPE12" s="416"/>
      <c r="DPF12" s="416"/>
      <c r="DPG12" s="416"/>
      <c r="DPH12" s="416"/>
      <c r="DPI12" s="416"/>
      <c r="DPJ12" s="416"/>
      <c r="DPK12" s="416"/>
      <c r="DPL12" s="1008"/>
      <c r="DPM12" s="1396"/>
      <c r="DPN12" s="416"/>
      <c r="DPO12" s="416"/>
      <c r="DPP12" s="416"/>
      <c r="DPQ12" s="416"/>
      <c r="DPR12" s="416"/>
      <c r="DPS12" s="416"/>
      <c r="DPT12" s="416"/>
      <c r="DPU12" s="416"/>
      <c r="DPV12" s="416"/>
      <c r="DPW12" s="416"/>
      <c r="DPX12" s="1008"/>
      <c r="DPY12" s="1396"/>
      <c r="DPZ12" s="416"/>
      <c r="DQA12" s="416"/>
      <c r="DQB12" s="416"/>
      <c r="DQC12" s="416"/>
      <c r="DQD12" s="416"/>
      <c r="DQE12" s="416"/>
      <c r="DQF12" s="416"/>
      <c r="DQG12" s="416"/>
      <c r="DQH12" s="416"/>
      <c r="DQI12" s="416"/>
      <c r="DQJ12" s="1008"/>
      <c r="DQK12" s="1396"/>
      <c r="DQL12" s="416"/>
      <c r="DQM12" s="416"/>
      <c r="DQN12" s="416"/>
      <c r="DQO12" s="416"/>
      <c r="DQP12" s="416"/>
      <c r="DQQ12" s="416"/>
      <c r="DQR12" s="416"/>
      <c r="DQS12" s="416"/>
      <c r="DQT12" s="416"/>
      <c r="DQU12" s="416"/>
      <c r="DQV12" s="1008"/>
      <c r="DQW12" s="1396"/>
      <c r="DQX12" s="416"/>
      <c r="DQY12" s="416"/>
      <c r="DQZ12" s="416"/>
      <c r="DRA12" s="416"/>
      <c r="DRB12" s="416"/>
      <c r="DRC12" s="416"/>
      <c r="DRD12" s="416"/>
      <c r="DRE12" s="416"/>
      <c r="DRF12" s="416"/>
      <c r="DRG12" s="416"/>
      <c r="DRH12" s="1008"/>
      <c r="DRI12" s="1396"/>
      <c r="DRJ12" s="416"/>
      <c r="DRK12" s="416"/>
      <c r="DRL12" s="416"/>
      <c r="DRM12" s="416"/>
      <c r="DRN12" s="416"/>
      <c r="DRO12" s="416"/>
      <c r="DRP12" s="416"/>
      <c r="DRQ12" s="416"/>
      <c r="DRR12" s="416"/>
      <c r="DRS12" s="416"/>
      <c r="DRT12" s="1008"/>
      <c r="DRU12" s="1396"/>
      <c r="DRV12" s="416"/>
      <c r="DRW12" s="416"/>
      <c r="DRX12" s="416"/>
      <c r="DRY12" s="416"/>
      <c r="DRZ12" s="416"/>
      <c r="DSA12" s="416"/>
      <c r="DSB12" s="416"/>
      <c r="DSC12" s="416"/>
      <c r="DSD12" s="416"/>
      <c r="DSE12" s="416"/>
      <c r="DSF12" s="1008"/>
      <c r="DSG12" s="1396"/>
      <c r="DSH12" s="416"/>
      <c r="DSI12" s="416"/>
      <c r="DSJ12" s="416"/>
      <c r="DSK12" s="416"/>
      <c r="DSL12" s="416"/>
      <c r="DSM12" s="416"/>
      <c r="DSN12" s="416"/>
      <c r="DSO12" s="416"/>
      <c r="DSP12" s="416"/>
      <c r="DSQ12" s="416"/>
      <c r="DSR12" s="1008"/>
      <c r="DSS12" s="1396"/>
      <c r="DST12" s="416"/>
      <c r="DSU12" s="416"/>
      <c r="DSV12" s="416"/>
      <c r="DSW12" s="416"/>
      <c r="DSX12" s="416"/>
      <c r="DSY12" s="416"/>
      <c r="DSZ12" s="416"/>
      <c r="DTA12" s="416"/>
      <c r="DTB12" s="416"/>
      <c r="DTC12" s="416"/>
      <c r="DTD12" s="1008"/>
      <c r="DTE12" s="1396"/>
      <c r="DTF12" s="416"/>
      <c r="DTG12" s="416"/>
      <c r="DTH12" s="416"/>
      <c r="DTI12" s="416"/>
      <c r="DTJ12" s="416"/>
      <c r="DTK12" s="416"/>
      <c r="DTL12" s="416"/>
      <c r="DTM12" s="416"/>
      <c r="DTN12" s="416"/>
      <c r="DTO12" s="416"/>
      <c r="DTP12" s="1008"/>
      <c r="DTQ12" s="1396"/>
      <c r="DTR12" s="416"/>
      <c r="DTS12" s="416"/>
      <c r="DTT12" s="416"/>
      <c r="DTU12" s="416"/>
      <c r="DTV12" s="416"/>
      <c r="DTW12" s="416"/>
      <c r="DTX12" s="416"/>
      <c r="DTY12" s="416"/>
      <c r="DTZ12" s="416"/>
      <c r="DUA12" s="416"/>
      <c r="DUB12" s="1008"/>
      <c r="DUC12" s="1396"/>
      <c r="DUD12" s="416"/>
      <c r="DUE12" s="416"/>
      <c r="DUF12" s="416"/>
      <c r="DUG12" s="416"/>
      <c r="DUH12" s="416"/>
      <c r="DUI12" s="416"/>
      <c r="DUJ12" s="416"/>
      <c r="DUK12" s="416"/>
      <c r="DUL12" s="416"/>
      <c r="DUM12" s="416"/>
      <c r="DUN12" s="1008"/>
      <c r="DUO12" s="1396"/>
      <c r="DUP12" s="416"/>
      <c r="DUQ12" s="416"/>
      <c r="DUR12" s="416"/>
      <c r="DUS12" s="416"/>
      <c r="DUT12" s="416"/>
      <c r="DUU12" s="416"/>
      <c r="DUV12" s="416"/>
      <c r="DUW12" s="416"/>
      <c r="DUX12" s="416"/>
      <c r="DUY12" s="416"/>
      <c r="DUZ12" s="1008"/>
      <c r="DVA12" s="1396"/>
      <c r="DVB12" s="416"/>
      <c r="DVC12" s="416"/>
      <c r="DVD12" s="416"/>
      <c r="DVE12" s="416"/>
      <c r="DVF12" s="416"/>
      <c r="DVG12" s="416"/>
      <c r="DVH12" s="416"/>
      <c r="DVI12" s="416"/>
      <c r="DVJ12" s="416"/>
      <c r="DVK12" s="416"/>
      <c r="DVL12" s="1008"/>
      <c r="DVM12" s="1396"/>
      <c r="DVN12" s="416"/>
      <c r="DVO12" s="416"/>
      <c r="DVP12" s="416"/>
      <c r="DVQ12" s="416"/>
      <c r="DVR12" s="416"/>
      <c r="DVS12" s="416"/>
      <c r="DVT12" s="416"/>
      <c r="DVU12" s="416"/>
      <c r="DVV12" s="416"/>
      <c r="DVW12" s="416"/>
      <c r="DVX12" s="1008"/>
      <c r="DVY12" s="1396"/>
      <c r="DVZ12" s="416"/>
      <c r="DWA12" s="416"/>
      <c r="DWB12" s="416"/>
      <c r="DWC12" s="416"/>
      <c r="DWD12" s="416"/>
      <c r="DWE12" s="416"/>
      <c r="DWF12" s="416"/>
      <c r="DWG12" s="416"/>
      <c r="DWH12" s="416"/>
      <c r="DWI12" s="416"/>
      <c r="DWJ12" s="1008"/>
      <c r="DWK12" s="1396"/>
      <c r="DWL12" s="416"/>
      <c r="DWM12" s="416"/>
      <c r="DWN12" s="416"/>
      <c r="DWO12" s="416"/>
      <c r="DWP12" s="416"/>
      <c r="DWQ12" s="416"/>
      <c r="DWR12" s="416"/>
      <c r="DWS12" s="416"/>
      <c r="DWT12" s="416"/>
      <c r="DWU12" s="416"/>
      <c r="DWV12" s="1008"/>
      <c r="DWW12" s="1396"/>
      <c r="DWX12" s="416"/>
      <c r="DWY12" s="416"/>
      <c r="DWZ12" s="416"/>
      <c r="DXA12" s="416"/>
      <c r="DXB12" s="416"/>
      <c r="DXC12" s="416"/>
      <c r="DXD12" s="416"/>
      <c r="DXE12" s="416"/>
      <c r="DXF12" s="416"/>
      <c r="DXG12" s="416"/>
      <c r="DXH12" s="1008"/>
      <c r="DXI12" s="1396"/>
      <c r="DXJ12" s="416"/>
      <c r="DXK12" s="416"/>
      <c r="DXL12" s="416"/>
      <c r="DXM12" s="416"/>
      <c r="DXN12" s="416"/>
      <c r="DXO12" s="416"/>
      <c r="DXP12" s="416"/>
      <c r="DXQ12" s="416"/>
      <c r="DXR12" s="416"/>
      <c r="DXS12" s="416"/>
      <c r="DXT12" s="1008"/>
      <c r="DXU12" s="1396"/>
      <c r="DXV12" s="416"/>
      <c r="DXW12" s="416"/>
      <c r="DXX12" s="416"/>
      <c r="DXY12" s="416"/>
      <c r="DXZ12" s="416"/>
      <c r="DYA12" s="416"/>
      <c r="DYB12" s="416"/>
      <c r="DYC12" s="416"/>
      <c r="DYD12" s="416"/>
      <c r="DYE12" s="416"/>
      <c r="DYF12" s="1008"/>
      <c r="DYG12" s="1396"/>
      <c r="DYH12" s="416"/>
      <c r="DYI12" s="416"/>
      <c r="DYJ12" s="416"/>
      <c r="DYK12" s="416"/>
      <c r="DYL12" s="416"/>
      <c r="DYM12" s="416"/>
      <c r="DYN12" s="416"/>
      <c r="DYO12" s="416"/>
      <c r="DYP12" s="416"/>
      <c r="DYQ12" s="416"/>
      <c r="DYR12" s="1008"/>
      <c r="DYS12" s="1396"/>
      <c r="DYT12" s="416"/>
      <c r="DYU12" s="416"/>
      <c r="DYV12" s="416"/>
      <c r="DYW12" s="416"/>
      <c r="DYX12" s="416"/>
      <c r="DYY12" s="416"/>
      <c r="DYZ12" s="416"/>
      <c r="DZA12" s="416"/>
      <c r="DZB12" s="416"/>
      <c r="DZC12" s="416"/>
      <c r="DZD12" s="1008"/>
      <c r="DZE12" s="1396"/>
      <c r="DZF12" s="416"/>
      <c r="DZG12" s="416"/>
      <c r="DZH12" s="416"/>
      <c r="DZI12" s="416"/>
      <c r="DZJ12" s="416"/>
      <c r="DZK12" s="416"/>
      <c r="DZL12" s="416"/>
      <c r="DZM12" s="416"/>
      <c r="DZN12" s="416"/>
      <c r="DZO12" s="416"/>
      <c r="DZP12" s="1008"/>
      <c r="DZQ12" s="1396"/>
      <c r="DZR12" s="416"/>
      <c r="DZS12" s="416"/>
      <c r="DZT12" s="416"/>
      <c r="DZU12" s="416"/>
      <c r="DZV12" s="416"/>
      <c r="DZW12" s="416"/>
      <c r="DZX12" s="416"/>
      <c r="DZY12" s="416"/>
      <c r="DZZ12" s="416"/>
      <c r="EAA12" s="416"/>
      <c r="EAB12" s="1008"/>
      <c r="EAC12" s="1396"/>
      <c r="EAD12" s="416"/>
      <c r="EAE12" s="416"/>
      <c r="EAF12" s="416"/>
      <c r="EAG12" s="416"/>
      <c r="EAH12" s="416"/>
      <c r="EAI12" s="416"/>
      <c r="EAJ12" s="416"/>
      <c r="EAK12" s="416"/>
      <c r="EAL12" s="416"/>
      <c r="EAM12" s="416"/>
      <c r="EAN12" s="1008"/>
      <c r="EAO12" s="1396"/>
      <c r="EAP12" s="416"/>
      <c r="EAQ12" s="416"/>
      <c r="EAR12" s="416"/>
      <c r="EAS12" s="416"/>
      <c r="EAT12" s="416"/>
      <c r="EAU12" s="416"/>
      <c r="EAV12" s="416"/>
      <c r="EAW12" s="416"/>
      <c r="EAX12" s="416"/>
      <c r="EAY12" s="416"/>
      <c r="EAZ12" s="1008"/>
      <c r="EBA12" s="1396"/>
      <c r="EBB12" s="416"/>
      <c r="EBC12" s="416"/>
      <c r="EBD12" s="416"/>
      <c r="EBE12" s="416"/>
      <c r="EBF12" s="416"/>
      <c r="EBG12" s="416"/>
      <c r="EBH12" s="416"/>
      <c r="EBI12" s="416"/>
      <c r="EBJ12" s="416"/>
      <c r="EBK12" s="416"/>
      <c r="EBL12" s="1008"/>
      <c r="EBM12" s="1396"/>
      <c r="EBN12" s="416"/>
      <c r="EBO12" s="416"/>
      <c r="EBP12" s="416"/>
      <c r="EBQ12" s="416"/>
      <c r="EBR12" s="416"/>
      <c r="EBS12" s="416"/>
      <c r="EBT12" s="416"/>
      <c r="EBU12" s="416"/>
      <c r="EBV12" s="416"/>
      <c r="EBW12" s="416"/>
      <c r="EBX12" s="1008"/>
      <c r="EBY12" s="1396"/>
      <c r="EBZ12" s="416"/>
      <c r="ECA12" s="416"/>
      <c r="ECB12" s="416"/>
      <c r="ECC12" s="416"/>
      <c r="ECD12" s="416"/>
      <c r="ECE12" s="416"/>
      <c r="ECF12" s="416"/>
      <c r="ECG12" s="416"/>
      <c r="ECH12" s="416"/>
      <c r="ECI12" s="416"/>
      <c r="ECJ12" s="1008"/>
      <c r="ECK12" s="1396"/>
      <c r="ECL12" s="416"/>
      <c r="ECM12" s="416"/>
      <c r="ECN12" s="416"/>
      <c r="ECO12" s="416"/>
      <c r="ECP12" s="416"/>
      <c r="ECQ12" s="416"/>
      <c r="ECR12" s="416"/>
      <c r="ECS12" s="416"/>
      <c r="ECT12" s="416"/>
      <c r="ECU12" s="416"/>
      <c r="ECV12" s="1008"/>
      <c r="ECW12" s="1396"/>
      <c r="ECX12" s="416"/>
      <c r="ECY12" s="416"/>
      <c r="ECZ12" s="416"/>
      <c r="EDA12" s="416"/>
      <c r="EDB12" s="416"/>
      <c r="EDC12" s="416"/>
      <c r="EDD12" s="416"/>
      <c r="EDE12" s="416"/>
      <c r="EDF12" s="416"/>
      <c r="EDG12" s="416"/>
      <c r="EDH12" s="1008"/>
      <c r="EDI12" s="1396"/>
      <c r="EDJ12" s="416"/>
      <c r="EDK12" s="416"/>
      <c r="EDL12" s="416"/>
      <c r="EDM12" s="416"/>
      <c r="EDN12" s="416"/>
      <c r="EDO12" s="416"/>
      <c r="EDP12" s="416"/>
      <c r="EDQ12" s="416"/>
      <c r="EDR12" s="416"/>
      <c r="EDS12" s="416"/>
      <c r="EDT12" s="1008"/>
      <c r="EDU12" s="1396"/>
      <c r="EDV12" s="416"/>
      <c r="EDW12" s="416"/>
      <c r="EDX12" s="416"/>
      <c r="EDY12" s="416"/>
      <c r="EDZ12" s="416"/>
      <c r="EEA12" s="416"/>
      <c r="EEB12" s="416"/>
      <c r="EEC12" s="416"/>
      <c r="EED12" s="416"/>
      <c r="EEE12" s="416"/>
      <c r="EEF12" s="1008"/>
      <c r="EEG12" s="1396"/>
      <c r="EEH12" s="416"/>
      <c r="EEI12" s="416"/>
      <c r="EEJ12" s="416"/>
      <c r="EEK12" s="416"/>
      <c r="EEL12" s="416"/>
      <c r="EEM12" s="416"/>
      <c r="EEN12" s="416"/>
      <c r="EEO12" s="416"/>
      <c r="EEP12" s="416"/>
      <c r="EEQ12" s="416"/>
      <c r="EER12" s="1008"/>
      <c r="EES12" s="1396"/>
      <c r="EET12" s="416"/>
      <c r="EEU12" s="416"/>
      <c r="EEV12" s="416"/>
      <c r="EEW12" s="416"/>
      <c r="EEX12" s="416"/>
      <c r="EEY12" s="416"/>
      <c r="EEZ12" s="416"/>
      <c r="EFA12" s="416"/>
      <c r="EFB12" s="416"/>
      <c r="EFC12" s="416"/>
      <c r="EFD12" s="1008"/>
      <c r="EFE12" s="1396"/>
      <c r="EFF12" s="416"/>
      <c r="EFG12" s="416"/>
      <c r="EFH12" s="416"/>
      <c r="EFI12" s="416"/>
      <c r="EFJ12" s="416"/>
      <c r="EFK12" s="416"/>
      <c r="EFL12" s="416"/>
      <c r="EFM12" s="416"/>
      <c r="EFN12" s="416"/>
      <c r="EFO12" s="416"/>
      <c r="EFP12" s="1008"/>
      <c r="EFQ12" s="1396"/>
      <c r="EFR12" s="416"/>
      <c r="EFS12" s="416"/>
      <c r="EFT12" s="416"/>
      <c r="EFU12" s="416"/>
      <c r="EFV12" s="416"/>
      <c r="EFW12" s="416"/>
      <c r="EFX12" s="416"/>
      <c r="EFY12" s="416"/>
      <c r="EFZ12" s="416"/>
      <c r="EGA12" s="416"/>
      <c r="EGB12" s="1008"/>
      <c r="EGC12" s="1396"/>
      <c r="EGD12" s="416"/>
      <c r="EGE12" s="416"/>
      <c r="EGF12" s="416"/>
      <c r="EGG12" s="416"/>
      <c r="EGH12" s="416"/>
      <c r="EGI12" s="416"/>
      <c r="EGJ12" s="416"/>
      <c r="EGK12" s="416"/>
      <c r="EGL12" s="416"/>
      <c r="EGM12" s="416"/>
      <c r="EGN12" s="1008"/>
      <c r="EGO12" s="1396"/>
      <c r="EGP12" s="416"/>
      <c r="EGQ12" s="416"/>
      <c r="EGR12" s="416"/>
      <c r="EGS12" s="416"/>
      <c r="EGT12" s="416"/>
      <c r="EGU12" s="416"/>
      <c r="EGV12" s="416"/>
      <c r="EGW12" s="416"/>
      <c r="EGX12" s="416"/>
      <c r="EGY12" s="416"/>
      <c r="EGZ12" s="1008"/>
      <c r="EHA12" s="1396"/>
      <c r="EHB12" s="416"/>
      <c r="EHC12" s="416"/>
      <c r="EHD12" s="416"/>
      <c r="EHE12" s="416"/>
      <c r="EHF12" s="416"/>
      <c r="EHG12" s="416"/>
      <c r="EHH12" s="416"/>
      <c r="EHI12" s="416"/>
      <c r="EHJ12" s="416"/>
      <c r="EHK12" s="416"/>
      <c r="EHL12" s="1008"/>
      <c r="EHM12" s="1396"/>
      <c r="EHN12" s="416"/>
      <c r="EHO12" s="416"/>
      <c r="EHP12" s="416"/>
      <c r="EHQ12" s="416"/>
      <c r="EHR12" s="416"/>
      <c r="EHS12" s="416"/>
      <c r="EHT12" s="416"/>
      <c r="EHU12" s="416"/>
      <c r="EHV12" s="416"/>
      <c r="EHW12" s="416"/>
      <c r="EHX12" s="1008"/>
      <c r="EHY12" s="1396"/>
      <c r="EHZ12" s="416"/>
      <c r="EIA12" s="416"/>
      <c r="EIB12" s="416"/>
      <c r="EIC12" s="416"/>
      <c r="EID12" s="416"/>
      <c r="EIE12" s="416"/>
      <c r="EIF12" s="416"/>
      <c r="EIG12" s="416"/>
      <c r="EIH12" s="416"/>
      <c r="EII12" s="416"/>
      <c r="EIJ12" s="1008"/>
      <c r="EIK12" s="1396"/>
      <c r="EIL12" s="416"/>
      <c r="EIM12" s="416"/>
      <c r="EIN12" s="416"/>
      <c r="EIO12" s="416"/>
      <c r="EIP12" s="416"/>
      <c r="EIQ12" s="416"/>
      <c r="EIR12" s="416"/>
      <c r="EIS12" s="416"/>
      <c r="EIT12" s="416"/>
      <c r="EIU12" s="416"/>
      <c r="EIV12" s="1008"/>
      <c r="EIW12" s="1396"/>
      <c r="EIX12" s="416"/>
      <c r="EIY12" s="416"/>
      <c r="EIZ12" s="416"/>
      <c r="EJA12" s="416"/>
      <c r="EJB12" s="416"/>
      <c r="EJC12" s="416"/>
      <c r="EJD12" s="416"/>
      <c r="EJE12" s="416"/>
      <c r="EJF12" s="416"/>
      <c r="EJG12" s="416"/>
      <c r="EJH12" s="1008"/>
      <c r="EJI12" s="1396"/>
      <c r="EJJ12" s="416"/>
      <c r="EJK12" s="416"/>
      <c r="EJL12" s="416"/>
      <c r="EJM12" s="416"/>
      <c r="EJN12" s="416"/>
      <c r="EJO12" s="416"/>
      <c r="EJP12" s="416"/>
      <c r="EJQ12" s="416"/>
      <c r="EJR12" s="416"/>
      <c r="EJS12" s="416"/>
      <c r="EJT12" s="1008"/>
      <c r="EJU12" s="1396"/>
      <c r="EJV12" s="416"/>
      <c r="EJW12" s="416"/>
      <c r="EJX12" s="416"/>
      <c r="EJY12" s="416"/>
      <c r="EJZ12" s="416"/>
      <c r="EKA12" s="416"/>
      <c r="EKB12" s="416"/>
      <c r="EKC12" s="416"/>
      <c r="EKD12" s="416"/>
      <c r="EKE12" s="416"/>
      <c r="EKF12" s="1008"/>
      <c r="EKG12" s="1396"/>
      <c r="EKH12" s="416"/>
      <c r="EKI12" s="416"/>
      <c r="EKJ12" s="416"/>
      <c r="EKK12" s="416"/>
      <c r="EKL12" s="416"/>
      <c r="EKM12" s="416"/>
      <c r="EKN12" s="416"/>
      <c r="EKO12" s="416"/>
      <c r="EKP12" s="416"/>
      <c r="EKQ12" s="416"/>
      <c r="EKR12" s="1008"/>
      <c r="EKS12" s="1396"/>
      <c r="EKT12" s="416"/>
      <c r="EKU12" s="416"/>
      <c r="EKV12" s="416"/>
      <c r="EKW12" s="416"/>
      <c r="EKX12" s="416"/>
      <c r="EKY12" s="416"/>
      <c r="EKZ12" s="416"/>
      <c r="ELA12" s="416"/>
      <c r="ELB12" s="416"/>
      <c r="ELC12" s="416"/>
      <c r="ELD12" s="1008"/>
      <c r="ELE12" s="1396"/>
      <c r="ELF12" s="416"/>
      <c r="ELG12" s="416"/>
      <c r="ELH12" s="416"/>
      <c r="ELI12" s="416"/>
      <c r="ELJ12" s="416"/>
      <c r="ELK12" s="416"/>
      <c r="ELL12" s="416"/>
      <c r="ELM12" s="416"/>
      <c r="ELN12" s="416"/>
      <c r="ELO12" s="416"/>
      <c r="ELP12" s="1008"/>
      <c r="ELQ12" s="1396"/>
      <c r="ELR12" s="416"/>
      <c r="ELS12" s="416"/>
      <c r="ELT12" s="416"/>
      <c r="ELU12" s="416"/>
      <c r="ELV12" s="416"/>
      <c r="ELW12" s="416"/>
      <c r="ELX12" s="416"/>
      <c r="ELY12" s="416"/>
      <c r="ELZ12" s="416"/>
      <c r="EMA12" s="416"/>
      <c r="EMB12" s="1008"/>
      <c r="EMC12" s="1396"/>
      <c r="EMD12" s="416"/>
      <c r="EME12" s="416"/>
      <c r="EMF12" s="416"/>
      <c r="EMG12" s="416"/>
      <c r="EMH12" s="416"/>
      <c r="EMI12" s="416"/>
      <c r="EMJ12" s="416"/>
      <c r="EMK12" s="416"/>
      <c r="EML12" s="416"/>
      <c r="EMM12" s="416"/>
      <c r="EMN12" s="1008"/>
      <c r="EMO12" s="1396"/>
      <c r="EMP12" s="416"/>
      <c r="EMQ12" s="416"/>
      <c r="EMR12" s="416"/>
      <c r="EMS12" s="416"/>
      <c r="EMT12" s="416"/>
      <c r="EMU12" s="416"/>
      <c r="EMV12" s="416"/>
      <c r="EMW12" s="416"/>
      <c r="EMX12" s="416"/>
      <c r="EMY12" s="416"/>
      <c r="EMZ12" s="1008"/>
      <c r="ENA12" s="1396"/>
      <c r="ENB12" s="416"/>
      <c r="ENC12" s="416"/>
      <c r="END12" s="416"/>
      <c r="ENE12" s="416"/>
      <c r="ENF12" s="416"/>
      <c r="ENG12" s="416"/>
      <c r="ENH12" s="416"/>
      <c r="ENI12" s="416"/>
      <c r="ENJ12" s="416"/>
      <c r="ENK12" s="416"/>
      <c r="ENL12" s="1008"/>
      <c r="ENM12" s="1396"/>
      <c r="ENN12" s="416"/>
      <c r="ENO12" s="416"/>
      <c r="ENP12" s="416"/>
      <c r="ENQ12" s="416"/>
      <c r="ENR12" s="416"/>
      <c r="ENS12" s="416"/>
      <c r="ENT12" s="416"/>
      <c r="ENU12" s="416"/>
      <c r="ENV12" s="416"/>
      <c r="ENW12" s="416"/>
      <c r="ENX12" s="1008"/>
      <c r="ENY12" s="1396"/>
      <c r="ENZ12" s="416"/>
      <c r="EOA12" s="416"/>
      <c r="EOB12" s="416"/>
      <c r="EOC12" s="416"/>
      <c r="EOD12" s="416"/>
      <c r="EOE12" s="416"/>
      <c r="EOF12" s="416"/>
      <c r="EOG12" s="416"/>
      <c r="EOH12" s="416"/>
      <c r="EOI12" s="416"/>
      <c r="EOJ12" s="1008"/>
      <c r="EOK12" s="1396"/>
      <c r="EOL12" s="416"/>
      <c r="EOM12" s="416"/>
      <c r="EON12" s="416"/>
      <c r="EOO12" s="416"/>
      <c r="EOP12" s="416"/>
      <c r="EOQ12" s="416"/>
      <c r="EOR12" s="416"/>
      <c r="EOS12" s="416"/>
      <c r="EOT12" s="416"/>
      <c r="EOU12" s="416"/>
      <c r="EOV12" s="1008"/>
      <c r="EOW12" s="1396"/>
      <c r="EOX12" s="416"/>
      <c r="EOY12" s="416"/>
      <c r="EOZ12" s="416"/>
      <c r="EPA12" s="416"/>
      <c r="EPB12" s="416"/>
      <c r="EPC12" s="416"/>
      <c r="EPD12" s="416"/>
      <c r="EPE12" s="416"/>
      <c r="EPF12" s="416"/>
      <c r="EPG12" s="416"/>
      <c r="EPH12" s="1008"/>
      <c r="EPI12" s="1396"/>
      <c r="EPJ12" s="416"/>
      <c r="EPK12" s="416"/>
      <c r="EPL12" s="416"/>
      <c r="EPM12" s="416"/>
      <c r="EPN12" s="416"/>
      <c r="EPO12" s="416"/>
      <c r="EPP12" s="416"/>
      <c r="EPQ12" s="416"/>
      <c r="EPR12" s="416"/>
      <c r="EPS12" s="416"/>
      <c r="EPT12" s="1008"/>
      <c r="EPU12" s="1396"/>
      <c r="EPV12" s="416"/>
      <c r="EPW12" s="416"/>
      <c r="EPX12" s="416"/>
      <c r="EPY12" s="416"/>
      <c r="EPZ12" s="416"/>
      <c r="EQA12" s="416"/>
      <c r="EQB12" s="416"/>
      <c r="EQC12" s="416"/>
      <c r="EQD12" s="416"/>
      <c r="EQE12" s="416"/>
      <c r="EQF12" s="1008"/>
      <c r="EQG12" s="1396"/>
      <c r="EQH12" s="416"/>
      <c r="EQI12" s="416"/>
      <c r="EQJ12" s="416"/>
      <c r="EQK12" s="416"/>
      <c r="EQL12" s="416"/>
      <c r="EQM12" s="416"/>
      <c r="EQN12" s="416"/>
      <c r="EQO12" s="416"/>
      <c r="EQP12" s="416"/>
      <c r="EQQ12" s="416"/>
      <c r="EQR12" s="1008"/>
      <c r="EQS12" s="1396"/>
      <c r="EQT12" s="416"/>
      <c r="EQU12" s="416"/>
      <c r="EQV12" s="416"/>
      <c r="EQW12" s="416"/>
      <c r="EQX12" s="416"/>
      <c r="EQY12" s="416"/>
      <c r="EQZ12" s="416"/>
      <c r="ERA12" s="416"/>
      <c r="ERB12" s="416"/>
      <c r="ERC12" s="416"/>
      <c r="ERD12" s="1008"/>
      <c r="ERE12" s="1396"/>
      <c r="ERF12" s="416"/>
      <c r="ERG12" s="416"/>
      <c r="ERH12" s="416"/>
      <c r="ERI12" s="416"/>
      <c r="ERJ12" s="416"/>
      <c r="ERK12" s="416"/>
      <c r="ERL12" s="416"/>
      <c r="ERM12" s="416"/>
      <c r="ERN12" s="416"/>
      <c r="ERO12" s="416"/>
      <c r="ERP12" s="1008"/>
      <c r="ERQ12" s="1396"/>
      <c r="ERR12" s="416"/>
      <c r="ERS12" s="416"/>
      <c r="ERT12" s="416"/>
      <c r="ERU12" s="416"/>
      <c r="ERV12" s="416"/>
      <c r="ERW12" s="416"/>
      <c r="ERX12" s="416"/>
      <c r="ERY12" s="416"/>
      <c r="ERZ12" s="416"/>
      <c r="ESA12" s="416"/>
      <c r="ESB12" s="1008"/>
      <c r="ESC12" s="1396"/>
      <c r="ESD12" s="416"/>
      <c r="ESE12" s="416"/>
      <c r="ESF12" s="416"/>
      <c r="ESG12" s="416"/>
      <c r="ESH12" s="416"/>
      <c r="ESI12" s="416"/>
      <c r="ESJ12" s="416"/>
      <c r="ESK12" s="416"/>
      <c r="ESL12" s="416"/>
      <c r="ESM12" s="416"/>
      <c r="ESN12" s="1008"/>
      <c r="ESO12" s="1396"/>
      <c r="ESP12" s="416"/>
      <c r="ESQ12" s="416"/>
      <c r="ESR12" s="416"/>
      <c r="ESS12" s="416"/>
      <c r="EST12" s="416"/>
      <c r="ESU12" s="416"/>
      <c r="ESV12" s="416"/>
      <c r="ESW12" s="416"/>
      <c r="ESX12" s="416"/>
      <c r="ESY12" s="416"/>
      <c r="ESZ12" s="1008"/>
      <c r="ETA12" s="1396"/>
      <c r="ETB12" s="416"/>
      <c r="ETC12" s="416"/>
      <c r="ETD12" s="416"/>
      <c r="ETE12" s="416"/>
      <c r="ETF12" s="416"/>
      <c r="ETG12" s="416"/>
      <c r="ETH12" s="416"/>
      <c r="ETI12" s="416"/>
      <c r="ETJ12" s="416"/>
      <c r="ETK12" s="416"/>
      <c r="ETL12" s="1008"/>
      <c r="ETM12" s="1396"/>
      <c r="ETN12" s="416"/>
      <c r="ETO12" s="416"/>
      <c r="ETP12" s="416"/>
      <c r="ETQ12" s="416"/>
      <c r="ETR12" s="416"/>
      <c r="ETS12" s="416"/>
      <c r="ETT12" s="416"/>
      <c r="ETU12" s="416"/>
      <c r="ETV12" s="416"/>
      <c r="ETW12" s="416"/>
      <c r="ETX12" s="1008"/>
      <c r="ETY12" s="1396"/>
      <c r="ETZ12" s="416"/>
      <c r="EUA12" s="416"/>
      <c r="EUB12" s="416"/>
      <c r="EUC12" s="416"/>
      <c r="EUD12" s="416"/>
      <c r="EUE12" s="416"/>
      <c r="EUF12" s="416"/>
      <c r="EUG12" s="416"/>
      <c r="EUH12" s="416"/>
      <c r="EUI12" s="416"/>
      <c r="EUJ12" s="1008"/>
      <c r="EUK12" s="1396"/>
      <c r="EUL12" s="416"/>
      <c r="EUM12" s="416"/>
      <c r="EUN12" s="416"/>
      <c r="EUO12" s="416"/>
      <c r="EUP12" s="416"/>
      <c r="EUQ12" s="416"/>
      <c r="EUR12" s="416"/>
      <c r="EUS12" s="416"/>
      <c r="EUT12" s="416"/>
      <c r="EUU12" s="416"/>
      <c r="EUV12" s="1008"/>
      <c r="EUW12" s="1396"/>
      <c r="EUX12" s="416"/>
      <c r="EUY12" s="416"/>
      <c r="EUZ12" s="416"/>
      <c r="EVA12" s="416"/>
      <c r="EVB12" s="416"/>
      <c r="EVC12" s="416"/>
      <c r="EVD12" s="416"/>
      <c r="EVE12" s="416"/>
      <c r="EVF12" s="416"/>
      <c r="EVG12" s="416"/>
      <c r="EVH12" s="1008"/>
      <c r="EVI12" s="1396"/>
      <c r="EVJ12" s="416"/>
      <c r="EVK12" s="416"/>
      <c r="EVL12" s="416"/>
      <c r="EVM12" s="416"/>
      <c r="EVN12" s="416"/>
      <c r="EVO12" s="416"/>
      <c r="EVP12" s="416"/>
      <c r="EVQ12" s="416"/>
      <c r="EVR12" s="416"/>
      <c r="EVS12" s="416"/>
      <c r="EVT12" s="1008"/>
      <c r="EVU12" s="1396"/>
      <c r="EVV12" s="416"/>
      <c r="EVW12" s="416"/>
      <c r="EVX12" s="416"/>
      <c r="EVY12" s="416"/>
      <c r="EVZ12" s="416"/>
      <c r="EWA12" s="416"/>
      <c r="EWB12" s="416"/>
      <c r="EWC12" s="416"/>
      <c r="EWD12" s="416"/>
      <c r="EWE12" s="416"/>
      <c r="EWF12" s="1008"/>
      <c r="EWG12" s="1396"/>
      <c r="EWH12" s="416"/>
      <c r="EWI12" s="416"/>
      <c r="EWJ12" s="416"/>
      <c r="EWK12" s="416"/>
      <c r="EWL12" s="416"/>
      <c r="EWM12" s="416"/>
      <c r="EWN12" s="416"/>
      <c r="EWO12" s="416"/>
      <c r="EWP12" s="416"/>
      <c r="EWQ12" s="416"/>
      <c r="EWR12" s="1008"/>
      <c r="EWS12" s="1396"/>
      <c r="EWT12" s="416"/>
      <c r="EWU12" s="416"/>
      <c r="EWV12" s="416"/>
      <c r="EWW12" s="416"/>
      <c r="EWX12" s="416"/>
      <c r="EWY12" s="416"/>
      <c r="EWZ12" s="416"/>
      <c r="EXA12" s="416"/>
      <c r="EXB12" s="416"/>
      <c r="EXC12" s="416"/>
      <c r="EXD12" s="1008"/>
      <c r="EXE12" s="1396"/>
      <c r="EXF12" s="416"/>
      <c r="EXG12" s="416"/>
      <c r="EXH12" s="416"/>
      <c r="EXI12" s="416"/>
      <c r="EXJ12" s="416"/>
      <c r="EXK12" s="416"/>
      <c r="EXL12" s="416"/>
      <c r="EXM12" s="416"/>
      <c r="EXN12" s="416"/>
      <c r="EXO12" s="416"/>
      <c r="EXP12" s="1008"/>
      <c r="EXQ12" s="1396"/>
      <c r="EXR12" s="416"/>
      <c r="EXS12" s="416"/>
      <c r="EXT12" s="416"/>
      <c r="EXU12" s="416"/>
      <c r="EXV12" s="416"/>
      <c r="EXW12" s="416"/>
      <c r="EXX12" s="416"/>
      <c r="EXY12" s="416"/>
      <c r="EXZ12" s="416"/>
      <c r="EYA12" s="416"/>
      <c r="EYB12" s="1008"/>
      <c r="EYC12" s="1396"/>
      <c r="EYD12" s="416"/>
      <c r="EYE12" s="416"/>
      <c r="EYF12" s="416"/>
      <c r="EYG12" s="416"/>
      <c r="EYH12" s="416"/>
      <c r="EYI12" s="416"/>
      <c r="EYJ12" s="416"/>
      <c r="EYK12" s="416"/>
      <c r="EYL12" s="416"/>
      <c r="EYM12" s="416"/>
      <c r="EYN12" s="1008"/>
      <c r="EYO12" s="1396"/>
      <c r="EYP12" s="416"/>
      <c r="EYQ12" s="416"/>
      <c r="EYR12" s="416"/>
      <c r="EYS12" s="416"/>
      <c r="EYT12" s="416"/>
      <c r="EYU12" s="416"/>
      <c r="EYV12" s="416"/>
      <c r="EYW12" s="416"/>
      <c r="EYX12" s="416"/>
      <c r="EYY12" s="416"/>
      <c r="EYZ12" s="1008"/>
      <c r="EZA12" s="1396"/>
      <c r="EZB12" s="416"/>
      <c r="EZC12" s="416"/>
      <c r="EZD12" s="416"/>
      <c r="EZE12" s="416"/>
      <c r="EZF12" s="416"/>
      <c r="EZG12" s="416"/>
      <c r="EZH12" s="416"/>
      <c r="EZI12" s="416"/>
      <c r="EZJ12" s="416"/>
      <c r="EZK12" s="416"/>
      <c r="EZL12" s="1008"/>
      <c r="EZM12" s="1396"/>
      <c r="EZN12" s="416"/>
      <c r="EZO12" s="416"/>
      <c r="EZP12" s="416"/>
      <c r="EZQ12" s="416"/>
      <c r="EZR12" s="416"/>
      <c r="EZS12" s="416"/>
      <c r="EZT12" s="416"/>
      <c r="EZU12" s="416"/>
      <c r="EZV12" s="416"/>
      <c r="EZW12" s="416"/>
      <c r="EZX12" s="1008"/>
      <c r="EZY12" s="1396"/>
      <c r="EZZ12" s="416"/>
      <c r="FAA12" s="416"/>
      <c r="FAB12" s="416"/>
      <c r="FAC12" s="416"/>
      <c r="FAD12" s="416"/>
      <c r="FAE12" s="416"/>
      <c r="FAF12" s="416"/>
      <c r="FAG12" s="416"/>
      <c r="FAH12" s="416"/>
      <c r="FAI12" s="416"/>
      <c r="FAJ12" s="1008"/>
      <c r="FAK12" s="1396"/>
      <c r="FAL12" s="416"/>
      <c r="FAM12" s="416"/>
      <c r="FAN12" s="416"/>
      <c r="FAO12" s="416"/>
      <c r="FAP12" s="416"/>
      <c r="FAQ12" s="416"/>
      <c r="FAR12" s="416"/>
      <c r="FAS12" s="416"/>
      <c r="FAT12" s="416"/>
      <c r="FAU12" s="416"/>
      <c r="FAV12" s="1008"/>
      <c r="FAW12" s="1396"/>
      <c r="FAX12" s="416"/>
      <c r="FAY12" s="416"/>
      <c r="FAZ12" s="416"/>
      <c r="FBA12" s="416"/>
      <c r="FBB12" s="416"/>
      <c r="FBC12" s="416"/>
      <c r="FBD12" s="416"/>
      <c r="FBE12" s="416"/>
      <c r="FBF12" s="416"/>
      <c r="FBG12" s="416"/>
      <c r="FBH12" s="1008"/>
      <c r="FBI12" s="1396"/>
      <c r="FBJ12" s="416"/>
      <c r="FBK12" s="416"/>
      <c r="FBL12" s="416"/>
      <c r="FBM12" s="416"/>
      <c r="FBN12" s="416"/>
      <c r="FBO12" s="416"/>
      <c r="FBP12" s="416"/>
      <c r="FBQ12" s="416"/>
      <c r="FBR12" s="416"/>
      <c r="FBS12" s="416"/>
      <c r="FBT12" s="1008"/>
      <c r="FBU12" s="1396"/>
      <c r="FBV12" s="416"/>
      <c r="FBW12" s="416"/>
      <c r="FBX12" s="416"/>
      <c r="FBY12" s="416"/>
      <c r="FBZ12" s="416"/>
      <c r="FCA12" s="416"/>
      <c r="FCB12" s="416"/>
      <c r="FCC12" s="416"/>
      <c r="FCD12" s="416"/>
      <c r="FCE12" s="416"/>
      <c r="FCF12" s="1008"/>
      <c r="FCG12" s="1396"/>
      <c r="FCH12" s="416"/>
      <c r="FCI12" s="416"/>
      <c r="FCJ12" s="416"/>
      <c r="FCK12" s="416"/>
      <c r="FCL12" s="416"/>
      <c r="FCM12" s="416"/>
      <c r="FCN12" s="416"/>
      <c r="FCO12" s="416"/>
      <c r="FCP12" s="416"/>
      <c r="FCQ12" s="416"/>
      <c r="FCR12" s="1008"/>
      <c r="FCS12" s="1396"/>
      <c r="FCT12" s="416"/>
      <c r="FCU12" s="416"/>
      <c r="FCV12" s="416"/>
      <c r="FCW12" s="416"/>
      <c r="FCX12" s="416"/>
      <c r="FCY12" s="416"/>
      <c r="FCZ12" s="416"/>
      <c r="FDA12" s="416"/>
      <c r="FDB12" s="416"/>
      <c r="FDC12" s="416"/>
      <c r="FDD12" s="1008"/>
      <c r="FDE12" s="1396"/>
      <c r="FDF12" s="416"/>
      <c r="FDG12" s="416"/>
      <c r="FDH12" s="416"/>
      <c r="FDI12" s="416"/>
      <c r="FDJ12" s="416"/>
      <c r="FDK12" s="416"/>
      <c r="FDL12" s="416"/>
      <c r="FDM12" s="416"/>
      <c r="FDN12" s="416"/>
      <c r="FDO12" s="416"/>
      <c r="FDP12" s="1008"/>
      <c r="FDQ12" s="1396"/>
      <c r="FDR12" s="416"/>
      <c r="FDS12" s="416"/>
      <c r="FDT12" s="416"/>
      <c r="FDU12" s="416"/>
      <c r="FDV12" s="416"/>
      <c r="FDW12" s="416"/>
      <c r="FDX12" s="416"/>
      <c r="FDY12" s="416"/>
      <c r="FDZ12" s="416"/>
      <c r="FEA12" s="416"/>
      <c r="FEB12" s="1008"/>
      <c r="FEC12" s="1396"/>
      <c r="FED12" s="416"/>
      <c r="FEE12" s="416"/>
      <c r="FEF12" s="416"/>
      <c r="FEG12" s="416"/>
      <c r="FEH12" s="416"/>
      <c r="FEI12" s="416"/>
      <c r="FEJ12" s="416"/>
      <c r="FEK12" s="416"/>
      <c r="FEL12" s="416"/>
      <c r="FEM12" s="416"/>
      <c r="FEN12" s="1008"/>
      <c r="FEO12" s="1396"/>
      <c r="FEP12" s="416"/>
      <c r="FEQ12" s="416"/>
      <c r="FER12" s="416"/>
      <c r="FES12" s="416"/>
      <c r="FET12" s="416"/>
      <c r="FEU12" s="416"/>
      <c r="FEV12" s="416"/>
      <c r="FEW12" s="416"/>
      <c r="FEX12" s="416"/>
      <c r="FEY12" s="416"/>
      <c r="FEZ12" s="1008"/>
      <c r="FFA12" s="1396"/>
      <c r="FFB12" s="416"/>
      <c r="FFC12" s="416"/>
      <c r="FFD12" s="416"/>
      <c r="FFE12" s="416"/>
      <c r="FFF12" s="416"/>
      <c r="FFG12" s="416"/>
      <c r="FFH12" s="416"/>
      <c r="FFI12" s="416"/>
      <c r="FFJ12" s="416"/>
      <c r="FFK12" s="416"/>
      <c r="FFL12" s="1008"/>
      <c r="FFM12" s="1396"/>
      <c r="FFN12" s="416"/>
      <c r="FFO12" s="416"/>
      <c r="FFP12" s="416"/>
      <c r="FFQ12" s="416"/>
      <c r="FFR12" s="416"/>
      <c r="FFS12" s="416"/>
      <c r="FFT12" s="416"/>
      <c r="FFU12" s="416"/>
      <c r="FFV12" s="416"/>
      <c r="FFW12" s="416"/>
      <c r="FFX12" s="1008"/>
      <c r="FFY12" s="1396"/>
      <c r="FFZ12" s="416"/>
      <c r="FGA12" s="416"/>
      <c r="FGB12" s="416"/>
      <c r="FGC12" s="416"/>
      <c r="FGD12" s="416"/>
      <c r="FGE12" s="416"/>
      <c r="FGF12" s="416"/>
      <c r="FGG12" s="416"/>
      <c r="FGH12" s="416"/>
      <c r="FGI12" s="416"/>
      <c r="FGJ12" s="1008"/>
      <c r="FGK12" s="1396"/>
      <c r="FGL12" s="416"/>
      <c r="FGM12" s="416"/>
      <c r="FGN12" s="416"/>
      <c r="FGO12" s="416"/>
      <c r="FGP12" s="416"/>
      <c r="FGQ12" s="416"/>
      <c r="FGR12" s="416"/>
      <c r="FGS12" s="416"/>
      <c r="FGT12" s="416"/>
      <c r="FGU12" s="416"/>
      <c r="FGV12" s="1008"/>
      <c r="FGW12" s="1396"/>
      <c r="FGX12" s="416"/>
      <c r="FGY12" s="416"/>
      <c r="FGZ12" s="416"/>
      <c r="FHA12" s="416"/>
      <c r="FHB12" s="416"/>
      <c r="FHC12" s="416"/>
      <c r="FHD12" s="416"/>
      <c r="FHE12" s="416"/>
      <c r="FHF12" s="416"/>
      <c r="FHG12" s="416"/>
      <c r="FHH12" s="1008"/>
      <c r="FHI12" s="1396"/>
      <c r="FHJ12" s="416"/>
      <c r="FHK12" s="416"/>
      <c r="FHL12" s="416"/>
      <c r="FHM12" s="416"/>
      <c r="FHN12" s="416"/>
      <c r="FHO12" s="416"/>
      <c r="FHP12" s="416"/>
      <c r="FHQ12" s="416"/>
      <c r="FHR12" s="416"/>
      <c r="FHS12" s="416"/>
      <c r="FHT12" s="1008"/>
      <c r="FHU12" s="1396"/>
      <c r="FHV12" s="416"/>
      <c r="FHW12" s="416"/>
      <c r="FHX12" s="416"/>
      <c r="FHY12" s="416"/>
      <c r="FHZ12" s="416"/>
      <c r="FIA12" s="416"/>
      <c r="FIB12" s="416"/>
      <c r="FIC12" s="416"/>
      <c r="FID12" s="416"/>
      <c r="FIE12" s="416"/>
      <c r="FIF12" s="1008"/>
      <c r="FIG12" s="1396"/>
      <c r="FIH12" s="416"/>
      <c r="FII12" s="416"/>
      <c r="FIJ12" s="416"/>
      <c r="FIK12" s="416"/>
      <c r="FIL12" s="416"/>
      <c r="FIM12" s="416"/>
      <c r="FIN12" s="416"/>
      <c r="FIO12" s="416"/>
      <c r="FIP12" s="416"/>
      <c r="FIQ12" s="416"/>
      <c r="FIR12" s="1008"/>
      <c r="FIS12" s="1396"/>
      <c r="FIT12" s="416"/>
      <c r="FIU12" s="416"/>
      <c r="FIV12" s="416"/>
      <c r="FIW12" s="416"/>
      <c r="FIX12" s="416"/>
      <c r="FIY12" s="416"/>
      <c r="FIZ12" s="416"/>
      <c r="FJA12" s="416"/>
      <c r="FJB12" s="416"/>
      <c r="FJC12" s="416"/>
      <c r="FJD12" s="1008"/>
      <c r="FJE12" s="1396"/>
      <c r="FJF12" s="416"/>
      <c r="FJG12" s="416"/>
      <c r="FJH12" s="416"/>
      <c r="FJI12" s="416"/>
      <c r="FJJ12" s="416"/>
      <c r="FJK12" s="416"/>
      <c r="FJL12" s="416"/>
      <c r="FJM12" s="416"/>
      <c r="FJN12" s="416"/>
      <c r="FJO12" s="416"/>
      <c r="FJP12" s="1008"/>
      <c r="FJQ12" s="1396"/>
      <c r="FJR12" s="416"/>
      <c r="FJS12" s="416"/>
      <c r="FJT12" s="416"/>
      <c r="FJU12" s="416"/>
      <c r="FJV12" s="416"/>
      <c r="FJW12" s="416"/>
      <c r="FJX12" s="416"/>
      <c r="FJY12" s="416"/>
      <c r="FJZ12" s="416"/>
      <c r="FKA12" s="416"/>
      <c r="FKB12" s="1008"/>
      <c r="FKC12" s="1396"/>
      <c r="FKD12" s="416"/>
      <c r="FKE12" s="416"/>
      <c r="FKF12" s="416"/>
      <c r="FKG12" s="416"/>
      <c r="FKH12" s="416"/>
      <c r="FKI12" s="416"/>
      <c r="FKJ12" s="416"/>
      <c r="FKK12" s="416"/>
      <c r="FKL12" s="416"/>
      <c r="FKM12" s="416"/>
      <c r="FKN12" s="1008"/>
      <c r="FKO12" s="1396"/>
      <c r="FKP12" s="416"/>
      <c r="FKQ12" s="416"/>
      <c r="FKR12" s="416"/>
      <c r="FKS12" s="416"/>
      <c r="FKT12" s="416"/>
      <c r="FKU12" s="416"/>
      <c r="FKV12" s="416"/>
      <c r="FKW12" s="416"/>
      <c r="FKX12" s="416"/>
      <c r="FKY12" s="416"/>
      <c r="FKZ12" s="1008"/>
      <c r="FLA12" s="1396"/>
      <c r="FLB12" s="416"/>
      <c r="FLC12" s="416"/>
      <c r="FLD12" s="416"/>
      <c r="FLE12" s="416"/>
      <c r="FLF12" s="416"/>
      <c r="FLG12" s="416"/>
      <c r="FLH12" s="416"/>
      <c r="FLI12" s="416"/>
      <c r="FLJ12" s="416"/>
      <c r="FLK12" s="416"/>
      <c r="FLL12" s="1008"/>
      <c r="FLM12" s="1396"/>
      <c r="FLN12" s="416"/>
      <c r="FLO12" s="416"/>
      <c r="FLP12" s="416"/>
      <c r="FLQ12" s="416"/>
      <c r="FLR12" s="416"/>
      <c r="FLS12" s="416"/>
      <c r="FLT12" s="416"/>
      <c r="FLU12" s="416"/>
      <c r="FLV12" s="416"/>
      <c r="FLW12" s="416"/>
      <c r="FLX12" s="1008"/>
      <c r="FLY12" s="1396"/>
      <c r="FLZ12" s="416"/>
      <c r="FMA12" s="416"/>
      <c r="FMB12" s="416"/>
      <c r="FMC12" s="416"/>
      <c r="FMD12" s="416"/>
      <c r="FME12" s="416"/>
      <c r="FMF12" s="416"/>
      <c r="FMG12" s="416"/>
      <c r="FMH12" s="416"/>
      <c r="FMI12" s="416"/>
      <c r="FMJ12" s="1008"/>
      <c r="FMK12" s="1396"/>
      <c r="FML12" s="416"/>
      <c r="FMM12" s="416"/>
      <c r="FMN12" s="416"/>
      <c r="FMO12" s="416"/>
      <c r="FMP12" s="416"/>
      <c r="FMQ12" s="416"/>
      <c r="FMR12" s="416"/>
      <c r="FMS12" s="416"/>
      <c r="FMT12" s="416"/>
      <c r="FMU12" s="416"/>
      <c r="FMV12" s="1008"/>
      <c r="FMW12" s="1396"/>
      <c r="FMX12" s="416"/>
      <c r="FMY12" s="416"/>
      <c r="FMZ12" s="416"/>
      <c r="FNA12" s="416"/>
      <c r="FNB12" s="416"/>
      <c r="FNC12" s="416"/>
      <c r="FND12" s="416"/>
      <c r="FNE12" s="416"/>
      <c r="FNF12" s="416"/>
      <c r="FNG12" s="416"/>
      <c r="FNH12" s="1008"/>
      <c r="FNI12" s="1396"/>
      <c r="FNJ12" s="416"/>
      <c r="FNK12" s="416"/>
      <c r="FNL12" s="416"/>
      <c r="FNM12" s="416"/>
      <c r="FNN12" s="416"/>
      <c r="FNO12" s="416"/>
      <c r="FNP12" s="416"/>
      <c r="FNQ12" s="416"/>
      <c r="FNR12" s="416"/>
      <c r="FNS12" s="416"/>
      <c r="FNT12" s="1008"/>
      <c r="FNU12" s="1396"/>
      <c r="FNV12" s="416"/>
      <c r="FNW12" s="416"/>
      <c r="FNX12" s="416"/>
      <c r="FNY12" s="416"/>
      <c r="FNZ12" s="416"/>
      <c r="FOA12" s="416"/>
      <c r="FOB12" s="416"/>
      <c r="FOC12" s="416"/>
      <c r="FOD12" s="416"/>
      <c r="FOE12" s="416"/>
      <c r="FOF12" s="1008"/>
      <c r="FOG12" s="1396"/>
      <c r="FOH12" s="416"/>
      <c r="FOI12" s="416"/>
      <c r="FOJ12" s="416"/>
      <c r="FOK12" s="416"/>
      <c r="FOL12" s="416"/>
      <c r="FOM12" s="416"/>
      <c r="FON12" s="416"/>
      <c r="FOO12" s="416"/>
      <c r="FOP12" s="416"/>
      <c r="FOQ12" s="416"/>
      <c r="FOR12" s="1008"/>
      <c r="FOS12" s="1396"/>
      <c r="FOT12" s="416"/>
      <c r="FOU12" s="416"/>
      <c r="FOV12" s="416"/>
      <c r="FOW12" s="416"/>
      <c r="FOX12" s="416"/>
      <c r="FOY12" s="416"/>
      <c r="FOZ12" s="416"/>
      <c r="FPA12" s="416"/>
      <c r="FPB12" s="416"/>
      <c r="FPC12" s="416"/>
      <c r="FPD12" s="1008"/>
      <c r="FPE12" s="1396"/>
      <c r="FPF12" s="416"/>
      <c r="FPG12" s="416"/>
      <c r="FPH12" s="416"/>
      <c r="FPI12" s="416"/>
      <c r="FPJ12" s="416"/>
      <c r="FPK12" s="416"/>
      <c r="FPL12" s="416"/>
      <c r="FPM12" s="416"/>
      <c r="FPN12" s="416"/>
      <c r="FPO12" s="416"/>
      <c r="FPP12" s="1008"/>
      <c r="FPQ12" s="1396"/>
      <c r="FPR12" s="416"/>
      <c r="FPS12" s="416"/>
      <c r="FPT12" s="416"/>
      <c r="FPU12" s="416"/>
      <c r="FPV12" s="416"/>
      <c r="FPW12" s="416"/>
      <c r="FPX12" s="416"/>
      <c r="FPY12" s="416"/>
      <c r="FPZ12" s="416"/>
      <c r="FQA12" s="416"/>
      <c r="FQB12" s="1008"/>
      <c r="FQC12" s="1396"/>
      <c r="FQD12" s="416"/>
      <c r="FQE12" s="416"/>
      <c r="FQF12" s="416"/>
      <c r="FQG12" s="416"/>
      <c r="FQH12" s="416"/>
      <c r="FQI12" s="416"/>
      <c r="FQJ12" s="416"/>
      <c r="FQK12" s="416"/>
      <c r="FQL12" s="416"/>
      <c r="FQM12" s="416"/>
      <c r="FQN12" s="1008"/>
      <c r="FQO12" s="1396"/>
      <c r="FQP12" s="416"/>
      <c r="FQQ12" s="416"/>
      <c r="FQR12" s="416"/>
      <c r="FQS12" s="416"/>
      <c r="FQT12" s="416"/>
      <c r="FQU12" s="416"/>
      <c r="FQV12" s="416"/>
      <c r="FQW12" s="416"/>
      <c r="FQX12" s="416"/>
      <c r="FQY12" s="416"/>
      <c r="FQZ12" s="1008"/>
      <c r="FRA12" s="1396"/>
      <c r="FRB12" s="416"/>
      <c r="FRC12" s="416"/>
      <c r="FRD12" s="416"/>
      <c r="FRE12" s="416"/>
      <c r="FRF12" s="416"/>
      <c r="FRG12" s="416"/>
      <c r="FRH12" s="416"/>
      <c r="FRI12" s="416"/>
      <c r="FRJ12" s="416"/>
      <c r="FRK12" s="416"/>
      <c r="FRL12" s="1008"/>
      <c r="FRM12" s="1396"/>
      <c r="FRN12" s="416"/>
      <c r="FRO12" s="416"/>
      <c r="FRP12" s="416"/>
      <c r="FRQ12" s="416"/>
      <c r="FRR12" s="416"/>
      <c r="FRS12" s="416"/>
      <c r="FRT12" s="416"/>
      <c r="FRU12" s="416"/>
      <c r="FRV12" s="416"/>
      <c r="FRW12" s="416"/>
      <c r="FRX12" s="1008"/>
      <c r="FRY12" s="1396"/>
      <c r="FRZ12" s="416"/>
      <c r="FSA12" s="416"/>
      <c r="FSB12" s="416"/>
      <c r="FSC12" s="416"/>
      <c r="FSD12" s="416"/>
      <c r="FSE12" s="416"/>
      <c r="FSF12" s="416"/>
      <c r="FSG12" s="416"/>
      <c r="FSH12" s="416"/>
      <c r="FSI12" s="416"/>
      <c r="FSJ12" s="1008"/>
      <c r="FSK12" s="1396"/>
      <c r="FSL12" s="416"/>
      <c r="FSM12" s="416"/>
      <c r="FSN12" s="416"/>
      <c r="FSO12" s="416"/>
      <c r="FSP12" s="416"/>
      <c r="FSQ12" s="416"/>
      <c r="FSR12" s="416"/>
      <c r="FSS12" s="416"/>
      <c r="FST12" s="416"/>
      <c r="FSU12" s="416"/>
      <c r="FSV12" s="1008"/>
      <c r="FSW12" s="1396"/>
      <c r="FSX12" s="416"/>
      <c r="FSY12" s="416"/>
      <c r="FSZ12" s="416"/>
      <c r="FTA12" s="416"/>
      <c r="FTB12" s="416"/>
      <c r="FTC12" s="416"/>
      <c r="FTD12" s="416"/>
      <c r="FTE12" s="416"/>
      <c r="FTF12" s="416"/>
      <c r="FTG12" s="416"/>
      <c r="FTH12" s="1008"/>
      <c r="FTI12" s="1396"/>
      <c r="FTJ12" s="416"/>
      <c r="FTK12" s="416"/>
      <c r="FTL12" s="416"/>
      <c r="FTM12" s="416"/>
      <c r="FTN12" s="416"/>
      <c r="FTO12" s="416"/>
      <c r="FTP12" s="416"/>
      <c r="FTQ12" s="416"/>
      <c r="FTR12" s="416"/>
      <c r="FTS12" s="416"/>
      <c r="FTT12" s="1008"/>
      <c r="FTU12" s="1396"/>
      <c r="FTV12" s="416"/>
      <c r="FTW12" s="416"/>
      <c r="FTX12" s="416"/>
      <c r="FTY12" s="416"/>
      <c r="FTZ12" s="416"/>
      <c r="FUA12" s="416"/>
      <c r="FUB12" s="416"/>
      <c r="FUC12" s="416"/>
      <c r="FUD12" s="416"/>
      <c r="FUE12" s="416"/>
      <c r="FUF12" s="1008"/>
      <c r="FUG12" s="1396"/>
      <c r="FUH12" s="416"/>
      <c r="FUI12" s="416"/>
      <c r="FUJ12" s="416"/>
      <c r="FUK12" s="416"/>
      <c r="FUL12" s="416"/>
      <c r="FUM12" s="416"/>
      <c r="FUN12" s="416"/>
      <c r="FUO12" s="416"/>
      <c r="FUP12" s="416"/>
      <c r="FUQ12" s="416"/>
      <c r="FUR12" s="1008"/>
      <c r="FUS12" s="1396"/>
      <c r="FUT12" s="416"/>
      <c r="FUU12" s="416"/>
      <c r="FUV12" s="416"/>
      <c r="FUW12" s="416"/>
      <c r="FUX12" s="416"/>
      <c r="FUY12" s="416"/>
      <c r="FUZ12" s="416"/>
      <c r="FVA12" s="416"/>
      <c r="FVB12" s="416"/>
      <c r="FVC12" s="416"/>
      <c r="FVD12" s="1008"/>
      <c r="FVE12" s="1396"/>
      <c r="FVF12" s="416"/>
      <c r="FVG12" s="416"/>
      <c r="FVH12" s="416"/>
      <c r="FVI12" s="416"/>
      <c r="FVJ12" s="416"/>
      <c r="FVK12" s="416"/>
      <c r="FVL12" s="416"/>
      <c r="FVM12" s="416"/>
      <c r="FVN12" s="416"/>
      <c r="FVO12" s="416"/>
      <c r="FVP12" s="1008"/>
      <c r="FVQ12" s="1396"/>
      <c r="FVR12" s="416"/>
      <c r="FVS12" s="416"/>
      <c r="FVT12" s="416"/>
      <c r="FVU12" s="416"/>
      <c r="FVV12" s="416"/>
      <c r="FVW12" s="416"/>
      <c r="FVX12" s="416"/>
      <c r="FVY12" s="416"/>
      <c r="FVZ12" s="416"/>
      <c r="FWA12" s="416"/>
      <c r="FWB12" s="1008"/>
      <c r="FWC12" s="1396"/>
      <c r="FWD12" s="416"/>
      <c r="FWE12" s="416"/>
      <c r="FWF12" s="416"/>
      <c r="FWG12" s="416"/>
      <c r="FWH12" s="416"/>
      <c r="FWI12" s="416"/>
      <c r="FWJ12" s="416"/>
      <c r="FWK12" s="416"/>
      <c r="FWL12" s="416"/>
      <c r="FWM12" s="416"/>
      <c r="FWN12" s="1008"/>
      <c r="FWO12" s="1396"/>
      <c r="FWP12" s="416"/>
      <c r="FWQ12" s="416"/>
      <c r="FWR12" s="416"/>
      <c r="FWS12" s="416"/>
      <c r="FWT12" s="416"/>
      <c r="FWU12" s="416"/>
      <c r="FWV12" s="416"/>
      <c r="FWW12" s="416"/>
      <c r="FWX12" s="416"/>
      <c r="FWY12" s="416"/>
      <c r="FWZ12" s="1008"/>
      <c r="FXA12" s="1396"/>
      <c r="FXB12" s="416"/>
      <c r="FXC12" s="416"/>
      <c r="FXD12" s="416"/>
      <c r="FXE12" s="416"/>
      <c r="FXF12" s="416"/>
      <c r="FXG12" s="416"/>
      <c r="FXH12" s="416"/>
      <c r="FXI12" s="416"/>
      <c r="FXJ12" s="416"/>
      <c r="FXK12" s="416"/>
      <c r="FXL12" s="1008"/>
      <c r="FXM12" s="1396"/>
      <c r="FXN12" s="416"/>
      <c r="FXO12" s="416"/>
      <c r="FXP12" s="416"/>
      <c r="FXQ12" s="416"/>
      <c r="FXR12" s="416"/>
      <c r="FXS12" s="416"/>
      <c r="FXT12" s="416"/>
      <c r="FXU12" s="416"/>
      <c r="FXV12" s="416"/>
      <c r="FXW12" s="416"/>
      <c r="FXX12" s="1008"/>
      <c r="FXY12" s="1396"/>
      <c r="FXZ12" s="416"/>
      <c r="FYA12" s="416"/>
      <c r="FYB12" s="416"/>
      <c r="FYC12" s="416"/>
      <c r="FYD12" s="416"/>
      <c r="FYE12" s="416"/>
      <c r="FYF12" s="416"/>
      <c r="FYG12" s="416"/>
      <c r="FYH12" s="416"/>
      <c r="FYI12" s="416"/>
      <c r="FYJ12" s="1008"/>
      <c r="FYK12" s="1396"/>
      <c r="FYL12" s="416"/>
      <c r="FYM12" s="416"/>
      <c r="FYN12" s="416"/>
      <c r="FYO12" s="416"/>
      <c r="FYP12" s="416"/>
      <c r="FYQ12" s="416"/>
      <c r="FYR12" s="416"/>
      <c r="FYS12" s="416"/>
      <c r="FYT12" s="416"/>
      <c r="FYU12" s="416"/>
      <c r="FYV12" s="1008"/>
      <c r="FYW12" s="1396"/>
      <c r="FYX12" s="416"/>
      <c r="FYY12" s="416"/>
      <c r="FYZ12" s="416"/>
      <c r="FZA12" s="416"/>
      <c r="FZB12" s="416"/>
      <c r="FZC12" s="416"/>
      <c r="FZD12" s="416"/>
      <c r="FZE12" s="416"/>
      <c r="FZF12" s="416"/>
      <c r="FZG12" s="416"/>
      <c r="FZH12" s="1008"/>
      <c r="FZI12" s="1396"/>
      <c r="FZJ12" s="416"/>
      <c r="FZK12" s="416"/>
      <c r="FZL12" s="416"/>
      <c r="FZM12" s="416"/>
      <c r="FZN12" s="416"/>
      <c r="FZO12" s="416"/>
      <c r="FZP12" s="416"/>
      <c r="FZQ12" s="416"/>
      <c r="FZR12" s="416"/>
      <c r="FZS12" s="416"/>
      <c r="FZT12" s="1008"/>
      <c r="FZU12" s="1396"/>
      <c r="FZV12" s="416"/>
      <c r="FZW12" s="416"/>
      <c r="FZX12" s="416"/>
      <c r="FZY12" s="416"/>
      <c r="FZZ12" s="416"/>
      <c r="GAA12" s="416"/>
      <c r="GAB12" s="416"/>
      <c r="GAC12" s="416"/>
      <c r="GAD12" s="416"/>
      <c r="GAE12" s="416"/>
      <c r="GAF12" s="1008"/>
      <c r="GAG12" s="1396"/>
      <c r="GAH12" s="416"/>
      <c r="GAI12" s="416"/>
      <c r="GAJ12" s="416"/>
      <c r="GAK12" s="416"/>
      <c r="GAL12" s="416"/>
      <c r="GAM12" s="416"/>
      <c r="GAN12" s="416"/>
      <c r="GAO12" s="416"/>
      <c r="GAP12" s="416"/>
      <c r="GAQ12" s="416"/>
      <c r="GAR12" s="1008"/>
      <c r="GAS12" s="1396"/>
      <c r="GAT12" s="416"/>
      <c r="GAU12" s="416"/>
      <c r="GAV12" s="416"/>
      <c r="GAW12" s="416"/>
      <c r="GAX12" s="416"/>
      <c r="GAY12" s="416"/>
      <c r="GAZ12" s="416"/>
      <c r="GBA12" s="416"/>
      <c r="GBB12" s="416"/>
      <c r="GBC12" s="416"/>
      <c r="GBD12" s="1008"/>
      <c r="GBE12" s="1396"/>
      <c r="GBF12" s="416"/>
      <c r="GBG12" s="416"/>
      <c r="GBH12" s="416"/>
      <c r="GBI12" s="416"/>
      <c r="GBJ12" s="416"/>
      <c r="GBK12" s="416"/>
      <c r="GBL12" s="416"/>
      <c r="GBM12" s="416"/>
      <c r="GBN12" s="416"/>
      <c r="GBO12" s="416"/>
      <c r="GBP12" s="1008"/>
      <c r="GBQ12" s="1396"/>
      <c r="GBR12" s="416"/>
      <c r="GBS12" s="416"/>
      <c r="GBT12" s="416"/>
      <c r="GBU12" s="416"/>
      <c r="GBV12" s="416"/>
      <c r="GBW12" s="416"/>
      <c r="GBX12" s="416"/>
      <c r="GBY12" s="416"/>
      <c r="GBZ12" s="416"/>
      <c r="GCA12" s="416"/>
      <c r="GCB12" s="1008"/>
      <c r="GCC12" s="1396"/>
      <c r="GCD12" s="416"/>
      <c r="GCE12" s="416"/>
      <c r="GCF12" s="416"/>
      <c r="GCG12" s="416"/>
      <c r="GCH12" s="416"/>
      <c r="GCI12" s="416"/>
      <c r="GCJ12" s="416"/>
      <c r="GCK12" s="416"/>
      <c r="GCL12" s="416"/>
      <c r="GCM12" s="416"/>
      <c r="GCN12" s="1008"/>
      <c r="GCO12" s="1396"/>
      <c r="GCP12" s="416"/>
      <c r="GCQ12" s="416"/>
      <c r="GCR12" s="416"/>
      <c r="GCS12" s="416"/>
      <c r="GCT12" s="416"/>
      <c r="GCU12" s="416"/>
      <c r="GCV12" s="416"/>
      <c r="GCW12" s="416"/>
      <c r="GCX12" s="416"/>
      <c r="GCY12" s="416"/>
      <c r="GCZ12" s="1008"/>
      <c r="GDA12" s="1396"/>
      <c r="GDB12" s="416"/>
      <c r="GDC12" s="416"/>
      <c r="GDD12" s="416"/>
      <c r="GDE12" s="416"/>
      <c r="GDF12" s="416"/>
      <c r="GDG12" s="416"/>
      <c r="GDH12" s="416"/>
      <c r="GDI12" s="416"/>
      <c r="GDJ12" s="416"/>
      <c r="GDK12" s="416"/>
      <c r="GDL12" s="1008"/>
      <c r="GDM12" s="1396"/>
      <c r="GDN12" s="416"/>
      <c r="GDO12" s="416"/>
      <c r="GDP12" s="416"/>
      <c r="GDQ12" s="416"/>
      <c r="GDR12" s="416"/>
      <c r="GDS12" s="416"/>
      <c r="GDT12" s="416"/>
      <c r="GDU12" s="416"/>
      <c r="GDV12" s="416"/>
      <c r="GDW12" s="416"/>
      <c r="GDX12" s="1008"/>
      <c r="GDY12" s="1396"/>
      <c r="GDZ12" s="416"/>
      <c r="GEA12" s="416"/>
      <c r="GEB12" s="416"/>
      <c r="GEC12" s="416"/>
      <c r="GED12" s="416"/>
      <c r="GEE12" s="416"/>
      <c r="GEF12" s="416"/>
      <c r="GEG12" s="416"/>
      <c r="GEH12" s="416"/>
      <c r="GEI12" s="416"/>
      <c r="GEJ12" s="1008"/>
      <c r="GEK12" s="1396"/>
      <c r="GEL12" s="416"/>
      <c r="GEM12" s="416"/>
      <c r="GEN12" s="416"/>
      <c r="GEO12" s="416"/>
      <c r="GEP12" s="416"/>
      <c r="GEQ12" s="416"/>
      <c r="GER12" s="416"/>
      <c r="GES12" s="416"/>
      <c r="GET12" s="416"/>
      <c r="GEU12" s="416"/>
      <c r="GEV12" s="1008"/>
      <c r="GEW12" s="1396"/>
      <c r="GEX12" s="416"/>
      <c r="GEY12" s="416"/>
      <c r="GEZ12" s="416"/>
      <c r="GFA12" s="416"/>
      <c r="GFB12" s="416"/>
      <c r="GFC12" s="416"/>
      <c r="GFD12" s="416"/>
      <c r="GFE12" s="416"/>
      <c r="GFF12" s="416"/>
      <c r="GFG12" s="416"/>
      <c r="GFH12" s="1008"/>
      <c r="GFI12" s="1396"/>
      <c r="GFJ12" s="416"/>
      <c r="GFK12" s="416"/>
      <c r="GFL12" s="416"/>
      <c r="GFM12" s="416"/>
      <c r="GFN12" s="416"/>
      <c r="GFO12" s="416"/>
      <c r="GFP12" s="416"/>
      <c r="GFQ12" s="416"/>
      <c r="GFR12" s="416"/>
      <c r="GFS12" s="416"/>
      <c r="GFT12" s="1008"/>
      <c r="GFU12" s="1396"/>
      <c r="GFV12" s="416"/>
      <c r="GFW12" s="416"/>
      <c r="GFX12" s="416"/>
      <c r="GFY12" s="416"/>
      <c r="GFZ12" s="416"/>
      <c r="GGA12" s="416"/>
      <c r="GGB12" s="416"/>
      <c r="GGC12" s="416"/>
      <c r="GGD12" s="416"/>
      <c r="GGE12" s="416"/>
      <c r="GGF12" s="1008"/>
      <c r="GGG12" s="1396"/>
      <c r="GGH12" s="416"/>
      <c r="GGI12" s="416"/>
      <c r="GGJ12" s="416"/>
      <c r="GGK12" s="416"/>
      <c r="GGL12" s="416"/>
      <c r="GGM12" s="416"/>
      <c r="GGN12" s="416"/>
      <c r="GGO12" s="416"/>
      <c r="GGP12" s="416"/>
      <c r="GGQ12" s="416"/>
      <c r="GGR12" s="1008"/>
      <c r="GGS12" s="1396"/>
      <c r="GGT12" s="416"/>
      <c r="GGU12" s="416"/>
      <c r="GGV12" s="416"/>
      <c r="GGW12" s="416"/>
      <c r="GGX12" s="416"/>
      <c r="GGY12" s="416"/>
      <c r="GGZ12" s="416"/>
      <c r="GHA12" s="416"/>
      <c r="GHB12" s="416"/>
      <c r="GHC12" s="416"/>
      <c r="GHD12" s="1008"/>
      <c r="GHE12" s="1396"/>
      <c r="GHF12" s="416"/>
      <c r="GHG12" s="416"/>
      <c r="GHH12" s="416"/>
      <c r="GHI12" s="416"/>
      <c r="GHJ12" s="416"/>
      <c r="GHK12" s="416"/>
      <c r="GHL12" s="416"/>
      <c r="GHM12" s="416"/>
      <c r="GHN12" s="416"/>
      <c r="GHO12" s="416"/>
      <c r="GHP12" s="1008"/>
      <c r="GHQ12" s="1396"/>
      <c r="GHR12" s="416"/>
      <c r="GHS12" s="416"/>
      <c r="GHT12" s="416"/>
      <c r="GHU12" s="416"/>
      <c r="GHV12" s="416"/>
      <c r="GHW12" s="416"/>
      <c r="GHX12" s="416"/>
      <c r="GHY12" s="416"/>
      <c r="GHZ12" s="416"/>
      <c r="GIA12" s="416"/>
      <c r="GIB12" s="1008"/>
      <c r="GIC12" s="1396"/>
      <c r="GID12" s="416"/>
      <c r="GIE12" s="416"/>
      <c r="GIF12" s="416"/>
      <c r="GIG12" s="416"/>
      <c r="GIH12" s="416"/>
      <c r="GII12" s="416"/>
      <c r="GIJ12" s="416"/>
      <c r="GIK12" s="416"/>
      <c r="GIL12" s="416"/>
      <c r="GIM12" s="416"/>
      <c r="GIN12" s="1008"/>
      <c r="GIO12" s="1396"/>
      <c r="GIP12" s="416"/>
      <c r="GIQ12" s="416"/>
      <c r="GIR12" s="416"/>
      <c r="GIS12" s="416"/>
      <c r="GIT12" s="416"/>
      <c r="GIU12" s="416"/>
      <c r="GIV12" s="416"/>
      <c r="GIW12" s="416"/>
      <c r="GIX12" s="416"/>
      <c r="GIY12" s="416"/>
      <c r="GIZ12" s="1008"/>
      <c r="GJA12" s="1396"/>
      <c r="GJB12" s="416"/>
      <c r="GJC12" s="416"/>
      <c r="GJD12" s="416"/>
      <c r="GJE12" s="416"/>
      <c r="GJF12" s="416"/>
      <c r="GJG12" s="416"/>
      <c r="GJH12" s="416"/>
      <c r="GJI12" s="416"/>
      <c r="GJJ12" s="416"/>
      <c r="GJK12" s="416"/>
      <c r="GJL12" s="1008"/>
      <c r="GJM12" s="1396"/>
      <c r="GJN12" s="416"/>
      <c r="GJO12" s="416"/>
      <c r="GJP12" s="416"/>
      <c r="GJQ12" s="416"/>
      <c r="GJR12" s="416"/>
      <c r="GJS12" s="416"/>
      <c r="GJT12" s="416"/>
      <c r="GJU12" s="416"/>
      <c r="GJV12" s="416"/>
      <c r="GJW12" s="416"/>
      <c r="GJX12" s="1008"/>
      <c r="GJY12" s="1396"/>
      <c r="GJZ12" s="416"/>
      <c r="GKA12" s="416"/>
      <c r="GKB12" s="416"/>
      <c r="GKC12" s="416"/>
      <c r="GKD12" s="416"/>
      <c r="GKE12" s="416"/>
      <c r="GKF12" s="416"/>
      <c r="GKG12" s="416"/>
      <c r="GKH12" s="416"/>
      <c r="GKI12" s="416"/>
      <c r="GKJ12" s="1008"/>
      <c r="GKK12" s="1396"/>
      <c r="GKL12" s="416"/>
      <c r="GKM12" s="416"/>
      <c r="GKN12" s="416"/>
      <c r="GKO12" s="416"/>
      <c r="GKP12" s="416"/>
      <c r="GKQ12" s="416"/>
      <c r="GKR12" s="416"/>
      <c r="GKS12" s="416"/>
      <c r="GKT12" s="416"/>
      <c r="GKU12" s="416"/>
      <c r="GKV12" s="1008"/>
      <c r="GKW12" s="1396"/>
      <c r="GKX12" s="416"/>
      <c r="GKY12" s="416"/>
      <c r="GKZ12" s="416"/>
      <c r="GLA12" s="416"/>
      <c r="GLB12" s="416"/>
      <c r="GLC12" s="416"/>
      <c r="GLD12" s="416"/>
      <c r="GLE12" s="416"/>
      <c r="GLF12" s="416"/>
      <c r="GLG12" s="416"/>
      <c r="GLH12" s="1008"/>
      <c r="GLI12" s="1396"/>
      <c r="GLJ12" s="416"/>
      <c r="GLK12" s="416"/>
      <c r="GLL12" s="416"/>
      <c r="GLM12" s="416"/>
      <c r="GLN12" s="416"/>
      <c r="GLO12" s="416"/>
      <c r="GLP12" s="416"/>
      <c r="GLQ12" s="416"/>
      <c r="GLR12" s="416"/>
      <c r="GLS12" s="416"/>
      <c r="GLT12" s="1008"/>
      <c r="GLU12" s="1396"/>
      <c r="GLV12" s="416"/>
      <c r="GLW12" s="416"/>
      <c r="GLX12" s="416"/>
      <c r="GLY12" s="416"/>
      <c r="GLZ12" s="416"/>
      <c r="GMA12" s="416"/>
      <c r="GMB12" s="416"/>
      <c r="GMC12" s="416"/>
      <c r="GMD12" s="416"/>
      <c r="GME12" s="416"/>
      <c r="GMF12" s="1008"/>
      <c r="GMG12" s="1396"/>
      <c r="GMH12" s="416"/>
      <c r="GMI12" s="416"/>
      <c r="GMJ12" s="416"/>
      <c r="GMK12" s="416"/>
      <c r="GML12" s="416"/>
      <c r="GMM12" s="416"/>
      <c r="GMN12" s="416"/>
      <c r="GMO12" s="416"/>
      <c r="GMP12" s="416"/>
      <c r="GMQ12" s="416"/>
      <c r="GMR12" s="1008"/>
      <c r="GMS12" s="1396"/>
      <c r="GMT12" s="416"/>
      <c r="GMU12" s="416"/>
      <c r="GMV12" s="416"/>
      <c r="GMW12" s="416"/>
      <c r="GMX12" s="416"/>
      <c r="GMY12" s="416"/>
      <c r="GMZ12" s="416"/>
      <c r="GNA12" s="416"/>
      <c r="GNB12" s="416"/>
      <c r="GNC12" s="416"/>
      <c r="GND12" s="1008"/>
      <c r="GNE12" s="1396"/>
      <c r="GNF12" s="416"/>
      <c r="GNG12" s="416"/>
      <c r="GNH12" s="416"/>
      <c r="GNI12" s="416"/>
      <c r="GNJ12" s="416"/>
      <c r="GNK12" s="416"/>
      <c r="GNL12" s="416"/>
      <c r="GNM12" s="416"/>
      <c r="GNN12" s="416"/>
      <c r="GNO12" s="416"/>
      <c r="GNP12" s="1008"/>
      <c r="GNQ12" s="1396"/>
      <c r="GNR12" s="416"/>
      <c r="GNS12" s="416"/>
      <c r="GNT12" s="416"/>
      <c r="GNU12" s="416"/>
      <c r="GNV12" s="416"/>
      <c r="GNW12" s="416"/>
      <c r="GNX12" s="416"/>
      <c r="GNY12" s="416"/>
      <c r="GNZ12" s="416"/>
      <c r="GOA12" s="416"/>
      <c r="GOB12" s="1008"/>
      <c r="GOC12" s="1396"/>
      <c r="GOD12" s="416"/>
      <c r="GOE12" s="416"/>
      <c r="GOF12" s="416"/>
      <c r="GOG12" s="416"/>
      <c r="GOH12" s="416"/>
      <c r="GOI12" s="416"/>
      <c r="GOJ12" s="416"/>
      <c r="GOK12" s="416"/>
      <c r="GOL12" s="416"/>
      <c r="GOM12" s="416"/>
      <c r="GON12" s="1008"/>
      <c r="GOO12" s="1396"/>
      <c r="GOP12" s="416"/>
      <c r="GOQ12" s="416"/>
      <c r="GOR12" s="416"/>
      <c r="GOS12" s="416"/>
      <c r="GOT12" s="416"/>
      <c r="GOU12" s="416"/>
      <c r="GOV12" s="416"/>
      <c r="GOW12" s="416"/>
      <c r="GOX12" s="416"/>
      <c r="GOY12" s="416"/>
      <c r="GOZ12" s="1008"/>
      <c r="GPA12" s="1396"/>
      <c r="GPB12" s="416"/>
      <c r="GPC12" s="416"/>
      <c r="GPD12" s="416"/>
      <c r="GPE12" s="416"/>
      <c r="GPF12" s="416"/>
      <c r="GPG12" s="416"/>
      <c r="GPH12" s="416"/>
      <c r="GPI12" s="416"/>
      <c r="GPJ12" s="416"/>
      <c r="GPK12" s="416"/>
      <c r="GPL12" s="1008"/>
      <c r="GPM12" s="1396"/>
      <c r="GPN12" s="416"/>
      <c r="GPO12" s="416"/>
      <c r="GPP12" s="416"/>
      <c r="GPQ12" s="416"/>
      <c r="GPR12" s="416"/>
      <c r="GPS12" s="416"/>
      <c r="GPT12" s="416"/>
      <c r="GPU12" s="416"/>
      <c r="GPV12" s="416"/>
      <c r="GPW12" s="416"/>
      <c r="GPX12" s="1008"/>
      <c r="GPY12" s="1396"/>
      <c r="GPZ12" s="416"/>
      <c r="GQA12" s="416"/>
      <c r="GQB12" s="416"/>
      <c r="GQC12" s="416"/>
      <c r="GQD12" s="416"/>
      <c r="GQE12" s="416"/>
      <c r="GQF12" s="416"/>
      <c r="GQG12" s="416"/>
      <c r="GQH12" s="416"/>
      <c r="GQI12" s="416"/>
      <c r="GQJ12" s="1008"/>
      <c r="GQK12" s="1396"/>
      <c r="GQL12" s="416"/>
      <c r="GQM12" s="416"/>
      <c r="GQN12" s="416"/>
      <c r="GQO12" s="416"/>
      <c r="GQP12" s="416"/>
      <c r="GQQ12" s="416"/>
      <c r="GQR12" s="416"/>
      <c r="GQS12" s="416"/>
      <c r="GQT12" s="416"/>
      <c r="GQU12" s="416"/>
      <c r="GQV12" s="1008"/>
      <c r="GQW12" s="1396"/>
      <c r="GQX12" s="416"/>
      <c r="GQY12" s="416"/>
      <c r="GQZ12" s="416"/>
      <c r="GRA12" s="416"/>
      <c r="GRB12" s="416"/>
      <c r="GRC12" s="416"/>
      <c r="GRD12" s="416"/>
      <c r="GRE12" s="416"/>
      <c r="GRF12" s="416"/>
      <c r="GRG12" s="416"/>
      <c r="GRH12" s="1008"/>
      <c r="GRI12" s="1396"/>
      <c r="GRJ12" s="416"/>
      <c r="GRK12" s="416"/>
      <c r="GRL12" s="416"/>
      <c r="GRM12" s="416"/>
      <c r="GRN12" s="416"/>
      <c r="GRO12" s="416"/>
      <c r="GRP12" s="416"/>
      <c r="GRQ12" s="416"/>
      <c r="GRR12" s="416"/>
      <c r="GRS12" s="416"/>
      <c r="GRT12" s="1008"/>
      <c r="GRU12" s="1396"/>
      <c r="GRV12" s="416"/>
      <c r="GRW12" s="416"/>
      <c r="GRX12" s="416"/>
      <c r="GRY12" s="416"/>
      <c r="GRZ12" s="416"/>
      <c r="GSA12" s="416"/>
      <c r="GSB12" s="416"/>
      <c r="GSC12" s="416"/>
      <c r="GSD12" s="416"/>
      <c r="GSE12" s="416"/>
      <c r="GSF12" s="1008"/>
      <c r="GSG12" s="1396"/>
      <c r="GSH12" s="416"/>
      <c r="GSI12" s="416"/>
      <c r="GSJ12" s="416"/>
      <c r="GSK12" s="416"/>
      <c r="GSL12" s="416"/>
      <c r="GSM12" s="416"/>
      <c r="GSN12" s="416"/>
      <c r="GSO12" s="416"/>
      <c r="GSP12" s="416"/>
      <c r="GSQ12" s="416"/>
      <c r="GSR12" s="1008"/>
      <c r="GSS12" s="1396"/>
      <c r="GST12" s="416"/>
      <c r="GSU12" s="416"/>
      <c r="GSV12" s="416"/>
      <c r="GSW12" s="416"/>
      <c r="GSX12" s="416"/>
      <c r="GSY12" s="416"/>
      <c r="GSZ12" s="416"/>
      <c r="GTA12" s="416"/>
      <c r="GTB12" s="416"/>
      <c r="GTC12" s="416"/>
      <c r="GTD12" s="1008"/>
      <c r="GTE12" s="1396"/>
      <c r="GTF12" s="416"/>
      <c r="GTG12" s="416"/>
      <c r="GTH12" s="416"/>
      <c r="GTI12" s="416"/>
      <c r="GTJ12" s="416"/>
      <c r="GTK12" s="416"/>
      <c r="GTL12" s="416"/>
      <c r="GTM12" s="416"/>
      <c r="GTN12" s="416"/>
      <c r="GTO12" s="416"/>
      <c r="GTP12" s="1008"/>
      <c r="GTQ12" s="1396"/>
      <c r="GTR12" s="416"/>
      <c r="GTS12" s="416"/>
      <c r="GTT12" s="416"/>
      <c r="GTU12" s="416"/>
      <c r="GTV12" s="416"/>
      <c r="GTW12" s="416"/>
      <c r="GTX12" s="416"/>
      <c r="GTY12" s="416"/>
      <c r="GTZ12" s="416"/>
      <c r="GUA12" s="416"/>
      <c r="GUB12" s="1008"/>
      <c r="GUC12" s="1396"/>
      <c r="GUD12" s="416"/>
      <c r="GUE12" s="416"/>
      <c r="GUF12" s="416"/>
      <c r="GUG12" s="416"/>
      <c r="GUH12" s="416"/>
      <c r="GUI12" s="416"/>
      <c r="GUJ12" s="416"/>
      <c r="GUK12" s="416"/>
      <c r="GUL12" s="416"/>
      <c r="GUM12" s="416"/>
      <c r="GUN12" s="1008"/>
      <c r="GUO12" s="1396"/>
      <c r="GUP12" s="416"/>
      <c r="GUQ12" s="416"/>
      <c r="GUR12" s="416"/>
      <c r="GUS12" s="416"/>
      <c r="GUT12" s="416"/>
      <c r="GUU12" s="416"/>
      <c r="GUV12" s="416"/>
      <c r="GUW12" s="416"/>
      <c r="GUX12" s="416"/>
      <c r="GUY12" s="416"/>
      <c r="GUZ12" s="1008"/>
      <c r="GVA12" s="1396"/>
      <c r="GVB12" s="416"/>
      <c r="GVC12" s="416"/>
      <c r="GVD12" s="416"/>
      <c r="GVE12" s="416"/>
      <c r="GVF12" s="416"/>
      <c r="GVG12" s="416"/>
      <c r="GVH12" s="416"/>
      <c r="GVI12" s="416"/>
      <c r="GVJ12" s="416"/>
      <c r="GVK12" s="416"/>
      <c r="GVL12" s="1008"/>
      <c r="GVM12" s="1396"/>
      <c r="GVN12" s="416"/>
      <c r="GVO12" s="416"/>
      <c r="GVP12" s="416"/>
      <c r="GVQ12" s="416"/>
      <c r="GVR12" s="416"/>
      <c r="GVS12" s="416"/>
      <c r="GVT12" s="416"/>
      <c r="GVU12" s="416"/>
      <c r="GVV12" s="416"/>
      <c r="GVW12" s="416"/>
      <c r="GVX12" s="1008"/>
      <c r="GVY12" s="1396"/>
      <c r="GVZ12" s="416"/>
      <c r="GWA12" s="416"/>
      <c r="GWB12" s="416"/>
      <c r="GWC12" s="416"/>
      <c r="GWD12" s="416"/>
      <c r="GWE12" s="416"/>
      <c r="GWF12" s="416"/>
      <c r="GWG12" s="416"/>
      <c r="GWH12" s="416"/>
      <c r="GWI12" s="416"/>
      <c r="GWJ12" s="1008"/>
      <c r="GWK12" s="1396"/>
      <c r="GWL12" s="416"/>
      <c r="GWM12" s="416"/>
      <c r="GWN12" s="416"/>
      <c r="GWO12" s="416"/>
      <c r="GWP12" s="416"/>
      <c r="GWQ12" s="416"/>
      <c r="GWR12" s="416"/>
      <c r="GWS12" s="416"/>
      <c r="GWT12" s="416"/>
      <c r="GWU12" s="416"/>
      <c r="GWV12" s="1008"/>
      <c r="GWW12" s="1396"/>
      <c r="GWX12" s="416"/>
      <c r="GWY12" s="416"/>
      <c r="GWZ12" s="416"/>
      <c r="GXA12" s="416"/>
      <c r="GXB12" s="416"/>
      <c r="GXC12" s="416"/>
      <c r="GXD12" s="416"/>
      <c r="GXE12" s="416"/>
      <c r="GXF12" s="416"/>
      <c r="GXG12" s="416"/>
      <c r="GXH12" s="1008"/>
      <c r="GXI12" s="1396"/>
      <c r="GXJ12" s="416"/>
      <c r="GXK12" s="416"/>
      <c r="GXL12" s="416"/>
      <c r="GXM12" s="416"/>
      <c r="GXN12" s="416"/>
      <c r="GXO12" s="416"/>
      <c r="GXP12" s="416"/>
      <c r="GXQ12" s="416"/>
      <c r="GXR12" s="416"/>
      <c r="GXS12" s="416"/>
      <c r="GXT12" s="1008"/>
      <c r="GXU12" s="1396"/>
      <c r="GXV12" s="416"/>
      <c r="GXW12" s="416"/>
      <c r="GXX12" s="416"/>
      <c r="GXY12" s="416"/>
      <c r="GXZ12" s="416"/>
      <c r="GYA12" s="416"/>
      <c r="GYB12" s="416"/>
      <c r="GYC12" s="416"/>
      <c r="GYD12" s="416"/>
      <c r="GYE12" s="416"/>
      <c r="GYF12" s="1008"/>
      <c r="GYG12" s="1396"/>
      <c r="GYH12" s="416"/>
      <c r="GYI12" s="416"/>
      <c r="GYJ12" s="416"/>
      <c r="GYK12" s="416"/>
      <c r="GYL12" s="416"/>
      <c r="GYM12" s="416"/>
      <c r="GYN12" s="416"/>
      <c r="GYO12" s="416"/>
      <c r="GYP12" s="416"/>
      <c r="GYQ12" s="416"/>
      <c r="GYR12" s="1008"/>
      <c r="GYS12" s="1396"/>
      <c r="GYT12" s="416"/>
      <c r="GYU12" s="416"/>
      <c r="GYV12" s="416"/>
      <c r="GYW12" s="416"/>
      <c r="GYX12" s="416"/>
      <c r="GYY12" s="416"/>
      <c r="GYZ12" s="416"/>
      <c r="GZA12" s="416"/>
      <c r="GZB12" s="416"/>
      <c r="GZC12" s="416"/>
      <c r="GZD12" s="1008"/>
      <c r="GZE12" s="1396"/>
      <c r="GZF12" s="416"/>
      <c r="GZG12" s="416"/>
      <c r="GZH12" s="416"/>
      <c r="GZI12" s="416"/>
      <c r="GZJ12" s="416"/>
      <c r="GZK12" s="416"/>
      <c r="GZL12" s="416"/>
      <c r="GZM12" s="416"/>
      <c r="GZN12" s="416"/>
      <c r="GZO12" s="416"/>
      <c r="GZP12" s="1008"/>
      <c r="GZQ12" s="1396"/>
      <c r="GZR12" s="416"/>
      <c r="GZS12" s="416"/>
      <c r="GZT12" s="416"/>
      <c r="GZU12" s="416"/>
      <c r="GZV12" s="416"/>
      <c r="GZW12" s="416"/>
      <c r="GZX12" s="416"/>
      <c r="GZY12" s="416"/>
      <c r="GZZ12" s="416"/>
      <c r="HAA12" s="416"/>
      <c r="HAB12" s="1008"/>
      <c r="HAC12" s="1396"/>
      <c r="HAD12" s="416"/>
      <c r="HAE12" s="416"/>
      <c r="HAF12" s="416"/>
      <c r="HAG12" s="416"/>
      <c r="HAH12" s="416"/>
      <c r="HAI12" s="416"/>
      <c r="HAJ12" s="416"/>
      <c r="HAK12" s="416"/>
      <c r="HAL12" s="416"/>
      <c r="HAM12" s="416"/>
      <c r="HAN12" s="1008"/>
      <c r="HAO12" s="1396"/>
      <c r="HAP12" s="416"/>
      <c r="HAQ12" s="416"/>
      <c r="HAR12" s="416"/>
      <c r="HAS12" s="416"/>
      <c r="HAT12" s="416"/>
      <c r="HAU12" s="416"/>
      <c r="HAV12" s="416"/>
      <c r="HAW12" s="416"/>
      <c r="HAX12" s="416"/>
      <c r="HAY12" s="416"/>
      <c r="HAZ12" s="1008"/>
      <c r="HBA12" s="1396"/>
      <c r="HBB12" s="416"/>
      <c r="HBC12" s="416"/>
      <c r="HBD12" s="416"/>
      <c r="HBE12" s="416"/>
      <c r="HBF12" s="416"/>
      <c r="HBG12" s="416"/>
      <c r="HBH12" s="416"/>
      <c r="HBI12" s="416"/>
      <c r="HBJ12" s="416"/>
      <c r="HBK12" s="416"/>
      <c r="HBL12" s="1008"/>
      <c r="HBM12" s="1396"/>
      <c r="HBN12" s="416"/>
      <c r="HBO12" s="416"/>
      <c r="HBP12" s="416"/>
      <c r="HBQ12" s="416"/>
      <c r="HBR12" s="416"/>
      <c r="HBS12" s="416"/>
      <c r="HBT12" s="416"/>
      <c r="HBU12" s="416"/>
      <c r="HBV12" s="416"/>
      <c r="HBW12" s="416"/>
      <c r="HBX12" s="1008"/>
      <c r="HBY12" s="1396"/>
      <c r="HBZ12" s="416"/>
      <c r="HCA12" s="416"/>
      <c r="HCB12" s="416"/>
      <c r="HCC12" s="416"/>
      <c r="HCD12" s="416"/>
      <c r="HCE12" s="416"/>
      <c r="HCF12" s="416"/>
      <c r="HCG12" s="416"/>
      <c r="HCH12" s="416"/>
      <c r="HCI12" s="416"/>
      <c r="HCJ12" s="1008"/>
      <c r="HCK12" s="1396"/>
      <c r="HCL12" s="416"/>
      <c r="HCM12" s="416"/>
      <c r="HCN12" s="416"/>
      <c r="HCO12" s="416"/>
      <c r="HCP12" s="416"/>
      <c r="HCQ12" s="416"/>
      <c r="HCR12" s="416"/>
      <c r="HCS12" s="416"/>
      <c r="HCT12" s="416"/>
      <c r="HCU12" s="416"/>
      <c r="HCV12" s="1008"/>
      <c r="HCW12" s="1396"/>
      <c r="HCX12" s="416"/>
      <c r="HCY12" s="416"/>
      <c r="HCZ12" s="416"/>
      <c r="HDA12" s="416"/>
      <c r="HDB12" s="416"/>
      <c r="HDC12" s="416"/>
      <c r="HDD12" s="416"/>
      <c r="HDE12" s="416"/>
      <c r="HDF12" s="416"/>
      <c r="HDG12" s="416"/>
      <c r="HDH12" s="1008"/>
      <c r="HDI12" s="1396"/>
      <c r="HDJ12" s="416"/>
      <c r="HDK12" s="416"/>
      <c r="HDL12" s="416"/>
      <c r="HDM12" s="416"/>
      <c r="HDN12" s="416"/>
      <c r="HDO12" s="416"/>
      <c r="HDP12" s="416"/>
      <c r="HDQ12" s="416"/>
      <c r="HDR12" s="416"/>
      <c r="HDS12" s="416"/>
      <c r="HDT12" s="1008"/>
      <c r="HDU12" s="1396"/>
      <c r="HDV12" s="416"/>
      <c r="HDW12" s="416"/>
      <c r="HDX12" s="416"/>
      <c r="HDY12" s="416"/>
      <c r="HDZ12" s="416"/>
      <c r="HEA12" s="416"/>
      <c r="HEB12" s="416"/>
      <c r="HEC12" s="416"/>
      <c r="HED12" s="416"/>
      <c r="HEE12" s="416"/>
      <c r="HEF12" s="1008"/>
      <c r="HEG12" s="1396"/>
      <c r="HEH12" s="416"/>
      <c r="HEI12" s="416"/>
      <c r="HEJ12" s="416"/>
      <c r="HEK12" s="416"/>
      <c r="HEL12" s="416"/>
      <c r="HEM12" s="416"/>
      <c r="HEN12" s="416"/>
      <c r="HEO12" s="416"/>
      <c r="HEP12" s="416"/>
      <c r="HEQ12" s="416"/>
      <c r="HER12" s="1008"/>
      <c r="HES12" s="1396"/>
      <c r="HET12" s="416"/>
      <c r="HEU12" s="416"/>
      <c r="HEV12" s="416"/>
      <c r="HEW12" s="416"/>
      <c r="HEX12" s="416"/>
      <c r="HEY12" s="416"/>
      <c r="HEZ12" s="416"/>
      <c r="HFA12" s="416"/>
      <c r="HFB12" s="416"/>
      <c r="HFC12" s="416"/>
      <c r="HFD12" s="1008"/>
      <c r="HFE12" s="1396"/>
      <c r="HFF12" s="416"/>
      <c r="HFG12" s="416"/>
      <c r="HFH12" s="416"/>
      <c r="HFI12" s="416"/>
      <c r="HFJ12" s="416"/>
      <c r="HFK12" s="416"/>
      <c r="HFL12" s="416"/>
      <c r="HFM12" s="416"/>
      <c r="HFN12" s="416"/>
      <c r="HFO12" s="416"/>
      <c r="HFP12" s="1008"/>
      <c r="HFQ12" s="1396"/>
      <c r="HFR12" s="416"/>
      <c r="HFS12" s="416"/>
      <c r="HFT12" s="416"/>
      <c r="HFU12" s="416"/>
      <c r="HFV12" s="416"/>
      <c r="HFW12" s="416"/>
      <c r="HFX12" s="416"/>
      <c r="HFY12" s="416"/>
      <c r="HFZ12" s="416"/>
      <c r="HGA12" s="416"/>
      <c r="HGB12" s="1008"/>
      <c r="HGC12" s="1396"/>
      <c r="HGD12" s="416"/>
      <c r="HGE12" s="416"/>
      <c r="HGF12" s="416"/>
      <c r="HGG12" s="416"/>
      <c r="HGH12" s="416"/>
      <c r="HGI12" s="416"/>
      <c r="HGJ12" s="416"/>
      <c r="HGK12" s="416"/>
      <c r="HGL12" s="416"/>
      <c r="HGM12" s="416"/>
      <c r="HGN12" s="1008"/>
      <c r="HGO12" s="1396"/>
      <c r="HGP12" s="416"/>
      <c r="HGQ12" s="416"/>
      <c r="HGR12" s="416"/>
      <c r="HGS12" s="416"/>
      <c r="HGT12" s="416"/>
      <c r="HGU12" s="416"/>
      <c r="HGV12" s="416"/>
      <c r="HGW12" s="416"/>
      <c r="HGX12" s="416"/>
      <c r="HGY12" s="416"/>
      <c r="HGZ12" s="1008"/>
      <c r="HHA12" s="1396"/>
      <c r="HHB12" s="416"/>
      <c r="HHC12" s="416"/>
      <c r="HHD12" s="416"/>
      <c r="HHE12" s="416"/>
      <c r="HHF12" s="416"/>
      <c r="HHG12" s="416"/>
      <c r="HHH12" s="416"/>
      <c r="HHI12" s="416"/>
      <c r="HHJ12" s="416"/>
      <c r="HHK12" s="416"/>
      <c r="HHL12" s="1008"/>
      <c r="HHM12" s="1396"/>
      <c r="HHN12" s="416"/>
      <c r="HHO12" s="416"/>
      <c r="HHP12" s="416"/>
      <c r="HHQ12" s="416"/>
      <c r="HHR12" s="416"/>
      <c r="HHS12" s="416"/>
      <c r="HHT12" s="416"/>
      <c r="HHU12" s="416"/>
      <c r="HHV12" s="416"/>
      <c r="HHW12" s="416"/>
      <c r="HHX12" s="1008"/>
      <c r="HHY12" s="1396"/>
      <c r="HHZ12" s="416"/>
      <c r="HIA12" s="416"/>
      <c r="HIB12" s="416"/>
      <c r="HIC12" s="416"/>
      <c r="HID12" s="416"/>
      <c r="HIE12" s="416"/>
      <c r="HIF12" s="416"/>
      <c r="HIG12" s="416"/>
      <c r="HIH12" s="416"/>
      <c r="HII12" s="416"/>
      <c r="HIJ12" s="1008"/>
      <c r="HIK12" s="1396"/>
      <c r="HIL12" s="416"/>
      <c r="HIM12" s="416"/>
      <c r="HIN12" s="416"/>
      <c r="HIO12" s="416"/>
      <c r="HIP12" s="416"/>
      <c r="HIQ12" s="416"/>
      <c r="HIR12" s="416"/>
      <c r="HIS12" s="416"/>
      <c r="HIT12" s="416"/>
      <c r="HIU12" s="416"/>
      <c r="HIV12" s="1008"/>
      <c r="HIW12" s="1396"/>
      <c r="HIX12" s="416"/>
      <c r="HIY12" s="416"/>
      <c r="HIZ12" s="416"/>
      <c r="HJA12" s="416"/>
      <c r="HJB12" s="416"/>
      <c r="HJC12" s="416"/>
      <c r="HJD12" s="416"/>
      <c r="HJE12" s="416"/>
      <c r="HJF12" s="416"/>
      <c r="HJG12" s="416"/>
      <c r="HJH12" s="1008"/>
      <c r="HJI12" s="1396"/>
      <c r="HJJ12" s="416"/>
      <c r="HJK12" s="416"/>
      <c r="HJL12" s="416"/>
      <c r="HJM12" s="416"/>
      <c r="HJN12" s="416"/>
      <c r="HJO12" s="416"/>
      <c r="HJP12" s="416"/>
      <c r="HJQ12" s="416"/>
      <c r="HJR12" s="416"/>
      <c r="HJS12" s="416"/>
      <c r="HJT12" s="1008"/>
      <c r="HJU12" s="1396"/>
      <c r="HJV12" s="416"/>
      <c r="HJW12" s="416"/>
      <c r="HJX12" s="416"/>
      <c r="HJY12" s="416"/>
      <c r="HJZ12" s="416"/>
      <c r="HKA12" s="416"/>
      <c r="HKB12" s="416"/>
      <c r="HKC12" s="416"/>
      <c r="HKD12" s="416"/>
      <c r="HKE12" s="416"/>
      <c r="HKF12" s="1008"/>
      <c r="HKG12" s="1396"/>
      <c r="HKH12" s="416"/>
      <c r="HKI12" s="416"/>
      <c r="HKJ12" s="416"/>
      <c r="HKK12" s="416"/>
      <c r="HKL12" s="416"/>
      <c r="HKM12" s="416"/>
      <c r="HKN12" s="416"/>
      <c r="HKO12" s="416"/>
      <c r="HKP12" s="416"/>
      <c r="HKQ12" s="416"/>
      <c r="HKR12" s="1008"/>
      <c r="HKS12" s="1396"/>
      <c r="HKT12" s="416"/>
      <c r="HKU12" s="416"/>
      <c r="HKV12" s="416"/>
      <c r="HKW12" s="416"/>
      <c r="HKX12" s="416"/>
      <c r="HKY12" s="416"/>
      <c r="HKZ12" s="416"/>
      <c r="HLA12" s="416"/>
      <c r="HLB12" s="416"/>
      <c r="HLC12" s="416"/>
      <c r="HLD12" s="1008"/>
      <c r="HLE12" s="1396"/>
      <c r="HLF12" s="416"/>
      <c r="HLG12" s="416"/>
      <c r="HLH12" s="416"/>
      <c r="HLI12" s="416"/>
      <c r="HLJ12" s="416"/>
      <c r="HLK12" s="416"/>
      <c r="HLL12" s="416"/>
      <c r="HLM12" s="416"/>
      <c r="HLN12" s="416"/>
      <c r="HLO12" s="416"/>
      <c r="HLP12" s="1008"/>
      <c r="HLQ12" s="1396"/>
      <c r="HLR12" s="416"/>
      <c r="HLS12" s="416"/>
      <c r="HLT12" s="416"/>
      <c r="HLU12" s="416"/>
      <c r="HLV12" s="416"/>
      <c r="HLW12" s="416"/>
      <c r="HLX12" s="416"/>
      <c r="HLY12" s="416"/>
      <c r="HLZ12" s="416"/>
      <c r="HMA12" s="416"/>
      <c r="HMB12" s="1008"/>
      <c r="HMC12" s="1396"/>
      <c r="HMD12" s="416"/>
      <c r="HME12" s="416"/>
      <c r="HMF12" s="416"/>
      <c r="HMG12" s="416"/>
      <c r="HMH12" s="416"/>
      <c r="HMI12" s="416"/>
      <c r="HMJ12" s="416"/>
      <c r="HMK12" s="416"/>
      <c r="HML12" s="416"/>
      <c r="HMM12" s="416"/>
      <c r="HMN12" s="1008"/>
      <c r="HMO12" s="1396"/>
      <c r="HMP12" s="416"/>
      <c r="HMQ12" s="416"/>
      <c r="HMR12" s="416"/>
      <c r="HMS12" s="416"/>
      <c r="HMT12" s="416"/>
      <c r="HMU12" s="416"/>
      <c r="HMV12" s="416"/>
      <c r="HMW12" s="416"/>
      <c r="HMX12" s="416"/>
      <c r="HMY12" s="416"/>
      <c r="HMZ12" s="1008"/>
      <c r="HNA12" s="1396"/>
      <c r="HNB12" s="416"/>
      <c r="HNC12" s="416"/>
      <c r="HND12" s="416"/>
      <c r="HNE12" s="416"/>
      <c r="HNF12" s="416"/>
      <c r="HNG12" s="416"/>
      <c r="HNH12" s="416"/>
      <c r="HNI12" s="416"/>
      <c r="HNJ12" s="416"/>
      <c r="HNK12" s="416"/>
      <c r="HNL12" s="1008"/>
      <c r="HNM12" s="1396"/>
      <c r="HNN12" s="416"/>
      <c r="HNO12" s="416"/>
      <c r="HNP12" s="416"/>
      <c r="HNQ12" s="416"/>
      <c r="HNR12" s="416"/>
      <c r="HNS12" s="416"/>
      <c r="HNT12" s="416"/>
      <c r="HNU12" s="416"/>
      <c r="HNV12" s="416"/>
      <c r="HNW12" s="416"/>
      <c r="HNX12" s="1008"/>
      <c r="HNY12" s="1396"/>
      <c r="HNZ12" s="416"/>
      <c r="HOA12" s="416"/>
      <c r="HOB12" s="416"/>
      <c r="HOC12" s="416"/>
      <c r="HOD12" s="416"/>
      <c r="HOE12" s="416"/>
      <c r="HOF12" s="416"/>
      <c r="HOG12" s="416"/>
      <c r="HOH12" s="416"/>
      <c r="HOI12" s="416"/>
      <c r="HOJ12" s="1008"/>
      <c r="HOK12" s="1396"/>
      <c r="HOL12" s="416"/>
      <c r="HOM12" s="416"/>
      <c r="HON12" s="416"/>
      <c r="HOO12" s="416"/>
      <c r="HOP12" s="416"/>
      <c r="HOQ12" s="416"/>
      <c r="HOR12" s="416"/>
      <c r="HOS12" s="416"/>
      <c r="HOT12" s="416"/>
      <c r="HOU12" s="416"/>
      <c r="HOV12" s="1008"/>
      <c r="HOW12" s="1396"/>
      <c r="HOX12" s="416"/>
      <c r="HOY12" s="416"/>
      <c r="HOZ12" s="416"/>
      <c r="HPA12" s="416"/>
      <c r="HPB12" s="416"/>
      <c r="HPC12" s="416"/>
      <c r="HPD12" s="416"/>
      <c r="HPE12" s="416"/>
      <c r="HPF12" s="416"/>
      <c r="HPG12" s="416"/>
      <c r="HPH12" s="1008"/>
      <c r="HPI12" s="1396"/>
      <c r="HPJ12" s="416"/>
      <c r="HPK12" s="416"/>
      <c r="HPL12" s="416"/>
      <c r="HPM12" s="416"/>
      <c r="HPN12" s="416"/>
      <c r="HPO12" s="416"/>
      <c r="HPP12" s="416"/>
      <c r="HPQ12" s="416"/>
      <c r="HPR12" s="416"/>
      <c r="HPS12" s="416"/>
      <c r="HPT12" s="1008"/>
      <c r="HPU12" s="1396"/>
      <c r="HPV12" s="416"/>
      <c r="HPW12" s="416"/>
      <c r="HPX12" s="416"/>
      <c r="HPY12" s="416"/>
      <c r="HPZ12" s="416"/>
      <c r="HQA12" s="416"/>
      <c r="HQB12" s="416"/>
      <c r="HQC12" s="416"/>
      <c r="HQD12" s="416"/>
      <c r="HQE12" s="416"/>
      <c r="HQF12" s="1008"/>
      <c r="HQG12" s="1396"/>
      <c r="HQH12" s="416"/>
      <c r="HQI12" s="416"/>
      <c r="HQJ12" s="416"/>
      <c r="HQK12" s="416"/>
      <c r="HQL12" s="416"/>
      <c r="HQM12" s="416"/>
      <c r="HQN12" s="416"/>
      <c r="HQO12" s="416"/>
      <c r="HQP12" s="416"/>
      <c r="HQQ12" s="416"/>
      <c r="HQR12" s="1008"/>
      <c r="HQS12" s="1396"/>
      <c r="HQT12" s="416"/>
      <c r="HQU12" s="416"/>
      <c r="HQV12" s="416"/>
      <c r="HQW12" s="416"/>
      <c r="HQX12" s="416"/>
      <c r="HQY12" s="416"/>
      <c r="HQZ12" s="416"/>
      <c r="HRA12" s="416"/>
      <c r="HRB12" s="416"/>
      <c r="HRC12" s="416"/>
      <c r="HRD12" s="1008"/>
      <c r="HRE12" s="1396"/>
      <c r="HRF12" s="416"/>
      <c r="HRG12" s="416"/>
      <c r="HRH12" s="416"/>
      <c r="HRI12" s="416"/>
      <c r="HRJ12" s="416"/>
      <c r="HRK12" s="416"/>
      <c r="HRL12" s="416"/>
      <c r="HRM12" s="416"/>
      <c r="HRN12" s="416"/>
      <c r="HRO12" s="416"/>
      <c r="HRP12" s="1008"/>
      <c r="HRQ12" s="1396"/>
      <c r="HRR12" s="416"/>
      <c r="HRS12" s="416"/>
      <c r="HRT12" s="416"/>
      <c r="HRU12" s="416"/>
      <c r="HRV12" s="416"/>
      <c r="HRW12" s="416"/>
      <c r="HRX12" s="416"/>
      <c r="HRY12" s="416"/>
      <c r="HRZ12" s="416"/>
      <c r="HSA12" s="416"/>
      <c r="HSB12" s="1008"/>
      <c r="HSC12" s="1396"/>
      <c r="HSD12" s="416"/>
      <c r="HSE12" s="416"/>
      <c r="HSF12" s="416"/>
      <c r="HSG12" s="416"/>
      <c r="HSH12" s="416"/>
      <c r="HSI12" s="416"/>
      <c r="HSJ12" s="416"/>
      <c r="HSK12" s="416"/>
      <c r="HSL12" s="416"/>
      <c r="HSM12" s="416"/>
      <c r="HSN12" s="1008"/>
      <c r="HSO12" s="1396"/>
      <c r="HSP12" s="416"/>
      <c r="HSQ12" s="416"/>
      <c r="HSR12" s="416"/>
      <c r="HSS12" s="416"/>
      <c r="HST12" s="416"/>
      <c r="HSU12" s="416"/>
      <c r="HSV12" s="416"/>
      <c r="HSW12" s="416"/>
      <c r="HSX12" s="416"/>
      <c r="HSY12" s="416"/>
      <c r="HSZ12" s="1008"/>
      <c r="HTA12" s="1396"/>
      <c r="HTB12" s="416"/>
      <c r="HTC12" s="416"/>
      <c r="HTD12" s="416"/>
      <c r="HTE12" s="416"/>
      <c r="HTF12" s="416"/>
      <c r="HTG12" s="416"/>
      <c r="HTH12" s="416"/>
      <c r="HTI12" s="416"/>
      <c r="HTJ12" s="416"/>
      <c r="HTK12" s="416"/>
      <c r="HTL12" s="1008"/>
      <c r="HTM12" s="1396"/>
      <c r="HTN12" s="416"/>
      <c r="HTO12" s="416"/>
      <c r="HTP12" s="416"/>
      <c r="HTQ12" s="416"/>
      <c r="HTR12" s="416"/>
      <c r="HTS12" s="416"/>
      <c r="HTT12" s="416"/>
      <c r="HTU12" s="416"/>
      <c r="HTV12" s="416"/>
      <c r="HTW12" s="416"/>
      <c r="HTX12" s="1008"/>
      <c r="HTY12" s="1396"/>
      <c r="HTZ12" s="416"/>
      <c r="HUA12" s="416"/>
      <c r="HUB12" s="416"/>
      <c r="HUC12" s="416"/>
      <c r="HUD12" s="416"/>
      <c r="HUE12" s="416"/>
      <c r="HUF12" s="416"/>
      <c r="HUG12" s="416"/>
      <c r="HUH12" s="416"/>
      <c r="HUI12" s="416"/>
      <c r="HUJ12" s="1008"/>
      <c r="HUK12" s="1396"/>
      <c r="HUL12" s="416"/>
      <c r="HUM12" s="416"/>
      <c r="HUN12" s="416"/>
      <c r="HUO12" s="416"/>
      <c r="HUP12" s="416"/>
      <c r="HUQ12" s="416"/>
      <c r="HUR12" s="416"/>
      <c r="HUS12" s="416"/>
      <c r="HUT12" s="416"/>
      <c r="HUU12" s="416"/>
      <c r="HUV12" s="1008"/>
      <c r="HUW12" s="1396"/>
      <c r="HUX12" s="416"/>
      <c r="HUY12" s="416"/>
      <c r="HUZ12" s="416"/>
      <c r="HVA12" s="416"/>
      <c r="HVB12" s="416"/>
      <c r="HVC12" s="416"/>
      <c r="HVD12" s="416"/>
      <c r="HVE12" s="416"/>
      <c r="HVF12" s="416"/>
      <c r="HVG12" s="416"/>
      <c r="HVH12" s="1008"/>
      <c r="HVI12" s="1396"/>
      <c r="HVJ12" s="416"/>
      <c r="HVK12" s="416"/>
      <c r="HVL12" s="416"/>
      <c r="HVM12" s="416"/>
      <c r="HVN12" s="416"/>
      <c r="HVO12" s="416"/>
      <c r="HVP12" s="416"/>
      <c r="HVQ12" s="416"/>
      <c r="HVR12" s="416"/>
      <c r="HVS12" s="416"/>
      <c r="HVT12" s="1008"/>
      <c r="HVU12" s="1396"/>
      <c r="HVV12" s="416"/>
      <c r="HVW12" s="416"/>
      <c r="HVX12" s="416"/>
      <c r="HVY12" s="416"/>
      <c r="HVZ12" s="416"/>
      <c r="HWA12" s="416"/>
      <c r="HWB12" s="416"/>
      <c r="HWC12" s="416"/>
      <c r="HWD12" s="416"/>
      <c r="HWE12" s="416"/>
      <c r="HWF12" s="1008"/>
      <c r="HWG12" s="1396"/>
      <c r="HWH12" s="416"/>
      <c r="HWI12" s="416"/>
      <c r="HWJ12" s="416"/>
      <c r="HWK12" s="416"/>
      <c r="HWL12" s="416"/>
      <c r="HWM12" s="416"/>
      <c r="HWN12" s="416"/>
      <c r="HWO12" s="416"/>
      <c r="HWP12" s="416"/>
      <c r="HWQ12" s="416"/>
      <c r="HWR12" s="1008"/>
      <c r="HWS12" s="1396"/>
      <c r="HWT12" s="416"/>
      <c r="HWU12" s="416"/>
      <c r="HWV12" s="416"/>
      <c r="HWW12" s="416"/>
      <c r="HWX12" s="416"/>
      <c r="HWY12" s="416"/>
      <c r="HWZ12" s="416"/>
      <c r="HXA12" s="416"/>
      <c r="HXB12" s="416"/>
      <c r="HXC12" s="416"/>
      <c r="HXD12" s="1008"/>
      <c r="HXE12" s="1396"/>
      <c r="HXF12" s="416"/>
      <c r="HXG12" s="416"/>
      <c r="HXH12" s="416"/>
      <c r="HXI12" s="416"/>
      <c r="HXJ12" s="416"/>
      <c r="HXK12" s="416"/>
      <c r="HXL12" s="416"/>
      <c r="HXM12" s="416"/>
      <c r="HXN12" s="416"/>
      <c r="HXO12" s="416"/>
      <c r="HXP12" s="1008"/>
      <c r="HXQ12" s="1396"/>
      <c r="HXR12" s="416"/>
      <c r="HXS12" s="416"/>
      <c r="HXT12" s="416"/>
      <c r="HXU12" s="416"/>
      <c r="HXV12" s="416"/>
      <c r="HXW12" s="416"/>
      <c r="HXX12" s="416"/>
      <c r="HXY12" s="416"/>
      <c r="HXZ12" s="416"/>
      <c r="HYA12" s="416"/>
      <c r="HYB12" s="1008"/>
      <c r="HYC12" s="1396"/>
      <c r="HYD12" s="416"/>
      <c r="HYE12" s="416"/>
      <c r="HYF12" s="416"/>
      <c r="HYG12" s="416"/>
      <c r="HYH12" s="416"/>
      <c r="HYI12" s="416"/>
      <c r="HYJ12" s="416"/>
      <c r="HYK12" s="416"/>
      <c r="HYL12" s="416"/>
      <c r="HYM12" s="416"/>
      <c r="HYN12" s="1008"/>
      <c r="HYO12" s="1396"/>
      <c r="HYP12" s="416"/>
      <c r="HYQ12" s="416"/>
      <c r="HYR12" s="416"/>
      <c r="HYS12" s="416"/>
      <c r="HYT12" s="416"/>
      <c r="HYU12" s="416"/>
      <c r="HYV12" s="416"/>
      <c r="HYW12" s="416"/>
      <c r="HYX12" s="416"/>
      <c r="HYY12" s="416"/>
      <c r="HYZ12" s="1008"/>
      <c r="HZA12" s="1396"/>
      <c r="HZB12" s="416"/>
      <c r="HZC12" s="416"/>
      <c r="HZD12" s="416"/>
      <c r="HZE12" s="416"/>
      <c r="HZF12" s="416"/>
      <c r="HZG12" s="416"/>
      <c r="HZH12" s="416"/>
      <c r="HZI12" s="416"/>
      <c r="HZJ12" s="416"/>
      <c r="HZK12" s="416"/>
      <c r="HZL12" s="1008"/>
      <c r="HZM12" s="1396"/>
      <c r="HZN12" s="416"/>
      <c r="HZO12" s="416"/>
      <c r="HZP12" s="416"/>
      <c r="HZQ12" s="416"/>
      <c r="HZR12" s="416"/>
      <c r="HZS12" s="416"/>
      <c r="HZT12" s="416"/>
      <c r="HZU12" s="416"/>
      <c r="HZV12" s="416"/>
      <c r="HZW12" s="416"/>
      <c r="HZX12" s="1008"/>
      <c r="HZY12" s="1396"/>
      <c r="HZZ12" s="416"/>
      <c r="IAA12" s="416"/>
      <c r="IAB12" s="416"/>
      <c r="IAC12" s="416"/>
      <c r="IAD12" s="416"/>
      <c r="IAE12" s="416"/>
      <c r="IAF12" s="416"/>
      <c r="IAG12" s="416"/>
      <c r="IAH12" s="416"/>
      <c r="IAI12" s="416"/>
      <c r="IAJ12" s="1008"/>
      <c r="IAK12" s="1396"/>
      <c r="IAL12" s="416"/>
      <c r="IAM12" s="416"/>
      <c r="IAN12" s="416"/>
      <c r="IAO12" s="416"/>
      <c r="IAP12" s="416"/>
      <c r="IAQ12" s="416"/>
      <c r="IAR12" s="416"/>
      <c r="IAS12" s="416"/>
      <c r="IAT12" s="416"/>
      <c r="IAU12" s="416"/>
      <c r="IAV12" s="1008"/>
      <c r="IAW12" s="1396"/>
      <c r="IAX12" s="416"/>
      <c r="IAY12" s="416"/>
      <c r="IAZ12" s="416"/>
      <c r="IBA12" s="416"/>
      <c r="IBB12" s="416"/>
      <c r="IBC12" s="416"/>
      <c r="IBD12" s="416"/>
      <c r="IBE12" s="416"/>
      <c r="IBF12" s="416"/>
      <c r="IBG12" s="416"/>
      <c r="IBH12" s="1008"/>
      <c r="IBI12" s="1396"/>
      <c r="IBJ12" s="416"/>
      <c r="IBK12" s="416"/>
      <c r="IBL12" s="416"/>
      <c r="IBM12" s="416"/>
      <c r="IBN12" s="416"/>
      <c r="IBO12" s="416"/>
      <c r="IBP12" s="416"/>
      <c r="IBQ12" s="416"/>
      <c r="IBR12" s="416"/>
      <c r="IBS12" s="416"/>
      <c r="IBT12" s="1008"/>
      <c r="IBU12" s="1396"/>
      <c r="IBV12" s="416"/>
      <c r="IBW12" s="416"/>
      <c r="IBX12" s="416"/>
      <c r="IBY12" s="416"/>
      <c r="IBZ12" s="416"/>
      <c r="ICA12" s="416"/>
      <c r="ICB12" s="416"/>
      <c r="ICC12" s="416"/>
      <c r="ICD12" s="416"/>
      <c r="ICE12" s="416"/>
      <c r="ICF12" s="1008"/>
      <c r="ICG12" s="1396"/>
      <c r="ICH12" s="416"/>
      <c r="ICI12" s="416"/>
      <c r="ICJ12" s="416"/>
      <c r="ICK12" s="416"/>
      <c r="ICL12" s="416"/>
      <c r="ICM12" s="416"/>
      <c r="ICN12" s="416"/>
      <c r="ICO12" s="416"/>
      <c r="ICP12" s="416"/>
      <c r="ICQ12" s="416"/>
      <c r="ICR12" s="1008"/>
      <c r="ICS12" s="1396"/>
      <c r="ICT12" s="416"/>
      <c r="ICU12" s="416"/>
      <c r="ICV12" s="416"/>
      <c r="ICW12" s="416"/>
      <c r="ICX12" s="416"/>
      <c r="ICY12" s="416"/>
      <c r="ICZ12" s="416"/>
      <c r="IDA12" s="416"/>
      <c r="IDB12" s="416"/>
      <c r="IDC12" s="416"/>
      <c r="IDD12" s="1008"/>
      <c r="IDE12" s="1396"/>
      <c r="IDF12" s="416"/>
      <c r="IDG12" s="416"/>
      <c r="IDH12" s="416"/>
      <c r="IDI12" s="416"/>
      <c r="IDJ12" s="416"/>
      <c r="IDK12" s="416"/>
      <c r="IDL12" s="416"/>
      <c r="IDM12" s="416"/>
      <c r="IDN12" s="416"/>
      <c r="IDO12" s="416"/>
      <c r="IDP12" s="1008"/>
      <c r="IDQ12" s="1396"/>
      <c r="IDR12" s="416"/>
      <c r="IDS12" s="416"/>
      <c r="IDT12" s="416"/>
      <c r="IDU12" s="416"/>
      <c r="IDV12" s="416"/>
      <c r="IDW12" s="416"/>
      <c r="IDX12" s="416"/>
      <c r="IDY12" s="416"/>
      <c r="IDZ12" s="416"/>
      <c r="IEA12" s="416"/>
      <c r="IEB12" s="1008"/>
      <c r="IEC12" s="1396"/>
      <c r="IED12" s="416"/>
      <c r="IEE12" s="416"/>
      <c r="IEF12" s="416"/>
      <c r="IEG12" s="416"/>
      <c r="IEH12" s="416"/>
      <c r="IEI12" s="416"/>
      <c r="IEJ12" s="416"/>
      <c r="IEK12" s="416"/>
      <c r="IEL12" s="416"/>
      <c r="IEM12" s="416"/>
      <c r="IEN12" s="1008"/>
      <c r="IEO12" s="1396"/>
      <c r="IEP12" s="416"/>
      <c r="IEQ12" s="416"/>
      <c r="IER12" s="416"/>
      <c r="IES12" s="416"/>
      <c r="IET12" s="416"/>
      <c r="IEU12" s="416"/>
      <c r="IEV12" s="416"/>
      <c r="IEW12" s="416"/>
      <c r="IEX12" s="416"/>
      <c r="IEY12" s="416"/>
      <c r="IEZ12" s="1008"/>
      <c r="IFA12" s="1396"/>
      <c r="IFB12" s="416"/>
      <c r="IFC12" s="416"/>
      <c r="IFD12" s="416"/>
      <c r="IFE12" s="416"/>
      <c r="IFF12" s="416"/>
      <c r="IFG12" s="416"/>
      <c r="IFH12" s="416"/>
      <c r="IFI12" s="416"/>
      <c r="IFJ12" s="416"/>
      <c r="IFK12" s="416"/>
      <c r="IFL12" s="1008"/>
      <c r="IFM12" s="1396"/>
      <c r="IFN12" s="416"/>
      <c r="IFO12" s="416"/>
      <c r="IFP12" s="416"/>
      <c r="IFQ12" s="416"/>
      <c r="IFR12" s="416"/>
      <c r="IFS12" s="416"/>
      <c r="IFT12" s="416"/>
      <c r="IFU12" s="416"/>
      <c r="IFV12" s="416"/>
      <c r="IFW12" s="416"/>
      <c r="IFX12" s="1008"/>
      <c r="IFY12" s="1396"/>
      <c r="IFZ12" s="416"/>
      <c r="IGA12" s="416"/>
      <c r="IGB12" s="416"/>
      <c r="IGC12" s="416"/>
      <c r="IGD12" s="416"/>
      <c r="IGE12" s="416"/>
      <c r="IGF12" s="416"/>
      <c r="IGG12" s="416"/>
      <c r="IGH12" s="416"/>
      <c r="IGI12" s="416"/>
      <c r="IGJ12" s="1008"/>
      <c r="IGK12" s="1396"/>
      <c r="IGL12" s="416"/>
      <c r="IGM12" s="416"/>
      <c r="IGN12" s="416"/>
      <c r="IGO12" s="416"/>
      <c r="IGP12" s="416"/>
      <c r="IGQ12" s="416"/>
      <c r="IGR12" s="416"/>
      <c r="IGS12" s="416"/>
      <c r="IGT12" s="416"/>
      <c r="IGU12" s="416"/>
      <c r="IGV12" s="1008"/>
      <c r="IGW12" s="1396"/>
      <c r="IGX12" s="416"/>
      <c r="IGY12" s="416"/>
      <c r="IGZ12" s="416"/>
      <c r="IHA12" s="416"/>
      <c r="IHB12" s="416"/>
      <c r="IHC12" s="416"/>
      <c r="IHD12" s="416"/>
      <c r="IHE12" s="416"/>
      <c r="IHF12" s="416"/>
      <c r="IHG12" s="416"/>
      <c r="IHH12" s="1008"/>
      <c r="IHI12" s="1396"/>
      <c r="IHJ12" s="416"/>
      <c r="IHK12" s="416"/>
      <c r="IHL12" s="416"/>
      <c r="IHM12" s="416"/>
      <c r="IHN12" s="416"/>
      <c r="IHO12" s="416"/>
      <c r="IHP12" s="416"/>
      <c r="IHQ12" s="416"/>
      <c r="IHR12" s="416"/>
      <c r="IHS12" s="416"/>
      <c r="IHT12" s="1008"/>
      <c r="IHU12" s="1396"/>
      <c r="IHV12" s="416"/>
      <c r="IHW12" s="416"/>
      <c r="IHX12" s="416"/>
      <c r="IHY12" s="416"/>
      <c r="IHZ12" s="416"/>
      <c r="IIA12" s="416"/>
      <c r="IIB12" s="416"/>
      <c r="IIC12" s="416"/>
      <c r="IID12" s="416"/>
      <c r="IIE12" s="416"/>
      <c r="IIF12" s="1008"/>
      <c r="IIG12" s="1396"/>
      <c r="IIH12" s="416"/>
      <c r="III12" s="416"/>
      <c r="IIJ12" s="416"/>
      <c r="IIK12" s="416"/>
      <c r="IIL12" s="416"/>
      <c r="IIM12" s="416"/>
      <c r="IIN12" s="416"/>
      <c r="IIO12" s="416"/>
      <c r="IIP12" s="416"/>
      <c r="IIQ12" s="416"/>
      <c r="IIR12" s="1008"/>
      <c r="IIS12" s="1396"/>
      <c r="IIT12" s="416"/>
      <c r="IIU12" s="416"/>
      <c r="IIV12" s="416"/>
      <c r="IIW12" s="416"/>
      <c r="IIX12" s="416"/>
      <c r="IIY12" s="416"/>
      <c r="IIZ12" s="416"/>
      <c r="IJA12" s="416"/>
      <c r="IJB12" s="416"/>
      <c r="IJC12" s="416"/>
      <c r="IJD12" s="1008"/>
      <c r="IJE12" s="1396"/>
      <c r="IJF12" s="416"/>
      <c r="IJG12" s="416"/>
      <c r="IJH12" s="416"/>
      <c r="IJI12" s="416"/>
      <c r="IJJ12" s="416"/>
      <c r="IJK12" s="416"/>
      <c r="IJL12" s="416"/>
      <c r="IJM12" s="416"/>
      <c r="IJN12" s="416"/>
      <c r="IJO12" s="416"/>
      <c r="IJP12" s="1008"/>
      <c r="IJQ12" s="1396"/>
      <c r="IJR12" s="416"/>
      <c r="IJS12" s="416"/>
      <c r="IJT12" s="416"/>
      <c r="IJU12" s="416"/>
      <c r="IJV12" s="416"/>
      <c r="IJW12" s="416"/>
      <c r="IJX12" s="416"/>
      <c r="IJY12" s="416"/>
      <c r="IJZ12" s="416"/>
      <c r="IKA12" s="416"/>
      <c r="IKB12" s="1008"/>
      <c r="IKC12" s="1396"/>
      <c r="IKD12" s="416"/>
      <c r="IKE12" s="416"/>
      <c r="IKF12" s="416"/>
      <c r="IKG12" s="416"/>
      <c r="IKH12" s="416"/>
      <c r="IKI12" s="416"/>
      <c r="IKJ12" s="416"/>
      <c r="IKK12" s="416"/>
      <c r="IKL12" s="416"/>
      <c r="IKM12" s="416"/>
      <c r="IKN12" s="1008"/>
      <c r="IKO12" s="1396"/>
      <c r="IKP12" s="416"/>
      <c r="IKQ12" s="416"/>
      <c r="IKR12" s="416"/>
      <c r="IKS12" s="416"/>
      <c r="IKT12" s="416"/>
      <c r="IKU12" s="416"/>
      <c r="IKV12" s="416"/>
      <c r="IKW12" s="416"/>
      <c r="IKX12" s="416"/>
      <c r="IKY12" s="416"/>
      <c r="IKZ12" s="1008"/>
      <c r="ILA12" s="1396"/>
      <c r="ILB12" s="416"/>
      <c r="ILC12" s="416"/>
      <c r="ILD12" s="416"/>
      <c r="ILE12" s="416"/>
      <c r="ILF12" s="416"/>
      <c r="ILG12" s="416"/>
      <c r="ILH12" s="416"/>
      <c r="ILI12" s="416"/>
      <c r="ILJ12" s="416"/>
      <c r="ILK12" s="416"/>
      <c r="ILL12" s="1008"/>
      <c r="ILM12" s="1396"/>
      <c r="ILN12" s="416"/>
      <c r="ILO12" s="416"/>
      <c r="ILP12" s="416"/>
      <c r="ILQ12" s="416"/>
      <c r="ILR12" s="416"/>
      <c r="ILS12" s="416"/>
      <c r="ILT12" s="416"/>
      <c r="ILU12" s="416"/>
      <c r="ILV12" s="416"/>
      <c r="ILW12" s="416"/>
      <c r="ILX12" s="1008"/>
      <c r="ILY12" s="1396"/>
      <c r="ILZ12" s="416"/>
      <c r="IMA12" s="416"/>
      <c r="IMB12" s="416"/>
      <c r="IMC12" s="416"/>
      <c r="IMD12" s="416"/>
      <c r="IME12" s="416"/>
      <c r="IMF12" s="416"/>
      <c r="IMG12" s="416"/>
      <c r="IMH12" s="416"/>
      <c r="IMI12" s="416"/>
      <c r="IMJ12" s="1008"/>
      <c r="IMK12" s="1396"/>
      <c r="IML12" s="416"/>
      <c r="IMM12" s="416"/>
      <c r="IMN12" s="416"/>
      <c r="IMO12" s="416"/>
      <c r="IMP12" s="416"/>
      <c r="IMQ12" s="416"/>
      <c r="IMR12" s="416"/>
      <c r="IMS12" s="416"/>
      <c r="IMT12" s="416"/>
      <c r="IMU12" s="416"/>
      <c r="IMV12" s="1008"/>
      <c r="IMW12" s="1396"/>
      <c r="IMX12" s="416"/>
      <c r="IMY12" s="416"/>
      <c r="IMZ12" s="416"/>
      <c r="INA12" s="416"/>
      <c r="INB12" s="416"/>
      <c r="INC12" s="416"/>
      <c r="IND12" s="416"/>
      <c r="INE12" s="416"/>
      <c r="INF12" s="416"/>
      <c r="ING12" s="416"/>
      <c r="INH12" s="1008"/>
      <c r="INI12" s="1396"/>
      <c r="INJ12" s="416"/>
      <c r="INK12" s="416"/>
      <c r="INL12" s="416"/>
      <c r="INM12" s="416"/>
      <c r="INN12" s="416"/>
      <c r="INO12" s="416"/>
      <c r="INP12" s="416"/>
      <c r="INQ12" s="416"/>
      <c r="INR12" s="416"/>
      <c r="INS12" s="416"/>
      <c r="INT12" s="1008"/>
      <c r="INU12" s="1396"/>
      <c r="INV12" s="416"/>
      <c r="INW12" s="416"/>
      <c r="INX12" s="416"/>
      <c r="INY12" s="416"/>
      <c r="INZ12" s="416"/>
      <c r="IOA12" s="416"/>
      <c r="IOB12" s="416"/>
      <c r="IOC12" s="416"/>
      <c r="IOD12" s="416"/>
      <c r="IOE12" s="416"/>
      <c r="IOF12" s="1008"/>
      <c r="IOG12" s="1396"/>
      <c r="IOH12" s="416"/>
      <c r="IOI12" s="416"/>
      <c r="IOJ12" s="416"/>
      <c r="IOK12" s="416"/>
      <c r="IOL12" s="416"/>
      <c r="IOM12" s="416"/>
      <c r="ION12" s="416"/>
      <c r="IOO12" s="416"/>
      <c r="IOP12" s="416"/>
      <c r="IOQ12" s="416"/>
      <c r="IOR12" s="1008"/>
      <c r="IOS12" s="1396"/>
      <c r="IOT12" s="416"/>
      <c r="IOU12" s="416"/>
      <c r="IOV12" s="416"/>
      <c r="IOW12" s="416"/>
      <c r="IOX12" s="416"/>
      <c r="IOY12" s="416"/>
      <c r="IOZ12" s="416"/>
      <c r="IPA12" s="416"/>
      <c r="IPB12" s="416"/>
      <c r="IPC12" s="416"/>
      <c r="IPD12" s="1008"/>
      <c r="IPE12" s="1396"/>
      <c r="IPF12" s="416"/>
      <c r="IPG12" s="416"/>
      <c r="IPH12" s="416"/>
      <c r="IPI12" s="416"/>
      <c r="IPJ12" s="416"/>
      <c r="IPK12" s="416"/>
      <c r="IPL12" s="416"/>
      <c r="IPM12" s="416"/>
      <c r="IPN12" s="416"/>
      <c r="IPO12" s="416"/>
      <c r="IPP12" s="1008"/>
      <c r="IPQ12" s="1396"/>
      <c r="IPR12" s="416"/>
      <c r="IPS12" s="416"/>
      <c r="IPT12" s="416"/>
      <c r="IPU12" s="416"/>
      <c r="IPV12" s="416"/>
      <c r="IPW12" s="416"/>
      <c r="IPX12" s="416"/>
      <c r="IPY12" s="416"/>
      <c r="IPZ12" s="416"/>
      <c r="IQA12" s="416"/>
      <c r="IQB12" s="1008"/>
      <c r="IQC12" s="1396"/>
      <c r="IQD12" s="416"/>
      <c r="IQE12" s="416"/>
      <c r="IQF12" s="416"/>
      <c r="IQG12" s="416"/>
      <c r="IQH12" s="416"/>
      <c r="IQI12" s="416"/>
      <c r="IQJ12" s="416"/>
      <c r="IQK12" s="416"/>
      <c r="IQL12" s="416"/>
      <c r="IQM12" s="416"/>
      <c r="IQN12" s="1008"/>
      <c r="IQO12" s="1396"/>
      <c r="IQP12" s="416"/>
      <c r="IQQ12" s="416"/>
      <c r="IQR12" s="416"/>
      <c r="IQS12" s="416"/>
      <c r="IQT12" s="416"/>
      <c r="IQU12" s="416"/>
      <c r="IQV12" s="416"/>
      <c r="IQW12" s="416"/>
      <c r="IQX12" s="416"/>
      <c r="IQY12" s="416"/>
      <c r="IQZ12" s="1008"/>
      <c r="IRA12" s="1396"/>
      <c r="IRB12" s="416"/>
      <c r="IRC12" s="416"/>
      <c r="IRD12" s="416"/>
      <c r="IRE12" s="416"/>
      <c r="IRF12" s="416"/>
      <c r="IRG12" s="416"/>
      <c r="IRH12" s="416"/>
      <c r="IRI12" s="416"/>
      <c r="IRJ12" s="416"/>
      <c r="IRK12" s="416"/>
      <c r="IRL12" s="1008"/>
      <c r="IRM12" s="1396"/>
      <c r="IRN12" s="416"/>
      <c r="IRO12" s="416"/>
      <c r="IRP12" s="416"/>
      <c r="IRQ12" s="416"/>
      <c r="IRR12" s="416"/>
      <c r="IRS12" s="416"/>
      <c r="IRT12" s="416"/>
      <c r="IRU12" s="416"/>
      <c r="IRV12" s="416"/>
      <c r="IRW12" s="416"/>
      <c r="IRX12" s="1008"/>
      <c r="IRY12" s="1396"/>
      <c r="IRZ12" s="416"/>
      <c r="ISA12" s="416"/>
      <c r="ISB12" s="416"/>
      <c r="ISC12" s="416"/>
      <c r="ISD12" s="416"/>
      <c r="ISE12" s="416"/>
      <c r="ISF12" s="416"/>
      <c r="ISG12" s="416"/>
      <c r="ISH12" s="416"/>
      <c r="ISI12" s="416"/>
      <c r="ISJ12" s="1008"/>
      <c r="ISK12" s="1396"/>
      <c r="ISL12" s="416"/>
      <c r="ISM12" s="416"/>
      <c r="ISN12" s="416"/>
      <c r="ISO12" s="416"/>
      <c r="ISP12" s="416"/>
      <c r="ISQ12" s="416"/>
      <c r="ISR12" s="416"/>
      <c r="ISS12" s="416"/>
      <c r="IST12" s="416"/>
      <c r="ISU12" s="416"/>
      <c r="ISV12" s="1008"/>
      <c r="ISW12" s="1396"/>
      <c r="ISX12" s="416"/>
      <c r="ISY12" s="416"/>
      <c r="ISZ12" s="416"/>
      <c r="ITA12" s="416"/>
      <c r="ITB12" s="416"/>
      <c r="ITC12" s="416"/>
      <c r="ITD12" s="416"/>
      <c r="ITE12" s="416"/>
      <c r="ITF12" s="416"/>
      <c r="ITG12" s="416"/>
      <c r="ITH12" s="1008"/>
      <c r="ITI12" s="1396"/>
      <c r="ITJ12" s="416"/>
      <c r="ITK12" s="416"/>
      <c r="ITL12" s="416"/>
      <c r="ITM12" s="416"/>
      <c r="ITN12" s="416"/>
      <c r="ITO12" s="416"/>
      <c r="ITP12" s="416"/>
      <c r="ITQ12" s="416"/>
      <c r="ITR12" s="416"/>
      <c r="ITS12" s="416"/>
      <c r="ITT12" s="1008"/>
      <c r="ITU12" s="1396"/>
      <c r="ITV12" s="416"/>
      <c r="ITW12" s="416"/>
      <c r="ITX12" s="416"/>
      <c r="ITY12" s="416"/>
      <c r="ITZ12" s="416"/>
      <c r="IUA12" s="416"/>
      <c r="IUB12" s="416"/>
      <c r="IUC12" s="416"/>
      <c r="IUD12" s="416"/>
      <c r="IUE12" s="416"/>
      <c r="IUF12" s="1008"/>
      <c r="IUG12" s="1396"/>
      <c r="IUH12" s="416"/>
      <c r="IUI12" s="416"/>
      <c r="IUJ12" s="416"/>
      <c r="IUK12" s="416"/>
      <c r="IUL12" s="416"/>
      <c r="IUM12" s="416"/>
      <c r="IUN12" s="416"/>
      <c r="IUO12" s="416"/>
      <c r="IUP12" s="416"/>
      <c r="IUQ12" s="416"/>
      <c r="IUR12" s="1008"/>
      <c r="IUS12" s="1396"/>
      <c r="IUT12" s="416"/>
      <c r="IUU12" s="416"/>
      <c r="IUV12" s="416"/>
      <c r="IUW12" s="416"/>
      <c r="IUX12" s="416"/>
      <c r="IUY12" s="416"/>
      <c r="IUZ12" s="416"/>
      <c r="IVA12" s="416"/>
      <c r="IVB12" s="416"/>
      <c r="IVC12" s="416"/>
      <c r="IVD12" s="1008"/>
      <c r="IVE12" s="1396"/>
      <c r="IVF12" s="416"/>
      <c r="IVG12" s="416"/>
      <c r="IVH12" s="416"/>
      <c r="IVI12" s="416"/>
      <c r="IVJ12" s="416"/>
      <c r="IVK12" s="416"/>
      <c r="IVL12" s="416"/>
      <c r="IVM12" s="416"/>
      <c r="IVN12" s="416"/>
      <c r="IVO12" s="416"/>
      <c r="IVP12" s="1008"/>
      <c r="IVQ12" s="1396"/>
      <c r="IVR12" s="416"/>
      <c r="IVS12" s="416"/>
      <c r="IVT12" s="416"/>
      <c r="IVU12" s="416"/>
      <c r="IVV12" s="416"/>
      <c r="IVW12" s="416"/>
      <c r="IVX12" s="416"/>
      <c r="IVY12" s="416"/>
      <c r="IVZ12" s="416"/>
      <c r="IWA12" s="416"/>
      <c r="IWB12" s="1008"/>
      <c r="IWC12" s="1396"/>
      <c r="IWD12" s="416"/>
      <c r="IWE12" s="416"/>
      <c r="IWF12" s="416"/>
      <c r="IWG12" s="416"/>
      <c r="IWH12" s="416"/>
      <c r="IWI12" s="416"/>
      <c r="IWJ12" s="416"/>
      <c r="IWK12" s="416"/>
      <c r="IWL12" s="416"/>
      <c r="IWM12" s="416"/>
      <c r="IWN12" s="1008"/>
      <c r="IWO12" s="1396"/>
      <c r="IWP12" s="416"/>
      <c r="IWQ12" s="416"/>
      <c r="IWR12" s="416"/>
      <c r="IWS12" s="416"/>
      <c r="IWT12" s="416"/>
      <c r="IWU12" s="416"/>
      <c r="IWV12" s="416"/>
      <c r="IWW12" s="416"/>
      <c r="IWX12" s="416"/>
      <c r="IWY12" s="416"/>
      <c r="IWZ12" s="1008"/>
      <c r="IXA12" s="1396"/>
      <c r="IXB12" s="416"/>
      <c r="IXC12" s="416"/>
      <c r="IXD12" s="416"/>
      <c r="IXE12" s="416"/>
      <c r="IXF12" s="416"/>
      <c r="IXG12" s="416"/>
      <c r="IXH12" s="416"/>
      <c r="IXI12" s="416"/>
      <c r="IXJ12" s="416"/>
      <c r="IXK12" s="416"/>
      <c r="IXL12" s="1008"/>
      <c r="IXM12" s="1396"/>
      <c r="IXN12" s="416"/>
      <c r="IXO12" s="416"/>
      <c r="IXP12" s="416"/>
      <c r="IXQ12" s="416"/>
      <c r="IXR12" s="416"/>
      <c r="IXS12" s="416"/>
      <c r="IXT12" s="416"/>
      <c r="IXU12" s="416"/>
      <c r="IXV12" s="416"/>
      <c r="IXW12" s="416"/>
      <c r="IXX12" s="1008"/>
      <c r="IXY12" s="1396"/>
      <c r="IXZ12" s="416"/>
      <c r="IYA12" s="416"/>
      <c r="IYB12" s="416"/>
      <c r="IYC12" s="416"/>
      <c r="IYD12" s="416"/>
      <c r="IYE12" s="416"/>
      <c r="IYF12" s="416"/>
      <c r="IYG12" s="416"/>
      <c r="IYH12" s="416"/>
      <c r="IYI12" s="416"/>
      <c r="IYJ12" s="1008"/>
      <c r="IYK12" s="1396"/>
      <c r="IYL12" s="416"/>
      <c r="IYM12" s="416"/>
      <c r="IYN12" s="416"/>
      <c r="IYO12" s="416"/>
      <c r="IYP12" s="416"/>
      <c r="IYQ12" s="416"/>
      <c r="IYR12" s="416"/>
      <c r="IYS12" s="416"/>
      <c r="IYT12" s="416"/>
      <c r="IYU12" s="416"/>
      <c r="IYV12" s="1008"/>
      <c r="IYW12" s="1396"/>
      <c r="IYX12" s="416"/>
      <c r="IYY12" s="416"/>
      <c r="IYZ12" s="416"/>
      <c r="IZA12" s="416"/>
      <c r="IZB12" s="416"/>
      <c r="IZC12" s="416"/>
      <c r="IZD12" s="416"/>
      <c r="IZE12" s="416"/>
      <c r="IZF12" s="416"/>
      <c r="IZG12" s="416"/>
      <c r="IZH12" s="1008"/>
      <c r="IZI12" s="1396"/>
      <c r="IZJ12" s="416"/>
      <c r="IZK12" s="416"/>
      <c r="IZL12" s="416"/>
      <c r="IZM12" s="416"/>
      <c r="IZN12" s="416"/>
      <c r="IZO12" s="416"/>
      <c r="IZP12" s="416"/>
      <c r="IZQ12" s="416"/>
      <c r="IZR12" s="416"/>
      <c r="IZS12" s="416"/>
      <c r="IZT12" s="1008"/>
      <c r="IZU12" s="1396"/>
      <c r="IZV12" s="416"/>
      <c r="IZW12" s="416"/>
      <c r="IZX12" s="416"/>
      <c r="IZY12" s="416"/>
      <c r="IZZ12" s="416"/>
      <c r="JAA12" s="416"/>
      <c r="JAB12" s="416"/>
      <c r="JAC12" s="416"/>
      <c r="JAD12" s="416"/>
      <c r="JAE12" s="416"/>
      <c r="JAF12" s="1008"/>
      <c r="JAG12" s="1396"/>
      <c r="JAH12" s="416"/>
      <c r="JAI12" s="416"/>
      <c r="JAJ12" s="416"/>
      <c r="JAK12" s="416"/>
      <c r="JAL12" s="416"/>
      <c r="JAM12" s="416"/>
      <c r="JAN12" s="416"/>
      <c r="JAO12" s="416"/>
      <c r="JAP12" s="416"/>
      <c r="JAQ12" s="416"/>
      <c r="JAR12" s="1008"/>
      <c r="JAS12" s="1396"/>
      <c r="JAT12" s="416"/>
      <c r="JAU12" s="416"/>
      <c r="JAV12" s="416"/>
      <c r="JAW12" s="416"/>
      <c r="JAX12" s="416"/>
      <c r="JAY12" s="416"/>
      <c r="JAZ12" s="416"/>
      <c r="JBA12" s="416"/>
      <c r="JBB12" s="416"/>
      <c r="JBC12" s="416"/>
      <c r="JBD12" s="1008"/>
      <c r="JBE12" s="1396"/>
      <c r="JBF12" s="416"/>
      <c r="JBG12" s="416"/>
      <c r="JBH12" s="416"/>
      <c r="JBI12" s="416"/>
      <c r="JBJ12" s="416"/>
      <c r="JBK12" s="416"/>
      <c r="JBL12" s="416"/>
      <c r="JBM12" s="416"/>
      <c r="JBN12" s="416"/>
      <c r="JBO12" s="416"/>
      <c r="JBP12" s="1008"/>
      <c r="JBQ12" s="1396"/>
      <c r="JBR12" s="416"/>
      <c r="JBS12" s="416"/>
      <c r="JBT12" s="416"/>
      <c r="JBU12" s="416"/>
      <c r="JBV12" s="416"/>
      <c r="JBW12" s="416"/>
      <c r="JBX12" s="416"/>
      <c r="JBY12" s="416"/>
      <c r="JBZ12" s="416"/>
      <c r="JCA12" s="416"/>
      <c r="JCB12" s="1008"/>
      <c r="JCC12" s="1396"/>
      <c r="JCD12" s="416"/>
      <c r="JCE12" s="416"/>
      <c r="JCF12" s="416"/>
      <c r="JCG12" s="416"/>
      <c r="JCH12" s="416"/>
      <c r="JCI12" s="416"/>
      <c r="JCJ12" s="416"/>
      <c r="JCK12" s="416"/>
      <c r="JCL12" s="416"/>
      <c r="JCM12" s="416"/>
      <c r="JCN12" s="1008"/>
      <c r="JCO12" s="1396"/>
      <c r="JCP12" s="416"/>
      <c r="JCQ12" s="416"/>
      <c r="JCR12" s="416"/>
      <c r="JCS12" s="416"/>
      <c r="JCT12" s="416"/>
      <c r="JCU12" s="416"/>
      <c r="JCV12" s="416"/>
      <c r="JCW12" s="416"/>
      <c r="JCX12" s="416"/>
      <c r="JCY12" s="416"/>
      <c r="JCZ12" s="1008"/>
      <c r="JDA12" s="1396"/>
      <c r="JDB12" s="416"/>
      <c r="JDC12" s="416"/>
      <c r="JDD12" s="416"/>
      <c r="JDE12" s="416"/>
      <c r="JDF12" s="416"/>
      <c r="JDG12" s="416"/>
      <c r="JDH12" s="416"/>
      <c r="JDI12" s="416"/>
      <c r="JDJ12" s="416"/>
      <c r="JDK12" s="416"/>
      <c r="JDL12" s="1008"/>
      <c r="JDM12" s="1396"/>
      <c r="JDN12" s="416"/>
      <c r="JDO12" s="416"/>
      <c r="JDP12" s="416"/>
      <c r="JDQ12" s="416"/>
      <c r="JDR12" s="416"/>
      <c r="JDS12" s="416"/>
      <c r="JDT12" s="416"/>
      <c r="JDU12" s="416"/>
      <c r="JDV12" s="416"/>
      <c r="JDW12" s="416"/>
      <c r="JDX12" s="1008"/>
      <c r="JDY12" s="1396"/>
      <c r="JDZ12" s="416"/>
      <c r="JEA12" s="416"/>
      <c r="JEB12" s="416"/>
      <c r="JEC12" s="416"/>
      <c r="JED12" s="416"/>
      <c r="JEE12" s="416"/>
      <c r="JEF12" s="416"/>
      <c r="JEG12" s="416"/>
      <c r="JEH12" s="416"/>
      <c r="JEI12" s="416"/>
      <c r="JEJ12" s="1008"/>
      <c r="JEK12" s="1396"/>
      <c r="JEL12" s="416"/>
      <c r="JEM12" s="416"/>
      <c r="JEN12" s="416"/>
      <c r="JEO12" s="416"/>
      <c r="JEP12" s="416"/>
      <c r="JEQ12" s="416"/>
      <c r="JER12" s="416"/>
      <c r="JES12" s="416"/>
      <c r="JET12" s="416"/>
      <c r="JEU12" s="416"/>
      <c r="JEV12" s="1008"/>
      <c r="JEW12" s="1396"/>
      <c r="JEX12" s="416"/>
      <c r="JEY12" s="416"/>
      <c r="JEZ12" s="416"/>
      <c r="JFA12" s="416"/>
      <c r="JFB12" s="416"/>
      <c r="JFC12" s="416"/>
      <c r="JFD12" s="416"/>
      <c r="JFE12" s="416"/>
      <c r="JFF12" s="416"/>
      <c r="JFG12" s="416"/>
      <c r="JFH12" s="1008"/>
      <c r="JFI12" s="1396"/>
      <c r="JFJ12" s="416"/>
      <c r="JFK12" s="416"/>
      <c r="JFL12" s="416"/>
      <c r="JFM12" s="416"/>
      <c r="JFN12" s="416"/>
      <c r="JFO12" s="416"/>
      <c r="JFP12" s="416"/>
      <c r="JFQ12" s="416"/>
      <c r="JFR12" s="416"/>
      <c r="JFS12" s="416"/>
      <c r="JFT12" s="1008"/>
      <c r="JFU12" s="1396"/>
      <c r="JFV12" s="416"/>
      <c r="JFW12" s="416"/>
      <c r="JFX12" s="416"/>
      <c r="JFY12" s="416"/>
      <c r="JFZ12" s="416"/>
      <c r="JGA12" s="416"/>
      <c r="JGB12" s="416"/>
      <c r="JGC12" s="416"/>
      <c r="JGD12" s="416"/>
      <c r="JGE12" s="416"/>
      <c r="JGF12" s="1008"/>
      <c r="JGG12" s="1396"/>
      <c r="JGH12" s="416"/>
      <c r="JGI12" s="416"/>
      <c r="JGJ12" s="416"/>
      <c r="JGK12" s="416"/>
      <c r="JGL12" s="416"/>
      <c r="JGM12" s="416"/>
      <c r="JGN12" s="416"/>
      <c r="JGO12" s="416"/>
      <c r="JGP12" s="416"/>
      <c r="JGQ12" s="416"/>
      <c r="JGR12" s="1008"/>
      <c r="JGS12" s="1396"/>
      <c r="JGT12" s="416"/>
      <c r="JGU12" s="416"/>
      <c r="JGV12" s="416"/>
      <c r="JGW12" s="416"/>
      <c r="JGX12" s="416"/>
      <c r="JGY12" s="416"/>
      <c r="JGZ12" s="416"/>
      <c r="JHA12" s="416"/>
      <c r="JHB12" s="416"/>
      <c r="JHC12" s="416"/>
      <c r="JHD12" s="1008"/>
      <c r="JHE12" s="1396"/>
      <c r="JHF12" s="416"/>
      <c r="JHG12" s="416"/>
      <c r="JHH12" s="416"/>
      <c r="JHI12" s="416"/>
      <c r="JHJ12" s="416"/>
      <c r="JHK12" s="416"/>
      <c r="JHL12" s="416"/>
      <c r="JHM12" s="416"/>
      <c r="JHN12" s="416"/>
      <c r="JHO12" s="416"/>
      <c r="JHP12" s="1008"/>
      <c r="JHQ12" s="1396"/>
      <c r="JHR12" s="416"/>
      <c r="JHS12" s="416"/>
      <c r="JHT12" s="416"/>
      <c r="JHU12" s="416"/>
      <c r="JHV12" s="416"/>
      <c r="JHW12" s="416"/>
      <c r="JHX12" s="416"/>
      <c r="JHY12" s="416"/>
      <c r="JHZ12" s="416"/>
      <c r="JIA12" s="416"/>
      <c r="JIB12" s="1008"/>
      <c r="JIC12" s="1396"/>
      <c r="JID12" s="416"/>
      <c r="JIE12" s="416"/>
      <c r="JIF12" s="416"/>
      <c r="JIG12" s="416"/>
      <c r="JIH12" s="416"/>
      <c r="JII12" s="416"/>
      <c r="JIJ12" s="416"/>
      <c r="JIK12" s="416"/>
      <c r="JIL12" s="416"/>
      <c r="JIM12" s="416"/>
      <c r="JIN12" s="1008"/>
      <c r="JIO12" s="1396"/>
      <c r="JIP12" s="416"/>
      <c r="JIQ12" s="416"/>
      <c r="JIR12" s="416"/>
      <c r="JIS12" s="416"/>
      <c r="JIT12" s="416"/>
      <c r="JIU12" s="416"/>
      <c r="JIV12" s="416"/>
      <c r="JIW12" s="416"/>
      <c r="JIX12" s="416"/>
      <c r="JIY12" s="416"/>
      <c r="JIZ12" s="1008"/>
      <c r="JJA12" s="1396"/>
      <c r="JJB12" s="416"/>
      <c r="JJC12" s="416"/>
      <c r="JJD12" s="416"/>
      <c r="JJE12" s="416"/>
      <c r="JJF12" s="416"/>
      <c r="JJG12" s="416"/>
      <c r="JJH12" s="416"/>
      <c r="JJI12" s="416"/>
      <c r="JJJ12" s="416"/>
      <c r="JJK12" s="416"/>
      <c r="JJL12" s="1008"/>
      <c r="JJM12" s="1396"/>
      <c r="JJN12" s="416"/>
      <c r="JJO12" s="416"/>
      <c r="JJP12" s="416"/>
      <c r="JJQ12" s="416"/>
      <c r="JJR12" s="416"/>
      <c r="JJS12" s="416"/>
      <c r="JJT12" s="416"/>
      <c r="JJU12" s="416"/>
      <c r="JJV12" s="416"/>
      <c r="JJW12" s="416"/>
      <c r="JJX12" s="1008"/>
      <c r="JJY12" s="1396"/>
      <c r="JJZ12" s="416"/>
      <c r="JKA12" s="416"/>
      <c r="JKB12" s="416"/>
      <c r="JKC12" s="416"/>
      <c r="JKD12" s="416"/>
      <c r="JKE12" s="416"/>
      <c r="JKF12" s="416"/>
      <c r="JKG12" s="416"/>
      <c r="JKH12" s="416"/>
      <c r="JKI12" s="416"/>
      <c r="JKJ12" s="1008"/>
      <c r="JKK12" s="1396"/>
      <c r="JKL12" s="416"/>
      <c r="JKM12" s="416"/>
      <c r="JKN12" s="416"/>
      <c r="JKO12" s="416"/>
      <c r="JKP12" s="416"/>
      <c r="JKQ12" s="416"/>
      <c r="JKR12" s="416"/>
      <c r="JKS12" s="416"/>
      <c r="JKT12" s="416"/>
      <c r="JKU12" s="416"/>
      <c r="JKV12" s="1008"/>
      <c r="JKW12" s="1396"/>
      <c r="JKX12" s="416"/>
      <c r="JKY12" s="416"/>
      <c r="JKZ12" s="416"/>
      <c r="JLA12" s="416"/>
      <c r="JLB12" s="416"/>
      <c r="JLC12" s="416"/>
      <c r="JLD12" s="416"/>
      <c r="JLE12" s="416"/>
      <c r="JLF12" s="416"/>
      <c r="JLG12" s="416"/>
      <c r="JLH12" s="1008"/>
      <c r="JLI12" s="1396"/>
      <c r="JLJ12" s="416"/>
      <c r="JLK12" s="416"/>
      <c r="JLL12" s="416"/>
      <c r="JLM12" s="416"/>
      <c r="JLN12" s="416"/>
      <c r="JLO12" s="416"/>
      <c r="JLP12" s="416"/>
      <c r="JLQ12" s="416"/>
      <c r="JLR12" s="416"/>
      <c r="JLS12" s="416"/>
      <c r="JLT12" s="1008"/>
      <c r="JLU12" s="1396"/>
      <c r="JLV12" s="416"/>
      <c r="JLW12" s="416"/>
      <c r="JLX12" s="416"/>
      <c r="JLY12" s="416"/>
      <c r="JLZ12" s="416"/>
      <c r="JMA12" s="416"/>
      <c r="JMB12" s="416"/>
      <c r="JMC12" s="416"/>
      <c r="JMD12" s="416"/>
      <c r="JME12" s="416"/>
      <c r="JMF12" s="1008"/>
      <c r="JMG12" s="1396"/>
      <c r="JMH12" s="416"/>
      <c r="JMI12" s="416"/>
      <c r="JMJ12" s="416"/>
      <c r="JMK12" s="416"/>
      <c r="JML12" s="416"/>
      <c r="JMM12" s="416"/>
      <c r="JMN12" s="416"/>
      <c r="JMO12" s="416"/>
      <c r="JMP12" s="416"/>
      <c r="JMQ12" s="416"/>
      <c r="JMR12" s="1008"/>
      <c r="JMS12" s="1396"/>
      <c r="JMT12" s="416"/>
      <c r="JMU12" s="416"/>
      <c r="JMV12" s="416"/>
      <c r="JMW12" s="416"/>
      <c r="JMX12" s="416"/>
      <c r="JMY12" s="416"/>
      <c r="JMZ12" s="416"/>
      <c r="JNA12" s="416"/>
      <c r="JNB12" s="416"/>
      <c r="JNC12" s="416"/>
      <c r="JND12" s="1008"/>
      <c r="JNE12" s="1396"/>
      <c r="JNF12" s="416"/>
      <c r="JNG12" s="416"/>
      <c r="JNH12" s="416"/>
      <c r="JNI12" s="416"/>
      <c r="JNJ12" s="416"/>
      <c r="JNK12" s="416"/>
      <c r="JNL12" s="416"/>
      <c r="JNM12" s="416"/>
      <c r="JNN12" s="416"/>
      <c r="JNO12" s="416"/>
      <c r="JNP12" s="1008"/>
      <c r="JNQ12" s="1396"/>
      <c r="JNR12" s="416"/>
      <c r="JNS12" s="416"/>
      <c r="JNT12" s="416"/>
      <c r="JNU12" s="416"/>
      <c r="JNV12" s="416"/>
      <c r="JNW12" s="416"/>
      <c r="JNX12" s="416"/>
      <c r="JNY12" s="416"/>
      <c r="JNZ12" s="416"/>
      <c r="JOA12" s="416"/>
      <c r="JOB12" s="1008"/>
      <c r="JOC12" s="1396"/>
      <c r="JOD12" s="416"/>
      <c r="JOE12" s="416"/>
      <c r="JOF12" s="416"/>
      <c r="JOG12" s="416"/>
      <c r="JOH12" s="416"/>
      <c r="JOI12" s="416"/>
      <c r="JOJ12" s="416"/>
      <c r="JOK12" s="416"/>
      <c r="JOL12" s="416"/>
      <c r="JOM12" s="416"/>
      <c r="JON12" s="1008"/>
      <c r="JOO12" s="1396"/>
      <c r="JOP12" s="416"/>
      <c r="JOQ12" s="416"/>
      <c r="JOR12" s="416"/>
      <c r="JOS12" s="416"/>
      <c r="JOT12" s="416"/>
      <c r="JOU12" s="416"/>
      <c r="JOV12" s="416"/>
      <c r="JOW12" s="416"/>
      <c r="JOX12" s="416"/>
      <c r="JOY12" s="416"/>
      <c r="JOZ12" s="1008"/>
      <c r="JPA12" s="1396"/>
      <c r="JPB12" s="416"/>
      <c r="JPC12" s="416"/>
      <c r="JPD12" s="416"/>
      <c r="JPE12" s="416"/>
      <c r="JPF12" s="416"/>
      <c r="JPG12" s="416"/>
      <c r="JPH12" s="416"/>
      <c r="JPI12" s="416"/>
      <c r="JPJ12" s="416"/>
      <c r="JPK12" s="416"/>
      <c r="JPL12" s="1008"/>
      <c r="JPM12" s="1396"/>
      <c r="JPN12" s="416"/>
      <c r="JPO12" s="416"/>
      <c r="JPP12" s="416"/>
      <c r="JPQ12" s="416"/>
      <c r="JPR12" s="416"/>
      <c r="JPS12" s="416"/>
      <c r="JPT12" s="416"/>
      <c r="JPU12" s="416"/>
      <c r="JPV12" s="416"/>
      <c r="JPW12" s="416"/>
      <c r="JPX12" s="1008"/>
      <c r="JPY12" s="1396"/>
      <c r="JPZ12" s="416"/>
      <c r="JQA12" s="416"/>
      <c r="JQB12" s="416"/>
      <c r="JQC12" s="416"/>
      <c r="JQD12" s="416"/>
      <c r="JQE12" s="416"/>
      <c r="JQF12" s="416"/>
      <c r="JQG12" s="416"/>
      <c r="JQH12" s="416"/>
      <c r="JQI12" s="416"/>
      <c r="JQJ12" s="1008"/>
      <c r="JQK12" s="1396"/>
      <c r="JQL12" s="416"/>
      <c r="JQM12" s="416"/>
      <c r="JQN12" s="416"/>
      <c r="JQO12" s="416"/>
      <c r="JQP12" s="416"/>
      <c r="JQQ12" s="416"/>
      <c r="JQR12" s="416"/>
      <c r="JQS12" s="416"/>
      <c r="JQT12" s="416"/>
      <c r="JQU12" s="416"/>
      <c r="JQV12" s="1008"/>
      <c r="JQW12" s="1396"/>
      <c r="JQX12" s="416"/>
      <c r="JQY12" s="416"/>
      <c r="JQZ12" s="416"/>
      <c r="JRA12" s="416"/>
      <c r="JRB12" s="416"/>
      <c r="JRC12" s="416"/>
      <c r="JRD12" s="416"/>
      <c r="JRE12" s="416"/>
      <c r="JRF12" s="416"/>
      <c r="JRG12" s="416"/>
      <c r="JRH12" s="1008"/>
      <c r="JRI12" s="1396"/>
      <c r="JRJ12" s="416"/>
      <c r="JRK12" s="416"/>
      <c r="JRL12" s="416"/>
      <c r="JRM12" s="416"/>
      <c r="JRN12" s="416"/>
      <c r="JRO12" s="416"/>
      <c r="JRP12" s="416"/>
      <c r="JRQ12" s="416"/>
      <c r="JRR12" s="416"/>
      <c r="JRS12" s="416"/>
      <c r="JRT12" s="1008"/>
      <c r="JRU12" s="1396"/>
      <c r="JRV12" s="416"/>
      <c r="JRW12" s="416"/>
      <c r="JRX12" s="416"/>
      <c r="JRY12" s="416"/>
      <c r="JRZ12" s="416"/>
      <c r="JSA12" s="416"/>
      <c r="JSB12" s="416"/>
      <c r="JSC12" s="416"/>
      <c r="JSD12" s="416"/>
      <c r="JSE12" s="416"/>
      <c r="JSF12" s="1008"/>
      <c r="JSG12" s="1396"/>
      <c r="JSH12" s="416"/>
      <c r="JSI12" s="416"/>
      <c r="JSJ12" s="416"/>
      <c r="JSK12" s="416"/>
      <c r="JSL12" s="416"/>
      <c r="JSM12" s="416"/>
      <c r="JSN12" s="416"/>
      <c r="JSO12" s="416"/>
      <c r="JSP12" s="416"/>
      <c r="JSQ12" s="416"/>
      <c r="JSR12" s="1008"/>
      <c r="JSS12" s="1396"/>
      <c r="JST12" s="416"/>
      <c r="JSU12" s="416"/>
      <c r="JSV12" s="416"/>
      <c r="JSW12" s="416"/>
      <c r="JSX12" s="416"/>
      <c r="JSY12" s="416"/>
      <c r="JSZ12" s="416"/>
      <c r="JTA12" s="416"/>
      <c r="JTB12" s="416"/>
      <c r="JTC12" s="416"/>
      <c r="JTD12" s="1008"/>
      <c r="JTE12" s="1396"/>
      <c r="JTF12" s="416"/>
      <c r="JTG12" s="416"/>
      <c r="JTH12" s="416"/>
      <c r="JTI12" s="416"/>
      <c r="JTJ12" s="416"/>
      <c r="JTK12" s="416"/>
      <c r="JTL12" s="416"/>
      <c r="JTM12" s="416"/>
      <c r="JTN12" s="416"/>
      <c r="JTO12" s="416"/>
      <c r="JTP12" s="1008"/>
      <c r="JTQ12" s="1396"/>
      <c r="JTR12" s="416"/>
      <c r="JTS12" s="416"/>
      <c r="JTT12" s="416"/>
      <c r="JTU12" s="416"/>
      <c r="JTV12" s="416"/>
      <c r="JTW12" s="416"/>
      <c r="JTX12" s="416"/>
      <c r="JTY12" s="416"/>
      <c r="JTZ12" s="416"/>
      <c r="JUA12" s="416"/>
      <c r="JUB12" s="1008"/>
      <c r="JUC12" s="1396"/>
      <c r="JUD12" s="416"/>
      <c r="JUE12" s="416"/>
      <c r="JUF12" s="416"/>
      <c r="JUG12" s="416"/>
      <c r="JUH12" s="416"/>
      <c r="JUI12" s="416"/>
      <c r="JUJ12" s="416"/>
      <c r="JUK12" s="416"/>
      <c r="JUL12" s="416"/>
      <c r="JUM12" s="416"/>
      <c r="JUN12" s="1008"/>
      <c r="JUO12" s="1396"/>
      <c r="JUP12" s="416"/>
      <c r="JUQ12" s="416"/>
      <c r="JUR12" s="416"/>
      <c r="JUS12" s="416"/>
      <c r="JUT12" s="416"/>
      <c r="JUU12" s="416"/>
      <c r="JUV12" s="416"/>
      <c r="JUW12" s="416"/>
      <c r="JUX12" s="416"/>
      <c r="JUY12" s="416"/>
      <c r="JUZ12" s="1008"/>
      <c r="JVA12" s="1396"/>
      <c r="JVB12" s="416"/>
      <c r="JVC12" s="416"/>
      <c r="JVD12" s="416"/>
      <c r="JVE12" s="416"/>
      <c r="JVF12" s="416"/>
      <c r="JVG12" s="416"/>
      <c r="JVH12" s="416"/>
      <c r="JVI12" s="416"/>
      <c r="JVJ12" s="416"/>
      <c r="JVK12" s="416"/>
      <c r="JVL12" s="1008"/>
      <c r="JVM12" s="1396"/>
      <c r="JVN12" s="416"/>
      <c r="JVO12" s="416"/>
      <c r="JVP12" s="416"/>
      <c r="JVQ12" s="416"/>
      <c r="JVR12" s="416"/>
      <c r="JVS12" s="416"/>
      <c r="JVT12" s="416"/>
      <c r="JVU12" s="416"/>
      <c r="JVV12" s="416"/>
      <c r="JVW12" s="416"/>
      <c r="JVX12" s="1008"/>
      <c r="JVY12" s="1396"/>
      <c r="JVZ12" s="416"/>
      <c r="JWA12" s="416"/>
      <c r="JWB12" s="416"/>
      <c r="JWC12" s="416"/>
      <c r="JWD12" s="416"/>
      <c r="JWE12" s="416"/>
      <c r="JWF12" s="416"/>
      <c r="JWG12" s="416"/>
      <c r="JWH12" s="416"/>
      <c r="JWI12" s="416"/>
      <c r="JWJ12" s="1008"/>
      <c r="JWK12" s="1396"/>
      <c r="JWL12" s="416"/>
      <c r="JWM12" s="416"/>
      <c r="JWN12" s="416"/>
      <c r="JWO12" s="416"/>
      <c r="JWP12" s="416"/>
      <c r="JWQ12" s="416"/>
      <c r="JWR12" s="416"/>
      <c r="JWS12" s="416"/>
      <c r="JWT12" s="416"/>
      <c r="JWU12" s="416"/>
      <c r="JWV12" s="1008"/>
      <c r="JWW12" s="1396"/>
      <c r="JWX12" s="416"/>
      <c r="JWY12" s="416"/>
      <c r="JWZ12" s="416"/>
      <c r="JXA12" s="416"/>
      <c r="JXB12" s="416"/>
      <c r="JXC12" s="416"/>
      <c r="JXD12" s="416"/>
      <c r="JXE12" s="416"/>
      <c r="JXF12" s="416"/>
      <c r="JXG12" s="416"/>
      <c r="JXH12" s="1008"/>
      <c r="JXI12" s="1396"/>
      <c r="JXJ12" s="416"/>
      <c r="JXK12" s="416"/>
      <c r="JXL12" s="416"/>
      <c r="JXM12" s="416"/>
      <c r="JXN12" s="416"/>
      <c r="JXO12" s="416"/>
      <c r="JXP12" s="416"/>
      <c r="JXQ12" s="416"/>
      <c r="JXR12" s="416"/>
      <c r="JXS12" s="416"/>
      <c r="JXT12" s="1008"/>
      <c r="JXU12" s="1396"/>
      <c r="JXV12" s="416"/>
      <c r="JXW12" s="416"/>
      <c r="JXX12" s="416"/>
      <c r="JXY12" s="416"/>
      <c r="JXZ12" s="416"/>
      <c r="JYA12" s="416"/>
      <c r="JYB12" s="416"/>
      <c r="JYC12" s="416"/>
      <c r="JYD12" s="416"/>
      <c r="JYE12" s="416"/>
      <c r="JYF12" s="1008"/>
      <c r="JYG12" s="1396"/>
      <c r="JYH12" s="416"/>
      <c r="JYI12" s="416"/>
      <c r="JYJ12" s="416"/>
      <c r="JYK12" s="416"/>
      <c r="JYL12" s="416"/>
      <c r="JYM12" s="416"/>
      <c r="JYN12" s="416"/>
      <c r="JYO12" s="416"/>
      <c r="JYP12" s="416"/>
      <c r="JYQ12" s="416"/>
      <c r="JYR12" s="1008"/>
      <c r="JYS12" s="1396"/>
      <c r="JYT12" s="416"/>
      <c r="JYU12" s="416"/>
      <c r="JYV12" s="416"/>
      <c r="JYW12" s="416"/>
      <c r="JYX12" s="416"/>
      <c r="JYY12" s="416"/>
      <c r="JYZ12" s="416"/>
      <c r="JZA12" s="416"/>
      <c r="JZB12" s="416"/>
      <c r="JZC12" s="416"/>
      <c r="JZD12" s="1008"/>
      <c r="JZE12" s="1396"/>
      <c r="JZF12" s="416"/>
      <c r="JZG12" s="416"/>
      <c r="JZH12" s="416"/>
      <c r="JZI12" s="416"/>
      <c r="JZJ12" s="416"/>
      <c r="JZK12" s="416"/>
      <c r="JZL12" s="416"/>
      <c r="JZM12" s="416"/>
      <c r="JZN12" s="416"/>
      <c r="JZO12" s="416"/>
      <c r="JZP12" s="1008"/>
      <c r="JZQ12" s="1396"/>
      <c r="JZR12" s="416"/>
      <c r="JZS12" s="416"/>
      <c r="JZT12" s="416"/>
      <c r="JZU12" s="416"/>
      <c r="JZV12" s="416"/>
      <c r="JZW12" s="416"/>
      <c r="JZX12" s="416"/>
      <c r="JZY12" s="416"/>
      <c r="JZZ12" s="416"/>
      <c r="KAA12" s="416"/>
      <c r="KAB12" s="1008"/>
      <c r="KAC12" s="1396"/>
      <c r="KAD12" s="416"/>
      <c r="KAE12" s="416"/>
      <c r="KAF12" s="416"/>
      <c r="KAG12" s="416"/>
      <c r="KAH12" s="416"/>
      <c r="KAI12" s="416"/>
      <c r="KAJ12" s="416"/>
      <c r="KAK12" s="416"/>
      <c r="KAL12" s="416"/>
      <c r="KAM12" s="416"/>
      <c r="KAN12" s="1008"/>
      <c r="KAO12" s="1396"/>
      <c r="KAP12" s="416"/>
      <c r="KAQ12" s="416"/>
      <c r="KAR12" s="416"/>
      <c r="KAS12" s="416"/>
      <c r="KAT12" s="416"/>
      <c r="KAU12" s="416"/>
      <c r="KAV12" s="416"/>
      <c r="KAW12" s="416"/>
      <c r="KAX12" s="416"/>
      <c r="KAY12" s="416"/>
      <c r="KAZ12" s="1008"/>
      <c r="KBA12" s="1396"/>
      <c r="KBB12" s="416"/>
      <c r="KBC12" s="416"/>
      <c r="KBD12" s="416"/>
      <c r="KBE12" s="416"/>
      <c r="KBF12" s="416"/>
      <c r="KBG12" s="416"/>
      <c r="KBH12" s="416"/>
      <c r="KBI12" s="416"/>
      <c r="KBJ12" s="416"/>
      <c r="KBK12" s="416"/>
      <c r="KBL12" s="1008"/>
      <c r="KBM12" s="1396"/>
      <c r="KBN12" s="416"/>
      <c r="KBO12" s="416"/>
      <c r="KBP12" s="416"/>
      <c r="KBQ12" s="416"/>
      <c r="KBR12" s="416"/>
      <c r="KBS12" s="416"/>
      <c r="KBT12" s="416"/>
      <c r="KBU12" s="416"/>
      <c r="KBV12" s="416"/>
      <c r="KBW12" s="416"/>
      <c r="KBX12" s="1008"/>
      <c r="KBY12" s="1396"/>
      <c r="KBZ12" s="416"/>
      <c r="KCA12" s="416"/>
      <c r="KCB12" s="416"/>
      <c r="KCC12" s="416"/>
      <c r="KCD12" s="416"/>
      <c r="KCE12" s="416"/>
      <c r="KCF12" s="416"/>
      <c r="KCG12" s="416"/>
      <c r="KCH12" s="416"/>
      <c r="KCI12" s="416"/>
      <c r="KCJ12" s="1008"/>
      <c r="KCK12" s="1396"/>
      <c r="KCL12" s="416"/>
      <c r="KCM12" s="416"/>
      <c r="KCN12" s="416"/>
      <c r="KCO12" s="416"/>
      <c r="KCP12" s="416"/>
      <c r="KCQ12" s="416"/>
      <c r="KCR12" s="416"/>
      <c r="KCS12" s="416"/>
      <c r="KCT12" s="416"/>
      <c r="KCU12" s="416"/>
      <c r="KCV12" s="1008"/>
      <c r="KCW12" s="1396"/>
      <c r="KCX12" s="416"/>
      <c r="KCY12" s="416"/>
      <c r="KCZ12" s="416"/>
      <c r="KDA12" s="416"/>
      <c r="KDB12" s="416"/>
      <c r="KDC12" s="416"/>
      <c r="KDD12" s="416"/>
      <c r="KDE12" s="416"/>
      <c r="KDF12" s="416"/>
      <c r="KDG12" s="416"/>
      <c r="KDH12" s="1008"/>
      <c r="KDI12" s="1396"/>
      <c r="KDJ12" s="416"/>
      <c r="KDK12" s="416"/>
      <c r="KDL12" s="416"/>
      <c r="KDM12" s="416"/>
      <c r="KDN12" s="416"/>
      <c r="KDO12" s="416"/>
      <c r="KDP12" s="416"/>
      <c r="KDQ12" s="416"/>
      <c r="KDR12" s="416"/>
      <c r="KDS12" s="416"/>
      <c r="KDT12" s="1008"/>
      <c r="KDU12" s="1396"/>
      <c r="KDV12" s="416"/>
      <c r="KDW12" s="416"/>
      <c r="KDX12" s="416"/>
      <c r="KDY12" s="416"/>
      <c r="KDZ12" s="416"/>
      <c r="KEA12" s="416"/>
      <c r="KEB12" s="416"/>
      <c r="KEC12" s="416"/>
      <c r="KED12" s="416"/>
      <c r="KEE12" s="416"/>
      <c r="KEF12" s="1008"/>
      <c r="KEG12" s="1396"/>
      <c r="KEH12" s="416"/>
      <c r="KEI12" s="416"/>
      <c r="KEJ12" s="416"/>
      <c r="KEK12" s="416"/>
      <c r="KEL12" s="416"/>
      <c r="KEM12" s="416"/>
      <c r="KEN12" s="416"/>
      <c r="KEO12" s="416"/>
      <c r="KEP12" s="416"/>
      <c r="KEQ12" s="416"/>
      <c r="KER12" s="1008"/>
      <c r="KES12" s="1396"/>
      <c r="KET12" s="416"/>
      <c r="KEU12" s="416"/>
      <c r="KEV12" s="416"/>
      <c r="KEW12" s="416"/>
      <c r="KEX12" s="416"/>
      <c r="KEY12" s="416"/>
      <c r="KEZ12" s="416"/>
      <c r="KFA12" s="416"/>
      <c r="KFB12" s="416"/>
      <c r="KFC12" s="416"/>
      <c r="KFD12" s="1008"/>
      <c r="KFE12" s="1396"/>
      <c r="KFF12" s="416"/>
      <c r="KFG12" s="416"/>
      <c r="KFH12" s="416"/>
      <c r="KFI12" s="416"/>
      <c r="KFJ12" s="416"/>
      <c r="KFK12" s="416"/>
      <c r="KFL12" s="416"/>
      <c r="KFM12" s="416"/>
      <c r="KFN12" s="416"/>
      <c r="KFO12" s="416"/>
      <c r="KFP12" s="1008"/>
      <c r="KFQ12" s="1396"/>
      <c r="KFR12" s="416"/>
      <c r="KFS12" s="416"/>
      <c r="KFT12" s="416"/>
      <c r="KFU12" s="416"/>
      <c r="KFV12" s="416"/>
      <c r="KFW12" s="416"/>
      <c r="KFX12" s="416"/>
      <c r="KFY12" s="416"/>
      <c r="KFZ12" s="416"/>
      <c r="KGA12" s="416"/>
      <c r="KGB12" s="1008"/>
      <c r="KGC12" s="1396"/>
      <c r="KGD12" s="416"/>
      <c r="KGE12" s="416"/>
      <c r="KGF12" s="416"/>
      <c r="KGG12" s="416"/>
      <c r="KGH12" s="416"/>
      <c r="KGI12" s="416"/>
      <c r="KGJ12" s="416"/>
      <c r="KGK12" s="416"/>
      <c r="KGL12" s="416"/>
      <c r="KGM12" s="416"/>
      <c r="KGN12" s="1008"/>
      <c r="KGO12" s="1396"/>
      <c r="KGP12" s="416"/>
      <c r="KGQ12" s="416"/>
      <c r="KGR12" s="416"/>
      <c r="KGS12" s="416"/>
      <c r="KGT12" s="416"/>
      <c r="KGU12" s="416"/>
      <c r="KGV12" s="416"/>
      <c r="KGW12" s="416"/>
      <c r="KGX12" s="416"/>
      <c r="KGY12" s="416"/>
      <c r="KGZ12" s="1008"/>
      <c r="KHA12" s="1396"/>
      <c r="KHB12" s="416"/>
      <c r="KHC12" s="416"/>
      <c r="KHD12" s="416"/>
      <c r="KHE12" s="416"/>
      <c r="KHF12" s="416"/>
      <c r="KHG12" s="416"/>
      <c r="KHH12" s="416"/>
      <c r="KHI12" s="416"/>
      <c r="KHJ12" s="416"/>
      <c r="KHK12" s="416"/>
      <c r="KHL12" s="1008"/>
      <c r="KHM12" s="1396"/>
      <c r="KHN12" s="416"/>
      <c r="KHO12" s="416"/>
      <c r="KHP12" s="416"/>
      <c r="KHQ12" s="416"/>
      <c r="KHR12" s="416"/>
      <c r="KHS12" s="416"/>
      <c r="KHT12" s="416"/>
      <c r="KHU12" s="416"/>
      <c r="KHV12" s="416"/>
      <c r="KHW12" s="416"/>
      <c r="KHX12" s="1008"/>
      <c r="KHY12" s="1396"/>
      <c r="KHZ12" s="416"/>
      <c r="KIA12" s="416"/>
      <c r="KIB12" s="416"/>
      <c r="KIC12" s="416"/>
      <c r="KID12" s="416"/>
      <c r="KIE12" s="416"/>
      <c r="KIF12" s="416"/>
      <c r="KIG12" s="416"/>
      <c r="KIH12" s="416"/>
      <c r="KII12" s="416"/>
      <c r="KIJ12" s="1008"/>
      <c r="KIK12" s="1396"/>
      <c r="KIL12" s="416"/>
      <c r="KIM12" s="416"/>
      <c r="KIN12" s="416"/>
      <c r="KIO12" s="416"/>
      <c r="KIP12" s="416"/>
      <c r="KIQ12" s="416"/>
      <c r="KIR12" s="416"/>
      <c r="KIS12" s="416"/>
      <c r="KIT12" s="416"/>
      <c r="KIU12" s="416"/>
      <c r="KIV12" s="1008"/>
      <c r="KIW12" s="1396"/>
      <c r="KIX12" s="416"/>
      <c r="KIY12" s="416"/>
      <c r="KIZ12" s="416"/>
      <c r="KJA12" s="416"/>
      <c r="KJB12" s="416"/>
      <c r="KJC12" s="416"/>
      <c r="KJD12" s="416"/>
      <c r="KJE12" s="416"/>
      <c r="KJF12" s="416"/>
      <c r="KJG12" s="416"/>
      <c r="KJH12" s="1008"/>
      <c r="KJI12" s="1396"/>
      <c r="KJJ12" s="416"/>
      <c r="KJK12" s="416"/>
      <c r="KJL12" s="416"/>
      <c r="KJM12" s="416"/>
      <c r="KJN12" s="416"/>
      <c r="KJO12" s="416"/>
      <c r="KJP12" s="416"/>
      <c r="KJQ12" s="416"/>
      <c r="KJR12" s="416"/>
      <c r="KJS12" s="416"/>
      <c r="KJT12" s="1008"/>
      <c r="KJU12" s="1396"/>
      <c r="KJV12" s="416"/>
      <c r="KJW12" s="416"/>
      <c r="KJX12" s="416"/>
      <c r="KJY12" s="416"/>
      <c r="KJZ12" s="416"/>
      <c r="KKA12" s="416"/>
      <c r="KKB12" s="416"/>
      <c r="KKC12" s="416"/>
      <c r="KKD12" s="416"/>
      <c r="KKE12" s="416"/>
      <c r="KKF12" s="1008"/>
      <c r="KKG12" s="1396"/>
      <c r="KKH12" s="416"/>
      <c r="KKI12" s="416"/>
      <c r="KKJ12" s="416"/>
      <c r="KKK12" s="416"/>
      <c r="KKL12" s="416"/>
      <c r="KKM12" s="416"/>
      <c r="KKN12" s="416"/>
      <c r="KKO12" s="416"/>
      <c r="KKP12" s="416"/>
      <c r="KKQ12" s="416"/>
      <c r="KKR12" s="1008"/>
      <c r="KKS12" s="1396"/>
      <c r="KKT12" s="416"/>
      <c r="KKU12" s="416"/>
      <c r="KKV12" s="416"/>
      <c r="KKW12" s="416"/>
      <c r="KKX12" s="416"/>
      <c r="KKY12" s="416"/>
      <c r="KKZ12" s="416"/>
      <c r="KLA12" s="416"/>
      <c r="KLB12" s="416"/>
      <c r="KLC12" s="416"/>
      <c r="KLD12" s="1008"/>
      <c r="KLE12" s="1396"/>
      <c r="KLF12" s="416"/>
      <c r="KLG12" s="416"/>
      <c r="KLH12" s="416"/>
      <c r="KLI12" s="416"/>
      <c r="KLJ12" s="416"/>
      <c r="KLK12" s="416"/>
      <c r="KLL12" s="416"/>
      <c r="KLM12" s="416"/>
      <c r="KLN12" s="416"/>
      <c r="KLO12" s="416"/>
      <c r="KLP12" s="1008"/>
      <c r="KLQ12" s="1396"/>
      <c r="KLR12" s="416"/>
      <c r="KLS12" s="416"/>
      <c r="KLT12" s="416"/>
      <c r="KLU12" s="416"/>
      <c r="KLV12" s="416"/>
      <c r="KLW12" s="416"/>
      <c r="KLX12" s="416"/>
      <c r="KLY12" s="416"/>
      <c r="KLZ12" s="416"/>
      <c r="KMA12" s="416"/>
      <c r="KMB12" s="1008"/>
      <c r="KMC12" s="1396"/>
      <c r="KMD12" s="416"/>
      <c r="KME12" s="416"/>
      <c r="KMF12" s="416"/>
      <c r="KMG12" s="416"/>
      <c r="KMH12" s="416"/>
      <c r="KMI12" s="416"/>
      <c r="KMJ12" s="416"/>
      <c r="KMK12" s="416"/>
      <c r="KML12" s="416"/>
      <c r="KMM12" s="416"/>
      <c r="KMN12" s="1008"/>
      <c r="KMO12" s="1396"/>
      <c r="KMP12" s="416"/>
      <c r="KMQ12" s="416"/>
      <c r="KMR12" s="416"/>
      <c r="KMS12" s="416"/>
      <c r="KMT12" s="416"/>
      <c r="KMU12" s="416"/>
      <c r="KMV12" s="416"/>
      <c r="KMW12" s="416"/>
      <c r="KMX12" s="416"/>
      <c r="KMY12" s="416"/>
      <c r="KMZ12" s="1008"/>
      <c r="KNA12" s="1396"/>
      <c r="KNB12" s="416"/>
      <c r="KNC12" s="416"/>
      <c r="KND12" s="416"/>
      <c r="KNE12" s="416"/>
      <c r="KNF12" s="416"/>
      <c r="KNG12" s="416"/>
      <c r="KNH12" s="416"/>
      <c r="KNI12" s="416"/>
      <c r="KNJ12" s="416"/>
      <c r="KNK12" s="416"/>
      <c r="KNL12" s="1008"/>
      <c r="KNM12" s="1396"/>
      <c r="KNN12" s="416"/>
      <c r="KNO12" s="416"/>
      <c r="KNP12" s="416"/>
      <c r="KNQ12" s="416"/>
      <c r="KNR12" s="416"/>
      <c r="KNS12" s="416"/>
      <c r="KNT12" s="416"/>
      <c r="KNU12" s="416"/>
      <c r="KNV12" s="416"/>
      <c r="KNW12" s="416"/>
      <c r="KNX12" s="1008"/>
      <c r="KNY12" s="1396"/>
      <c r="KNZ12" s="416"/>
      <c r="KOA12" s="416"/>
      <c r="KOB12" s="416"/>
      <c r="KOC12" s="416"/>
      <c r="KOD12" s="416"/>
      <c r="KOE12" s="416"/>
      <c r="KOF12" s="416"/>
      <c r="KOG12" s="416"/>
      <c r="KOH12" s="416"/>
      <c r="KOI12" s="416"/>
      <c r="KOJ12" s="1008"/>
      <c r="KOK12" s="1396"/>
      <c r="KOL12" s="416"/>
      <c r="KOM12" s="416"/>
      <c r="KON12" s="416"/>
      <c r="KOO12" s="416"/>
      <c r="KOP12" s="416"/>
      <c r="KOQ12" s="416"/>
      <c r="KOR12" s="416"/>
      <c r="KOS12" s="416"/>
      <c r="KOT12" s="416"/>
      <c r="KOU12" s="416"/>
      <c r="KOV12" s="1008"/>
      <c r="KOW12" s="1396"/>
      <c r="KOX12" s="416"/>
      <c r="KOY12" s="416"/>
      <c r="KOZ12" s="416"/>
      <c r="KPA12" s="416"/>
      <c r="KPB12" s="416"/>
      <c r="KPC12" s="416"/>
      <c r="KPD12" s="416"/>
      <c r="KPE12" s="416"/>
      <c r="KPF12" s="416"/>
      <c r="KPG12" s="416"/>
      <c r="KPH12" s="1008"/>
      <c r="KPI12" s="1396"/>
      <c r="KPJ12" s="416"/>
      <c r="KPK12" s="416"/>
      <c r="KPL12" s="416"/>
      <c r="KPM12" s="416"/>
      <c r="KPN12" s="416"/>
      <c r="KPO12" s="416"/>
      <c r="KPP12" s="416"/>
      <c r="KPQ12" s="416"/>
      <c r="KPR12" s="416"/>
      <c r="KPS12" s="416"/>
      <c r="KPT12" s="1008"/>
      <c r="KPU12" s="1396"/>
      <c r="KPV12" s="416"/>
      <c r="KPW12" s="416"/>
      <c r="KPX12" s="416"/>
      <c r="KPY12" s="416"/>
      <c r="KPZ12" s="416"/>
      <c r="KQA12" s="416"/>
      <c r="KQB12" s="416"/>
      <c r="KQC12" s="416"/>
      <c r="KQD12" s="416"/>
      <c r="KQE12" s="416"/>
      <c r="KQF12" s="1008"/>
      <c r="KQG12" s="1396"/>
      <c r="KQH12" s="416"/>
      <c r="KQI12" s="416"/>
      <c r="KQJ12" s="416"/>
      <c r="KQK12" s="416"/>
      <c r="KQL12" s="416"/>
      <c r="KQM12" s="416"/>
      <c r="KQN12" s="416"/>
      <c r="KQO12" s="416"/>
      <c r="KQP12" s="416"/>
      <c r="KQQ12" s="416"/>
      <c r="KQR12" s="1008"/>
      <c r="KQS12" s="1396"/>
      <c r="KQT12" s="416"/>
      <c r="KQU12" s="416"/>
      <c r="KQV12" s="416"/>
      <c r="KQW12" s="416"/>
      <c r="KQX12" s="416"/>
      <c r="KQY12" s="416"/>
      <c r="KQZ12" s="416"/>
      <c r="KRA12" s="416"/>
      <c r="KRB12" s="416"/>
      <c r="KRC12" s="416"/>
      <c r="KRD12" s="1008"/>
      <c r="KRE12" s="1396"/>
      <c r="KRF12" s="416"/>
      <c r="KRG12" s="416"/>
      <c r="KRH12" s="416"/>
      <c r="KRI12" s="416"/>
      <c r="KRJ12" s="416"/>
      <c r="KRK12" s="416"/>
      <c r="KRL12" s="416"/>
      <c r="KRM12" s="416"/>
      <c r="KRN12" s="416"/>
      <c r="KRO12" s="416"/>
      <c r="KRP12" s="1008"/>
      <c r="KRQ12" s="1396"/>
      <c r="KRR12" s="416"/>
      <c r="KRS12" s="416"/>
      <c r="KRT12" s="416"/>
      <c r="KRU12" s="416"/>
      <c r="KRV12" s="416"/>
      <c r="KRW12" s="416"/>
      <c r="KRX12" s="416"/>
      <c r="KRY12" s="416"/>
      <c r="KRZ12" s="416"/>
      <c r="KSA12" s="416"/>
      <c r="KSB12" s="1008"/>
      <c r="KSC12" s="1396"/>
      <c r="KSD12" s="416"/>
      <c r="KSE12" s="416"/>
      <c r="KSF12" s="416"/>
      <c r="KSG12" s="416"/>
      <c r="KSH12" s="416"/>
      <c r="KSI12" s="416"/>
      <c r="KSJ12" s="416"/>
      <c r="KSK12" s="416"/>
      <c r="KSL12" s="416"/>
      <c r="KSM12" s="416"/>
      <c r="KSN12" s="1008"/>
      <c r="KSO12" s="1396"/>
      <c r="KSP12" s="416"/>
      <c r="KSQ12" s="416"/>
      <c r="KSR12" s="416"/>
      <c r="KSS12" s="416"/>
      <c r="KST12" s="416"/>
      <c r="KSU12" s="416"/>
      <c r="KSV12" s="416"/>
      <c r="KSW12" s="416"/>
      <c r="KSX12" s="416"/>
      <c r="KSY12" s="416"/>
      <c r="KSZ12" s="1008"/>
      <c r="KTA12" s="1396"/>
      <c r="KTB12" s="416"/>
      <c r="KTC12" s="416"/>
      <c r="KTD12" s="416"/>
      <c r="KTE12" s="416"/>
      <c r="KTF12" s="416"/>
      <c r="KTG12" s="416"/>
      <c r="KTH12" s="416"/>
      <c r="KTI12" s="416"/>
      <c r="KTJ12" s="416"/>
      <c r="KTK12" s="416"/>
      <c r="KTL12" s="1008"/>
      <c r="KTM12" s="1396"/>
      <c r="KTN12" s="416"/>
      <c r="KTO12" s="416"/>
      <c r="KTP12" s="416"/>
      <c r="KTQ12" s="416"/>
      <c r="KTR12" s="416"/>
      <c r="KTS12" s="416"/>
      <c r="KTT12" s="416"/>
      <c r="KTU12" s="416"/>
      <c r="KTV12" s="416"/>
      <c r="KTW12" s="416"/>
      <c r="KTX12" s="1008"/>
      <c r="KTY12" s="1396"/>
      <c r="KTZ12" s="416"/>
      <c r="KUA12" s="416"/>
      <c r="KUB12" s="416"/>
      <c r="KUC12" s="416"/>
      <c r="KUD12" s="416"/>
      <c r="KUE12" s="416"/>
      <c r="KUF12" s="416"/>
      <c r="KUG12" s="416"/>
      <c r="KUH12" s="416"/>
      <c r="KUI12" s="416"/>
      <c r="KUJ12" s="1008"/>
      <c r="KUK12" s="1396"/>
      <c r="KUL12" s="416"/>
      <c r="KUM12" s="416"/>
      <c r="KUN12" s="416"/>
      <c r="KUO12" s="416"/>
      <c r="KUP12" s="416"/>
      <c r="KUQ12" s="416"/>
      <c r="KUR12" s="416"/>
      <c r="KUS12" s="416"/>
      <c r="KUT12" s="416"/>
      <c r="KUU12" s="416"/>
      <c r="KUV12" s="1008"/>
      <c r="KUW12" s="1396"/>
      <c r="KUX12" s="416"/>
      <c r="KUY12" s="416"/>
      <c r="KUZ12" s="416"/>
      <c r="KVA12" s="416"/>
      <c r="KVB12" s="416"/>
      <c r="KVC12" s="416"/>
      <c r="KVD12" s="416"/>
      <c r="KVE12" s="416"/>
      <c r="KVF12" s="416"/>
      <c r="KVG12" s="416"/>
      <c r="KVH12" s="1008"/>
      <c r="KVI12" s="1396"/>
      <c r="KVJ12" s="416"/>
      <c r="KVK12" s="416"/>
      <c r="KVL12" s="416"/>
      <c r="KVM12" s="416"/>
      <c r="KVN12" s="416"/>
      <c r="KVO12" s="416"/>
      <c r="KVP12" s="416"/>
      <c r="KVQ12" s="416"/>
      <c r="KVR12" s="416"/>
      <c r="KVS12" s="416"/>
      <c r="KVT12" s="1008"/>
      <c r="KVU12" s="1396"/>
      <c r="KVV12" s="416"/>
      <c r="KVW12" s="416"/>
      <c r="KVX12" s="416"/>
      <c r="KVY12" s="416"/>
      <c r="KVZ12" s="416"/>
      <c r="KWA12" s="416"/>
      <c r="KWB12" s="416"/>
      <c r="KWC12" s="416"/>
      <c r="KWD12" s="416"/>
      <c r="KWE12" s="416"/>
      <c r="KWF12" s="1008"/>
      <c r="KWG12" s="1396"/>
      <c r="KWH12" s="416"/>
      <c r="KWI12" s="416"/>
      <c r="KWJ12" s="416"/>
      <c r="KWK12" s="416"/>
      <c r="KWL12" s="416"/>
      <c r="KWM12" s="416"/>
      <c r="KWN12" s="416"/>
      <c r="KWO12" s="416"/>
      <c r="KWP12" s="416"/>
      <c r="KWQ12" s="416"/>
      <c r="KWR12" s="1008"/>
      <c r="KWS12" s="1396"/>
      <c r="KWT12" s="416"/>
      <c r="KWU12" s="416"/>
      <c r="KWV12" s="416"/>
      <c r="KWW12" s="416"/>
      <c r="KWX12" s="416"/>
      <c r="KWY12" s="416"/>
      <c r="KWZ12" s="416"/>
      <c r="KXA12" s="416"/>
      <c r="KXB12" s="416"/>
      <c r="KXC12" s="416"/>
      <c r="KXD12" s="1008"/>
      <c r="KXE12" s="1396"/>
      <c r="KXF12" s="416"/>
      <c r="KXG12" s="416"/>
      <c r="KXH12" s="416"/>
      <c r="KXI12" s="416"/>
      <c r="KXJ12" s="416"/>
      <c r="KXK12" s="416"/>
      <c r="KXL12" s="416"/>
      <c r="KXM12" s="416"/>
      <c r="KXN12" s="416"/>
      <c r="KXO12" s="416"/>
      <c r="KXP12" s="1008"/>
      <c r="KXQ12" s="1396"/>
      <c r="KXR12" s="416"/>
      <c r="KXS12" s="416"/>
      <c r="KXT12" s="416"/>
      <c r="KXU12" s="416"/>
      <c r="KXV12" s="416"/>
      <c r="KXW12" s="416"/>
      <c r="KXX12" s="416"/>
      <c r="KXY12" s="416"/>
      <c r="KXZ12" s="416"/>
      <c r="KYA12" s="416"/>
      <c r="KYB12" s="1008"/>
      <c r="KYC12" s="1396"/>
      <c r="KYD12" s="416"/>
      <c r="KYE12" s="416"/>
      <c r="KYF12" s="416"/>
      <c r="KYG12" s="416"/>
      <c r="KYH12" s="416"/>
      <c r="KYI12" s="416"/>
      <c r="KYJ12" s="416"/>
      <c r="KYK12" s="416"/>
      <c r="KYL12" s="416"/>
      <c r="KYM12" s="416"/>
      <c r="KYN12" s="1008"/>
      <c r="KYO12" s="1396"/>
      <c r="KYP12" s="416"/>
      <c r="KYQ12" s="416"/>
      <c r="KYR12" s="416"/>
      <c r="KYS12" s="416"/>
      <c r="KYT12" s="416"/>
      <c r="KYU12" s="416"/>
      <c r="KYV12" s="416"/>
      <c r="KYW12" s="416"/>
      <c r="KYX12" s="416"/>
      <c r="KYY12" s="416"/>
      <c r="KYZ12" s="1008"/>
      <c r="KZA12" s="1396"/>
      <c r="KZB12" s="416"/>
      <c r="KZC12" s="416"/>
      <c r="KZD12" s="416"/>
      <c r="KZE12" s="416"/>
      <c r="KZF12" s="416"/>
      <c r="KZG12" s="416"/>
      <c r="KZH12" s="416"/>
      <c r="KZI12" s="416"/>
      <c r="KZJ12" s="416"/>
      <c r="KZK12" s="416"/>
      <c r="KZL12" s="1008"/>
      <c r="KZM12" s="1396"/>
      <c r="KZN12" s="416"/>
      <c r="KZO12" s="416"/>
      <c r="KZP12" s="416"/>
      <c r="KZQ12" s="416"/>
      <c r="KZR12" s="416"/>
      <c r="KZS12" s="416"/>
      <c r="KZT12" s="416"/>
      <c r="KZU12" s="416"/>
      <c r="KZV12" s="416"/>
      <c r="KZW12" s="416"/>
      <c r="KZX12" s="1008"/>
      <c r="KZY12" s="1396"/>
      <c r="KZZ12" s="416"/>
      <c r="LAA12" s="416"/>
      <c r="LAB12" s="416"/>
      <c r="LAC12" s="416"/>
      <c r="LAD12" s="416"/>
      <c r="LAE12" s="416"/>
      <c r="LAF12" s="416"/>
      <c r="LAG12" s="416"/>
      <c r="LAH12" s="416"/>
      <c r="LAI12" s="416"/>
      <c r="LAJ12" s="1008"/>
      <c r="LAK12" s="1396"/>
      <c r="LAL12" s="416"/>
      <c r="LAM12" s="416"/>
      <c r="LAN12" s="416"/>
      <c r="LAO12" s="416"/>
      <c r="LAP12" s="416"/>
      <c r="LAQ12" s="416"/>
      <c r="LAR12" s="416"/>
      <c r="LAS12" s="416"/>
      <c r="LAT12" s="416"/>
      <c r="LAU12" s="416"/>
      <c r="LAV12" s="1008"/>
      <c r="LAW12" s="1396"/>
      <c r="LAX12" s="416"/>
      <c r="LAY12" s="416"/>
      <c r="LAZ12" s="416"/>
      <c r="LBA12" s="416"/>
      <c r="LBB12" s="416"/>
      <c r="LBC12" s="416"/>
      <c r="LBD12" s="416"/>
      <c r="LBE12" s="416"/>
      <c r="LBF12" s="416"/>
      <c r="LBG12" s="416"/>
      <c r="LBH12" s="1008"/>
      <c r="LBI12" s="1396"/>
      <c r="LBJ12" s="416"/>
      <c r="LBK12" s="416"/>
      <c r="LBL12" s="416"/>
      <c r="LBM12" s="416"/>
      <c r="LBN12" s="416"/>
      <c r="LBO12" s="416"/>
      <c r="LBP12" s="416"/>
      <c r="LBQ12" s="416"/>
      <c r="LBR12" s="416"/>
      <c r="LBS12" s="416"/>
      <c r="LBT12" s="1008"/>
      <c r="LBU12" s="1396"/>
      <c r="LBV12" s="416"/>
      <c r="LBW12" s="416"/>
      <c r="LBX12" s="416"/>
      <c r="LBY12" s="416"/>
      <c r="LBZ12" s="416"/>
      <c r="LCA12" s="416"/>
      <c r="LCB12" s="416"/>
      <c r="LCC12" s="416"/>
      <c r="LCD12" s="416"/>
      <c r="LCE12" s="416"/>
      <c r="LCF12" s="1008"/>
      <c r="LCG12" s="1396"/>
      <c r="LCH12" s="416"/>
      <c r="LCI12" s="416"/>
      <c r="LCJ12" s="416"/>
      <c r="LCK12" s="416"/>
      <c r="LCL12" s="416"/>
      <c r="LCM12" s="416"/>
      <c r="LCN12" s="416"/>
      <c r="LCO12" s="416"/>
      <c r="LCP12" s="416"/>
      <c r="LCQ12" s="416"/>
      <c r="LCR12" s="1008"/>
      <c r="LCS12" s="1396"/>
      <c r="LCT12" s="416"/>
      <c r="LCU12" s="416"/>
      <c r="LCV12" s="416"/>
      <c r="LCW12" s="416"/>
      <c r="LCX12" s="416"/>
      <c r="LCY12" s="416"/>
      <c r="LCZ12" s="416"/>
      <c r="LDA12" s="416"/>
      <c r="LDB12" s="416"/>
      <c r="LDC12" s="416"/>
      <c r="LDD12" s="1008"/>
      <c r="LDE12" s="1396"/>
      <c r="LDF12" s="416"/>
      <c r="LDG12" s="416"/>
      <c r="LDH12" s="416"/>
      <c r="LDI12" s="416"/>
      <c r="LDJ12" s="416"/>
      <c r="LDK12" s="416"/>
      <c r="LDL12" s="416"/>
      <c r="LDM12" s="416"/>
      <c r="LDN12" s="416"/>
      <c r="LDO12" s="416"/>
      <c r="LDP12" s="1008"/>
      <c r="LDQ12" s="1396"/>
      <c r="LDR12" s="416"/>
      <c r="LDS12" s="416"/>
      <c r="LDT12" s="416"/>
      <c r="LDU12" s="416"/>
      <c r="LDV12" s="416"/>
      <c r="LDW12" s="416"/>
      <c r="LDX12" s="416"/>
      <c r="LDY12" s="416"/>
      <c r="LDZ12" s="416"/>
      <c r="LEA12" s="416"/>
      <c r="LEB12" s="1008"/>
      <c r="LEC12" s="1396"/>
      <c r="LED12" s="416"/>
      <c r="LEE12" s="416"/>
      <c r="LEF12" s="416"/>
      <c r="LEG12" s="416"/>
      <c r="LEH12" s="416"/>
      <c r="LEI12" s="416"/>
      <c r="LEJ12" s="416"/>
      <c r="LEK12" s="416"/>
      <c r="LEL12" s="416"/>
      <c r="LEM12" s="416"/>
      <c r="LEN12" s="1008"/>
      <c r="LEO12" s="1396"/>
      <c r="LEP12" s="416"/>
      <c r="LEQ12" s="416"/>
      <c r="LER12" s="416"/>
      <c r="LES12" s="416"/>
      <c r="LET12" s="416"/>
      <c r="LEU12" s="416"/>
      <c r="LEV12" s="416"/>
      <c r="LEW12" s="416"/>
      <c r="LEX12" s="416"/>
      <c r="LEY12" s="416"/>
      <c r="LEZ12" s="1008"/>
      <c r="LFA12" s="1396"/>
      <c r="LFB12" s="416"/>
      <c r="LFC12" s="416"/>
      <c r="LFD12" s="416"/>
      <c r="LFE12" s="416"/>
      <c r="LFF12" s="416"/>
      <c r="LFG12" s="416"/>
      <c r="LFH12" s="416"/>
      <c r="LFI12" s="416"/>
      <c r="LFJ12" s="416"/>
      <c r="LFK12" s="416"/>
      <c r="LFL12" s="1008"/>
      <c r="LFM12" s="1396"/>
      <c r="LFN12" s="416"/>
      <c r="LFO12" s="416"/>
      <c r="LFP12" s="416"/>
      <c r="LFQ12" s="416"/>
      <c r="LFR12" s="416"/>
      <c r="LFS12" s="416"/>
      <c r="LFT12" s="416"/>
      <c r="LFU12" s="416"/>
      <c r="LFV12" s="416"/>
      <c r="LFW12" s="416"/>
      <c r="LFX12" s="1008"/>
      <c r="LFY12" s="1396"/>
      <c r="LFZ12" s="416"/>
      <c r="LGA12" s="416"/>
      <c r="LGB12" s="416"/>
      <c r="LGC12" s="416"/>
      <c r="LGD12" s="416"/>
      <c r="LGE12" s="416"/>
      <c r="LGF12" s="416"/>
      <c r="LGG12" s="416"/>
      <c r="LGH12" s="416"/>
      <c r="LGI12" s="416"/>
      <c r="LGJ12" s="1008"/>
      <c r="LGK12" s="1396"/>
      <c r="LGL12" s="416"/>
      <c r="LGM12" s="416"/>
      <c r="LGN12" s="416"/>
      <c r="LGO12" s="416"/>
      <c r="LGP12" s="416"/>
      <c r="LGQ12" s="416"/>
      <c r="LGR12" s="416"/>
      <c r="LGS12" s="416"/>
      <c r="LGT12" s="416"/>
      <c r="LGU12" s="416"/>
      <c r="LGV12" s="1008"/>
      <c r="LGW12" s="1396"/>
      <c r="LGX12" s="416"/>
      <c r="LGY12" s="416"/>
      <c r="LGZ12" s="416"/>
      <c r="LHA12" s="416"/>
      <c r="LHB12" s="416"/>
      <c r="LHC12" s="416"/>
      <c r="LHD12" s="416"/>
      <c r="LHE12" s="416"/>
      <c r="LHF12" s="416"/>
      <c r="LHG12" s="416"/>
      <c r="LHH12" s="1008"/>
      <c r="LHI12" s="1396"/>
      <c r="LHJ12" s="416"/>
      <c r="LHK12" s="416"/>
      <c r="LHL12" s="416"/>
      <c r="LHM12" s="416"/>
      <c r="LHN12" s="416"/>
      <c r="LHO12" s="416"/>
      <c r="LHP12" s="416"/>
      <c r="LHQ12" s="416"/>
      <c r="LHR12" s="416"/>
      <c r="LHS12" s="416"/>
      <c r="LHT12" s="1008"/>
      <c r="LHU12" s="1396"/>
      <c r="LHV12" s="416"/>
      <c r="LHW12" s="416"/>
      <c r="LHX12" s="416"/>
      <c r="LHY12" s="416"/>
      <c r="LHZ12" s="416"/>
      <c r="LIA12" s="416"/>
      <c r="LIB12" s="416"/>
      <c r="LIC12" s="416"/>
      <c r="LID12" s="416"/>
      <c r="LIE12" s="416"/>
      <c r="LIF12" s="1008"/>
      <c r="LIG12" s="1396"/>
      <c r="LIH12" s="416"/>
      <c r="LII12" s="416"/>
      <c r="LIJ12" s="416"/>
      <c r="LIK12" s="416"/>
      <c r="LIL12" s="416"/>
      <c r="LIM12" s="416"/>
      <c r="LIN12" s="416"/>
      <c r="LIO12" s="416"/>
      <c r="LIP12" s="416"/>
      <c r="LIQ12" s="416"/>
      <c r="LIR12" s="1008"/>
      <c r="LIS12" s="1396"/>
      <c r="LIT12" s="416"/>
      <c r="LIU12" s="416"/>
      <c r="LIV12" s="416"/>
      <c r="LIW12" s="416"/>
      <c r="LIX12" s="416"/>
      <c r="LIY12" s="416"/>
      <c r="LIZ12" s="416"/>
      <c r="LJA12" s="416"/>
      <c r="LJB12" s="416"/>
      <c r="LJC12" s="416"/>
      <c r="LJD12" s="1008"/>
      <c r="LJE12" s="1396"/>
      <c r="LJF12" s="416"/>
      <c r="LJG12" s="416"/>
      <c r="LJH12" s="416"/>
      <c r="LJI12" s="416"/>
      <c r="LJJ12" s="416"/>
      <c r="LJK12" s="416"/>
      <c r="LJL12" s="416"/>
      <c r="LJM12" s="416"/>
      <c r="LJN12" s="416"/>
      <c r="LJO12" s="416"/>
      <c r="LJP12" s="1008"/>
      <c r="LJQ12" s="1396"/>
      <c r="LJR12" s="416"/>
      <c r="LJS12" s="416"/>
      <c r="LJT12" s="416"/>
      <c r="LJU12" s="416"/>
      <c r="LJV12" s="416"/>
      <c r="LJW12" s="416"/>
      <c r="LJX12" s="416"/>
      <c r="LJY12" s="416"/>
      <c r="LJZ12" s="416"/>
      <c r="LKA12" s="416"/>
      <c r="LKB12" s="1008"/>
      <c r="LKC12" s="1396"/>
      <c r="LKD12" s="416"/>
      <c r="LKE12" s="416"/>
      <c r="LKF12" s="416"/>
      <c r="LKG12" s="416"/>
      <c r="LKH12" s="416"/>
      <c r="LKI12" s="416"/>
      <c r="LKJ12" s="416"/>
      <c r="LKK12" s="416"/>
      <c r="LKL12" s="416"/>
      <c r="LKM12" s="416"/>
      <c r="LKN12" s="1008"/>
      <c r="LKO12" s="1396"/>
      <c r="LKP12" s="416"/>
      <c r="LKQ12" s="416"/>
      <c r="LKR12" s="416"/>
      <c r="LKS12" s="416"/>
      <c r="LKT12" s="416"/>
      <c r="LKU12" s="416"/>
      <c r="LKV12" s="416"/>
      <c r="LKW12" s="416"/>
      <c r="LKX12" s="416"/>
      <c r="LKY12" s="416"/>
      <c r="LKZ12" s="1008"/>
      <c r="LLA12" s="1396"/>
      <c r="LLB12" s="416"/>
      <c r="LLC12" s="416"/>
      <c r="LLD12" s="416"/>
      <c r="LLE12" s="416"/>
      <c r="LLF12" s="416"/>
      <c r="LLG12" s="416"/>
      <c r="LLH12" s="416"/>
      <c r="LLI12" s="416"/>
      <c r="LLJ12" s="416"/>
      <c r="LLK12" s="416"/>
      <c r="LLL12" s="1008"/>
      <c r="LLM12" s="1396"/>
      <c r="LLN12" s="416"/>
      <c r="LLO12" s="416"/>
      <c r="LLP12" s="416"/>
      <c r="LLQ12" s="416"/>
      <c r="LLR12" s="416"/>
      <c r="LLS12" s="416"/>
      <c r="LLT12" s="416"/>
      <c r="LLU12" s="416"/>
      <c r="LLV12" s="416"/>
      <c r="LLW12" s="416"/>
      <c r="LLX12" s="1008"/>
      <c r="LLY12" s="1396"/>
      <c r="LLZ12" s="416"/>
      <c r="LMA12" s="416"/>
      <c r="LMB12" s="416"/>
      <c r="LMC12" s="416"/>
      <c r="LMD12" s="416"/>
      <c r="LME12" s="416"/>
      <c r="LMF12" s="416"/>
      <c r="LMG12" s="416"/>
      <c r="LMH12" s="416"/>
      <c r="LMI12" s="416"/>
      <c r="LMJ12" s="1008"/>
      <c r="LMK12" s="1396"/>
      <c r="LML12" s="416"/>
      <c r="LMM12" s="416"/>
      <c r="LMN12" s="416"/>
      <c r="LMO12" s="416"/>
      <c r="LMP12" s="416"/>
      <c r="LMQ12" s="416"/>
      <c r="LMR12" s="416"/>
      <c r="LMS12" s="416"/>
      <c r="LMT12" s="416"/>
      <c r="LMU12" s="416"/>
      <c r="LMV12" s="1008"/>
      <c r="LMW12" s="1396"/>
      <c r="LMX12" s="416"/>
      <c r="LMY12" s="416"/>
      <c r="LMZ12" s="416"/>
      <c r="LNA12" s="416"/>
      <c r="LNB12" s="416"/>
      <c r="LNC12" s="416"/>
      <c r="LND12" s="416"/>
      <c r="LNE12" s="416"/>
      <c r="LNF12" s="416"/>
      <c r="LNG12" s="416"/>
      <c r="LNH12" s="1008"/>
      <c r="LNI12" s="1396"/>
      <c r="LNJ12" s="416"/>
      <c r="LNK12" s="416"/>
      <c r="LNL12" s="416"/>
      <c r="LNM12" s="416"/>
      <c r="LNN12" s="416"/>
      <c r="LNO12" s="416"/>
      <c r="LNP12" s="416"/>
      <c r="LNQ12" s="416"/>
      <c r="LNR12" s="416"/>
      <c r="LNS12" s="416"/>
      <c r="LNT12" s="1008"/>
      <c r="LNU12" s="1396"/>
      <c r="LNV12" s="416"/>
      <c r="LNW12" s="416"/>
      <c r="LNX12" s="416"/>
      <c r="LNY12" s="416"/>
      <c r="LNZ12" s="416"/>
      <c r="LOA12" s="416"/>
      <c r="LOB12" s="416"/>
      <c r="LOC12" s="416"/>
      <c r="LOD12" s="416"/>
      <c r="LOE12" s="416"/>
      <c r="LOF12" s="1008"/>
      <c r="LOG12" s="1396"/>
      <c r="LOH12" s="416"/>
      <c r="LOI12" s="416"/>
      <c r="LOJ12" s="416"/>
      <c r="LOK12" s="416"/>
      <c r="LOL12" s="416"/>
      <c r="LOM12" s="416"/>
      <c r="LON12" s="416"/>
      <c r="LOO12" s="416"/>
      <c r="LOP12" s="416"/>
      <c r="LOQ12" s="416"/>
      <c r="LOR12" s="1008"/>
      <c r="LOS12" s="1396"/>
      <c r="LOT12" s="416"/>
      <c r="LOU12" s="416"/>
      <c r="LOV12" s="416"/>
      <c r="LOW12" s="416"/>
      <c r="LOX12" s="416"/>
      <c r="LOY12" s="416"/>
      <c r="LOZ12" s="416"/>
      <c r="LPA12" s="416"/>
      <c r="LPB12" s="416"/>
      <c r="LPC12" s="416"/>
      <c r="LPD12" s="1008"/>
      <c r="LPE12" s="1396"/>
      <c r="LPF12" s="416"/>
      <c r="LPG12" s="416"/>
      <c r="LPH12" s="416"/>
      <c r="LPI12" s="416"/>
      <c r="LPJ12" s="416"/>
      <c r="LPK12" s="416"/>
      <c r="LPL12" s="416"/>
      <c r="LPM12" s="416"/>
      <c r="LPN12" s="416"/>
      <c r="LPO12" s="416"/>
      <c r="LPP12" s="1008"/>
      <c r="LPQ12" s="1396"/>
      <c r="LPR12" s="416"/>
      <c r="LPS12" s="416"/>
      <c r="LPT12" s="416"/>
      <c r="LPU12" s="416"/>
      <c r="LPV12" s="416"/>
      <c r="LPW12" s="416"/>
      <c r="LPX12" s="416"/>
      <c r="LPY12" s="416"/>
      <c r="LPZ12" s="416"/>
      <c r="LQA12" s="416"/>
      <c r="LQB12" s="1008"/>
      <c r="LQC12" s="1396"/>
      <c r="LQD12" s="416"/>
      <c r="LQE12" s="416"/>
      <c r="LQF12" s="416"/>
      <c r="LQG12" s="416"/>
      <c r="LQH12" s="416"/>
      <c r="LQI12" s="416"/>
      <c r="LQJ12" s="416"/>
      <c r="LQK12" s="416"/>
      <c r="LQL12" s="416"/>
      <c r="LQM12" s="416"/>
      <c r="LQN12" s="1008"/>
      <c r="LQO12" s="1396"/>
      <c r="LQP12" s="416"/>
      <c r="LQQ12" s="416"/>
      <c r="LQR12" s="416"/>
      <c r="LQS12" s="416"/>
      <c r="LQT12" s="416"/>
      <c r="LQU12" s="416"/>
      <c r="LQV12" s="416"/>
      <c r="LQW12" s="416"/>
      <c r="LQX12" s="416"/>
      <c r="LQY12" s="416"/>
      <c r="LQZ12" s="1008"/>
      <c r="LRA12" s="1396"/>
      <c r="LRB12" s="416"/>
      <c r="LRC12" s="416"/>
      <c r="LRD12" s="416"/>
      <c r="LRE12" s="416"/>
      <c r="LRF12" s="416"/>
      <c r="LRG12" s="416"/>
      <c r="LRH12" s="416"/>
      <c r="LRI12" s="416"/>
      <c r="LRJ12" s="416"/>
      <c r="LRK12" s="416"/>
      <c r="LRL12" s="1008"/>
      <c r="LRM12" s="1396"/>
      <c r="LRN12" s="416"/>
      <c r="LRO12" s="416"/>
      <c r="LRP12" s="416"/>
      <c r="LRQ12" s="416"/>
      <c r="LRR12" s="416"/>
      <c r="LRS12" s="416"/>
      <c r="LRT12" s="416"/>
      <c r="LRU12" s="416"/>
      <c r="LRV12" s="416"/>
      <c r="LRW12" s="416"/>
      <c r="LRX12" s="1008"/>
      <c r="LRY12" s="1396"/>
      <c r="LRZ12" s="416"/>
      <c r="LSA12" s="416"/>
      <c r="LSB12" s="416"/>
      <c r="LSC12" s="416"/>
      <c r="LSD12" s="416"/>
      <c r="LSE12" s="416"/>
      <c r="LSF12" s="416"/>
      <c r="LSG12" s="416"/>
      <c r="LSH12" s="416"/>
      <c r="LSI12" s="416"/>
      <c r="LSJ12" s="1008"/>
      <c r="LSK12" s="1396"/>
      <c r="LSL12" s="416"/>
      <c r="LSM12" s="416"/>
      <c r="LSN12" s="416"/>
      <c r="LSO12" s="416"/>
      <c r="LSP12" s="416"/>
      <c r="LSQ12" s="416"/>
      <c r="LSR12" s="416"/>
      <c r="LSS12" s="416"/>
      <c r="LST12" s="416"/>
      <c r="LSU12" s="416"/>
      <c r="LSV12" s="1008"/>
      <c r="LSW12" s="1396"/>
      <c r="LSX12" s="416"/>
      <c r="LSY12" s="416"/>
      <c r="LSZ12" s="416"/>
      <c r="LTA12" s="416"/>
      <c r="LTB12" s="416"/>
      <c r="LTC12" s="416"/>
      <c r="LTD12" s="416"/>
      <c r="LTE12" s="416"/>
      <c r="LTF12" s="416"/>
      <c r="LTG12" s="416"/>
      <c r="LTH12" s="1008"/>
      <c r="LTI12" s="1396"/>
      <c r="LTJ12" s="416"/>
      <c r="LTK12" s="416"/>
      <c r="LTL12" s="416"/>
      <c r="LTM12" s="416"/>
      <c r="LTN12" s="416"/>
      <c r="LTO12" s="416"/>
      <c r="LTP12" s="416"/>
      <c r="LTQ12" s="416"/>
      <c r="LTR12" s="416"/>
      <c r="LTS12" s="416"/>
      <c r="LTT12" s="1008"/>
      <c r="LTU12" s="1396"/>
      <c r="LTV12" s="416"/>
      <c r="LTW12" s="416"/>
      <c r="LTX12" s="416"/>
      <c r="LTY12" s="416"/>
      <c r="LTZ12" s="416"/>
      <c r="LUA12" s="416"/>
      <c r="LUB12" s="416"/>
      <c r="LUC12" s="416"/>
      <c r="LUD12" s="416"/>
      <c r="LUE12" s="416"/>
      <c r="LUF12" s="1008"/>
      <c r="LUG12" s="1396"/>
      <c r="LUH12" s="416"/>
      <c r="LUI12" s="416"/>
      <c r="LUJ12" s="416"/>
      <c r="LUK12" s="416"/>
      <c r="LUL12" s="416"/>
      <c r="LUM12" s="416"/>
      <c r="LUN12" s="416"/>
      <c r="LUO12" s="416"/>
      <c r="LUP12" s="416"/>
      <c r="LUQ12" s="416"/>
      <c r="LUR12" s="1008"/>
      <c r="LUS12" s="1396"/>
      <c r="LUT12" s="416"/>
      <c r="LUU12" s="416"/>
      <c r="LUV12" s="416"/>
      <c r="LUW12" s="416"/>
      <c r="LUX12" s="416"/>
      <c r="LUY12" s="416"/>
      <c r="LUZ12" s="416"/>
      <c r="LVA12" s="416"/>
      <c r="LVB12" s="416"/>
      <c r="LVC12" s="416"/>
      <c r="LVD12" s="1008"/>
      <c r="LVE12" s="1396"/>
      <c r="LVF12" s="416"/>
      <c r="LVG12" s="416"/>
      <c r="LVH12" s="416"/>
      <c r="LVI12" s="416"/>
      <c r="LVJ12" s="416"/>
      <c r="LVK12" s="416"/>
      <c r="LVL12" s="416"/>
      <c r="LVM12" s="416"/>
      <c r="LVN12" s="416"/>
      <c r="LVO12" s="416"/>
      <c r="LVP12" s="1008"/>
      <c r="LVQ12" s="1396"/>
      <c r="LVR12" s="416"/>
      <c r="LVS12" s="416"/>
      <c r="LVT12" s="416"/>
      <c r="LVU12" s="416"/>
      <c r="LVV12" s="416"/>
      <c r="LVW12" s="416"/>
      <c r="LVX12" s="416"/>
      <c r="LVY12" s="416"/>
      <c r="LVZ12" s="416"/>
      <c r="LWA12" s="416"/>
      <c r="LWB12" s="1008"/>
      <c r="LWC12" s="1396"/>
      <c r="LWD12" s="416"/>
      <c r="LWE12" s="416"/>
      <c r="LWF12" s="416"/>
      <c r="LWG12" s="416"/>
      <c r="LWH12" s="416"/>
      <c r="LWI12" s="416"/>
      <c r="LWJ12" s="416"/>
      <c r="LWK12" s="416"/>
      <c r="LWL12" s="416"/>
      <c r="LWM12" s="416"/>
      <c r="LWN12" s="1008"/>
      <c r="LWO12" s="1396"/>
      <c r="LWP12" s="416"/>
      <c r="LWQ12" s="416"/>
      <c r="LWR12" s="416"/>
      <c r="LWS12" s="416"/>
      <c r="LWT12" s="416"/>
      <c r="LWU12" s="416"/>
      <c r="LWV12" s="416"/>
      <c r="LWW12" s="416"/>
      <c r="LWX12" s="416"/>
      <c r="LWY12" s="416"/>
      <c r="LWZ12" s="1008"/>
      <c r="LXA12" s="1396"/>
      <c r="LXB12" s="416"/>
      <c r="LXC12" s="416"/>
      <c r="LXD12" s="416"/>
      <c r="LXE12" s="416"/>
      <c r="LXF12" s="416"/>
      <c r="LXG12" s="416"/>
      <c r="LXH12" s="416"/>
      <c r="LXI12" s="416"/>
      <c r="LXJ12" s="416"/>
      <c r="LXK12" s="416"/>
      <c r="LXL12" s="1008"/>
      <c r="LXM12" s="1396"/>
      <c r="LXN12" s="416"/>
      <c r="LXO12" s="416"/>
      <c r="LXP12" s="416"/>
      <c r="LXQ12" s="416"/>
      <c r="LXR12" s="416"/>
      <c r="LXS12" s="416"/>
      <c r="LXT12" s="416"/>
      <c r="LXU12" s="416"/>
      <c r="LXV12" s="416"/>
      <c r="LXW12" s="416"/>
      <c r="LXX12" s="1008"/>
      <c r="LXY12" s="1396"/>
      <c r="LXZ12" s="416"/>
      <c r="LYA12" s="416"/>
      <c r="LYB12" s="416"/>
      <c r="LYC12" s="416"/>
      <c r="LYD12" s="416"/>
      <c r="LYE12" s="416"/>
      <c r="LYF12" s="416"/>
      <c r="LYG12" s="416"/>
      <c r="LYH12" s="416"/>
      <c r="LYI12" s="416"/>
      <c r="LYJ12" s="1008"/>
      <c r="LYK12" s="1396"/>
      <c r="LYL12" s="416"/>
      <c r="LYM12" s="416"/>
      <c r="LYN12" s="416"/>
      <c r="LYO12" s="416"/>
      <c r="LYP12" s="416"/>
      <c r="LYQ12" s="416"/>
      <c r="LYR12" s="416"/>
      <c r="LYS12" s="416"/>
      <c r="LYT12" s="416"/>
      <c r="LYU12" s="416"/>
      <c r="LYV12" s="1008"/>
      <c r="LYW12" s="1396"/>
      <c r="LYX12" s="416"/>
      <c r="LYY12" s="416"/>
      <c r="LYZ12" s="416"/>
      <c r="LZA12" s="416"/>
      <c r="LZB12" s="416"/>
      <c r="LZC12" s="416"/>
      <c r="LZD12" s="416"/>
      <c r="LZE12" s="416"/>
      <c r="LZF12" s="416"/>
      <c r="LZG12" s="416"/>
      <c r="LZH12" s="1008"/>
      <c r="LZI12" s="1396"/>
      <c r="LZJ12" s="416"/>
      <c r="LZK12" s="416"/>
      <c r="LZL12" s="416"/>
      <c r="LZM12" s="416"/>
      <c r="LZN12" s="416"/>
      <c r="LZO12" s="416"/>
      <c r="LZP12" s="416"/>
      <c r="LZQ12" s="416"/>
      <c r="LZR12" s="416"/>
      <c r="LZS12" s="416"/>
      <c r="LZT12" s="1008"/>
      <c r="LZU12" s="1396"/>
      <c r="LZV12" s="416"/>
      <c r="LZW12" s="416"/>
      <c r="LZX12" s="416"/>
      <c r="LZY12" s="416"/>
      <c r="LZZ12" s="416"/>
      <c r="MAA12" s="416"/>
      <c r="MAB12" s="416"/>
      <c r="MAC12" s="416"/>
      <c r="MAD12" s="416"/>
      <c r="MAE12" s="416"/>
      <c r="MAF12" s="1008"/>
      <c r="MAG12" s="1396"/>
      <c r="MAH12" s="416"/>
      <c r="MAI12" s="416"/>
      <c r="MAJ12" s="416"/>
      <c r="MAK12" s="416"/>
      <c r="MAL12" s="416"/>
      <c r="MAM12" s="416"/>
      <c r="MAN12" s="416"/>
      <c r="MAO12" s="416"/>
      <c r="MAP12" s="416"/>
      <c r="MAQ12" s="416"/>
      <c r="MAR12" s="1008"/>
      <c r="MAS12" s="1396"/>
      <c r="MAT12" s="416"/>
      <c r="MAU12" s="416"/>
      <c r="MAV12" s="416"/>
      <c r="MAW12" s="416"/>
      <c r="MAX12" s="416"/>
      <c r="MAY12" s="416"/>
      <c r="MAZ12" s="416"/>
      <c r="MBA12" s="416"/>
      <c r="MBB12" s="416"/>
      <c r="MBC12" s="416"/>
      <c r="MBD12" s="1008"/>
      <c r="MBE12" s="1396"/>
      <c r="MBF12" s="416"/>
      <c r="MBG12" s="416"/>
      <c r="MBH12" s="416"/>
      <c r="MBI12" s="416"/>
      <c r="MBJ12" s="416"/>
      <c r="MBK12" s="416"/>
      <c r="MBL12" s="416"/>
      <c r="MBM12" s="416"/>
      <c r="MBN12" s="416"/>
      <c r="MBO12" s="416"/>
      <c r="MBP12" s="1008"/>
      <c r="MBQ12" s="1396"/>
      <c r="MBR12" s="416"/>
      <c r="MBS12" s="416"/>
      <c r="MBT12" s="416"/>
      <c r="MBU12" s="416"/>
      <c r="MBV12" s="416"/>
      <c r="MBW12" s="416"/>
      <c r="MBX12" s="416"/>
      <c r="MBY12" s="416"/>
      <c r="MBZ12" s="416"/>
      <c r="MCA12" s="416"/>
      <c r="MCB12" s="1008"/>
      <c r="MCC12" s="1396"/>
      <c r="MCD12" s="416"/>
      <c r="MCE12" s="416"/>
      <c r="MCF12" s="416"/>
      <c r="MCG12" s="416"/>
      <c r="MCH12" s="416"/>
      <c r="MCI12" s="416"/>
      <c r="MCJ12" s="416"/>
      <c r="MCK12" s="416"/>
      <c r="MCL12" s="416"/>
      <c r="MCM12" s="416"/>
      <c r="MCN12" s="1008"/>
      <c r="MCO12" s="1396"/>
      <c r="MCP12" s="416"/>
      <c r="MCQ12" s="416"/>
      <c r="MCR12" s="416"/>
      <c r="MCS12" s="416"/>
      <c r="MCT12" s="416"/>
      <c r="MCU12" s="416"/>
      <c r="MCV12" s="416"/>
      <c r="MCW12" s="416"/>
      <c r="MCX12" s="416"/>
      <c r="MCY12" s="416"/>
      <c r="MCZ12" s="1008"/>
      <c r="MDA12" s="1396"/>
      <c r="MDB12" s="416"/>
      <c r="MDC12" s="416"/>
      <c r="MDD12" s="416"/>
      <c r="MDE12" s="416"/>
      <c r="MDF12" s="416"/>
      <c r="MDG12" s="416"/>
      <c r="MDH12" s="416"/>
      <c r="MDI12" s="416"/>
      <c r="MDJ12" s="416"/>
      <c r="MDK12" s="416"/>
      <c r="MDL12" s="1008"/>
      <c r="MDM12" s="1396"/>
      <c r="MDN12" s="416"/>
      <c r="MDO12" s="416"/>
      <c r="MDP12" s="416"/>
      <c r="MDQ12" s="416"/>
      <c r="MDR12" s="416"/>
      <c r="MDS12" s="416"/>
      <c r="MDT12" s="416"/>
      <c r="MDU12" s="416"/>
      <c r="MDV12" s="416"/>
      <c r="MDW12" s="416"/>
      <c r="MDX12" s="1008"/>
      <c r="MDY12" s="1396"/>
      <c r="MDZ12" s="416"/>
      <c r="MEA12" s="416"/>
      <c r="MEB12" s="416"/>
      <c r="MEC12" s="416"/>
      <c r="MED12" s="416"/>
      <c r="MEE12" s="416"/>
      <c r="MEF12" s="416"/>
      <c r="MEG12" s="416"/>
      <c r="MEH12" s="416"/>
      <c r="MEI12" s="416"/>
      <c r="MEJ12" s="1008"/>
      <c r="MEK12" s="1396"/>
      <c r="MEL12" s="416"/>
      <c r="MEM12" s="416"/>
      <c r="MEN12" s="416"/>
      <c r="MEO12" s="416"/>
      <c r="MEP12" s="416"/>
      <c r="MEQ12" s="416"/>
      <c r="MER12" s="416"/>
      <c r="MES12" s="416"/>
      <c r="MET12" s="416"/>
      <c r="MEU12" s="416"/>
      <c r="MEV12" s="1008"/>
      <c r="MEW12" s="1396"/>
      <c r="MEX12" s="416"/>
      <c r="MEY12" s="416"/>
      <c r="MEZ12" s="416"/>
      <c r="MFA12" s="416"/>
      <c r="MFB12" s="416"/>
      <c r="MFC12" s="416"/>
      <c r="MFD12" s="416"/>
      <c r="MFE12" s="416"/>
      <c r="MFF12" s="416"/>
      <c r="MFG12" s="416"/>
      <c r="MFH12" s="1008"/>
      <c r="MFI12" s="1396"/>
      <c r="MFJ12" s="416"/>
      <c r="MFK12" s="416"/>
      <c r="MFL12" s="416"/>
      <c r="MFM12" s="416"/>
      <c r="MFN12" s="416"/>
      <c r="MFO12" s="416"/>
      <c r="MFP12" s="416"/>
      <c r="MFQ12" s="416"/>
      <c r="MFR12" s="416"/>
      <c r="MFS12" s="416"/>
      <c r="MFT12" s="1008"/>
      <c r="MFU12" s="1396"/>
      <c r="MFV12" s="416"/>
      <c r="MFW12" s="416"/>
      <c r="MFX12" s="416"/>
      <c r="MFY12" s="416"/>
      <c r="MFZ12" s="416"/>
      <c r="MGA12" s="416"/>
      <c r="MGB12" s="416"/>
      <c r="MGC12" s="416"/>
      <c r="MGD12" s="416"/>
      <c r="MGE12" s="416"/>
      <c r="MGF12" s="1008"/>
      <c r="MGG12" s="1396"/>
      <c r="MGH12" s="416"/>
      <c r="MGI12" s="416"/>
      <c r="MGJ12" s="416"/>
      <c r="MGK12" s="416"/>
      <c r="MGL12" s="416"/>
      <c r="MGM12" s="416"/>
      <c r="MGN12" s="416"/>
      <c r="MGO12" s="416"/>
      <c r="MGP12" s="416"/>
      <c r="MGQ12" s="416"/>
      <c r="MGR12" s="1008"/>
      <c r="MGS12" s="1396"/>
      <c r="MGT12" s="416"/>
      <c r="MGU12" s="416"/>
      <c r="MGV12" s="416"/>
      <c r="MGW12" s="416"/>
      <c r="MGX12" s="416"/>
      <c r="MGY12" s="416"/>
      <c r="MGZ12" s="416"/>
      <c r="MHA12" s="416"/>
      <c r="MHB12" s="416"/>
      <c r="MHC12" s="416"/>
      <c r="MHD12" s="1008"/>
      <c r="MHE12" s="1396"/>
      <c r="MHF12" s="416"/>
      <c r="MHG12" s="416"/>
      <c r="MHH12" s="416"/>
      <c r="MHI12" s="416"/>
      <c r="MHJ12" s="416"/>
      <c r="MHK12" s="416"/>
      <c r="MHL12" s="416"/>
      <c r="MHM12" s="416"/>
      <c r="MHN12" s="416"/>
      <c r="MHO12" s="416"/>
      <c r="MHP12" s="1008"/>
      <c r="MHQ12" s="1396"/>
      <c r="MHR12" s="416"/>
      <c r="MHS12" s="416"/>
      <c r="MHT12" s="416"/>
      <c r="MHU12" s="416"/>
      <c r="MHV12" s="416"/>
      <c r="MHW12" s="416"/>
      <c r="MHX12" s="416"/>
      <c r="MHY12" s="416"/>
      <c r="MHZ12" s="416"/>
      <c r="MIA12" s="416"/>
      <c r="MIB12" s="1008"/>
      <c r="MIC12" s="1396"/>
      <c r="MID12" s="416"/>
      <c r="MIE12" s="416"/>
      <c r="MIF12" s="416"/>
      <c r="MIG12" s="416"/>
      <c r="MIH12" s="416"/>
      <c r="MII12" s="416"/>
      <c r="MIJ12" s="416"/>
      <c r="MIK12" s="416"/>
      <c r="MIL12" s="416"/>
      <c r="MIM12" s="416"/>
      <c r="MIN12" s="1008"/>
      <c r="MIO12" s="1396"/>
      <c r="MIP12" s="416"/>
      <c r="MIQ12" s="416"/>
      <c r="MIR12" s="416"/>
      <c r="MIS12" s="416"/>
      <c r="MIT12" s="416"/>
      <c r="MIU12" s="416"/>
      <c r="MIV12" s="416"/>
      <c r="MIW12" s="416"/>
      <c r="MIX12" s="416"/>
      <c r="MIY12" s="416"/>
      <c r="MIZ12" s="1008"/>
      <c r="MJA12" s="1396"/>
      <c r="MJB12" s="416"/>
      <c r="MJC12" s="416"/>
      <c r="MJD12" s="416"/>
      <c r="MJE12" s="416"/>
      <c r="MJF12" s="416"/>
      <c r="MJG12" s="416"/>
      <c r="MJH12" s="416"/>
      <c r="MJI12" s="416"/>
      <c r="MJJ12" s="416"/>
      <c r="MJK12" s="416"/>
      <c r="MJL12" s="1008"/>
      <c r="MJM12" s="1396"/>
      <c r="MJN12" s="416"/>
      <c r="MJO12" s="416"/>
      <c r="MJP12" s="416"/>
      <c r="MJQ12" s="416"/>
      <c r="MJR12" s="416"/>
      <c r="MJS12" s="416"/>
      <c r="MJT12" s="416"/>
      <c r="MJU12" s="416"/>
      <c r="MJV12" s="416"/>
      <c r="MJW12" s="416"/>
      <c r="MJX12" s="1008"/>
      <c r="MJY12" s="1396"/>
      <c r="MJZ12" s="416"/>
      <c r="MKA12" s="416"/>
      <c r="MKB12" s="416"/>
      <c r="MKC12" s="416"/>
      <c r="MKD12" s="416"/>
      <c r="MKE12" s="416"/>
      <c r="MKF12" s="416"/>
      <c r="MKG12" s="416"/>
      <c r="MKH12" s="416"/>
      <c r="MKI12" s="416"/>
      <c r="MKJ12" s="1008"/>
      <c r="MKK12" s="1396"/>
      <c r="MKL12" s="416"/>
      <c r="MKM12" s="416"/>
      <c r="MKN12" s="416"/>
      <c r="MKO12" s="416"/>
      <c r="MKP12" s="416"/>
      <c r="MKQ12" s="416"/>
      <c r="MKR12" s="416"/>
      <c r="MKS12" s="416"/>
      <c r="MKT12" s="416"/>
      <c r="MKU12" s="416"/>
      <c r="MKV12" s="1008"/>
      <c r="MKW12" s="1396"/>
      <c r="MKX12" s="416"/>
      <c r="MKY12" s="416"/>
      <c r="MKZ12" s="416"/>
      <c r="MLA12" s="416"/>
      <c r="MLB12" s="416"/>
      <c r="MLC12" s="416"/>
      <c r="MLD12" s="416"/>
      <c r="MLE12" s="416"/>
      <c r="MLF12" s="416"/>
      <c r="MLG12" s="416"/>
      <c r="MLH12" s="1008"/>
      <c r="MLI12" s="1396"/>
      <c r="MLJ12" s="416"/>
      <c r="MLK12" s="416"/>
      <c r="MLL12" s="416"/>
      <c r="MLM12" s="416"/>
      <c r="MLN12" s="416"/>
      <c r="MLO12" s="416"/>
      <c r="MLP12" s="416"/>
      <c r="MLQ12" s="416"/>
      <c r="MLR12" s="416"/>
      <c r="MLS12" s="416"/>
      <c r="MLT12" s="1008"/>
      <c r="MLU12" s="1396"/>
      <c r="MLV12" s="416"/>
      <c r="MLW12" s="416"/>
      <c r="MLX12" s="416"/>
      <c r="MLY12" s="416"/>
      <c r="MLZ12" s="416"/>
      <c r="MMA12" s="416"/>
      <c r="MMB12" s="416"/>
      <c r="MMC12" s="416"/>
      <c r="MMD12" s="416"/>
      <c r="MME12" s="416"/>
      <c r="MMF12" s="1008"/>
      <c r="MMG12" s="1396"/>
      <c r="MMH12" s="416"/>
      <c r="MMI12" s="416"/>
      <c r="MMJ12" s="416"/>
      <c r="MMK12" s="416"/>
      <c r="MML12" s="416"/>
      <c r="MMM12" s="416"/>
      <c r="MMN12" s="416"/>
      <c r="MMO12" s="416"/>
      <c r="MMP12" s="416"/>
      <c r="MMQ12" s="416"/>
      <c r="MMR12" s="1008"/>
      <c r="MMS12" s="1396"/>
      <c r="MMT12" s="416"/>
      <c r="MMU12" s="416"/>
      <c r="MMV12" s="416"/>
      <c r="MMW12" s="416"/>
      <c r="MMX12" s="416"/>
      <c r="MMY12" s="416"/>
      <c r="MMZ12" s="416"/>
      <c r="MNA12" s="416"/>
      <c r="MNB12" s="416"/>
      <c r="MNC12" s="416"/>
      <c r="MND12" s="1008"/>
      <c r="MNE12" s="1396"/>
      <c r="MNF12" s="416"/>
      <c r="MNG12" s="416"/>
      <c r="MNH12" s="416"/>
      <c r="MNI12" s="416"/>
      <c r="MNJ12" s="416"/>
      <c r="MNK12" s="416"/>
      <c r="MNL12" s="416"/>
      <c r="MNM12" s="416"/>
      <c r="MNN12" s="416"/>
      <c r="MNO12" s="416"/>
      <c r="MNP12" s="1008"/>
      <c r="MNQ12" s="1396"/>
      <c r="MNR12" s="416"/>
      <c r="MNS12" s="416"/>
      <c r="MNT12" s="416"/>
      <c r="MNU12" s="416"/>
      <c r="MNV12" s="416"/>
      <c r="MNW12" s="416"/>
      <c r="MNX12" s="416"/>
      <c r="MNY12" s="416"/>
      <c r="MNZ12" s="416"/>
      <c r="MOA12" s="416"/>
      <c r="MOB12" s="1008"/>
      <c r="MOC12" s="1396"/>
      <c r="MOD12" s="416"/>
      <c r="MOE12" s="416"/>
      <c r="MOF12" s="416"/>
      <c r="MOG12" s="416"/>
      <c r="MOH12" s="416"/>
      <c r="MOI12" s="416"/>
      <c r="MOJ12" s="416"/>
      <c r="MOK12" s="416"/>
      <c r="MOL12" s="416"/>
      <c r="MOM12" s="416"/>
      <c r="MON12" s="1008"/>
      <c r="MOO12" s="1396"/>
      <c r="MOP12" s="416"/>
      <c r="MOQ12" s="416"/>
      <c r="MOR12" s="416"/>
      <c r="MOS12" s="416"/>
      <c r="MOT12" s="416"/>
      <c r="MOU12" s="416"/>
      <c r="MOV12" s="416"/>
      <c r="MOW12" s="416"/>
      <c r="MOX12" s="416"/>
      <c r="MOY12" s="416"/>
      <c r="MOZ12" s="1008"/>
      <c r="MPA12" s="1396"/>
      <c r="MPB12" s="416"/>
      <c r="MPC12" s="416"/>
      <c r="MPD12" s="416"/>
      <c r="MPE12" s="416"/>
      <c r="MPF12" s="416"/>
      <c r="MPG12" s="416"/>
      <c r="MPH12" s="416"/>
      <c r="MPI12" s="416"/>
      <c r="MPJ12" s="416"/>
      <c r="MPK12" s="416"/>
      <c r="MPL12" s="1008"/>
      <c r="MPM12" s="1396"/>
      <c r="MPN12" s="416"/>
      <c r="MPO12" s="416"/>
      <c r="MPP12" s="416"/>
      <c r="MPQ12" s="416"/>
      <c r="MPR12" s="416"/>
      <c r="MPS12" s="416"/>
      <c r="MPT12" s="416"/>
      <c r="MPU12" s="416"/>
      <c r="MPV12" s="416"/>
      <c r="MPW12" s="416"/>
      <c r="MPX12" s="1008"/>
      <c r="MPY12" s="1396"/>
      <c r="MPZ12" s="416"/>
      <c r="MQA12" s="416"/>
      <c r="MQB12" s="416"/>
      <c r="MQC12" s="416"/>
      <c r="MQD12" s="416"/>
      <c r="MQE12" s="416"/>
      <c r="MQF12" s="416"/>
      <c r="MQG12" s="416"/>
      <c r="MQH12" s="416"/>
      <c r="MQI12" s="416"/>
      <c r="MQJ12" s="1008"/>
      <c r="MQK12" s="1396"/>
      <c r="MQL12" s="416"/>
      <c r="MQM12" s="416"/>
      <c r="MQN12" s="416"/>
      <c r="MQO12" s="416"/>
      <c r="MQP12" s="416"/>
      <c r="MQQ12" s="416"/>
      <c r="MQR12" s="416"/>
      <c r="MQS12" s="416"/>
      <c r="MQT12" s="416"/>
      <c r="MQU12" s="416"/>
      <c r="MQV12" s="1008"/>
      <c r="MQW12" s="1396"/>
      <c r="MQX12" s="416"/>
      <c r="MQY12" s="416"/>
      <c r="MQZ12" s="416"/>
      <c r="MRA12" s="416"/>
      <c r="MRB12" s="416"/>
      <c r="MRC12" s="416"/>
      <c r="MRD12" s="416"/>
      <c r="MRE12" s="416"/>
      <c r="MRF12" s="416"/>
      <c r="MRG12" s="416"/>
      <c r="MRH12" s="1008"/>
      <c r="MRI12" s="1396"/>
      <c r="MRJ12" s="416"/>
      <c r="MRK12" s="416"/>
      <c r="MRL12" s="416"/>
      <c r="MRM12" s="416"/>
      <c r="MRN12" s="416"/>
      <c r="MRO12" s="416"/>
      <c r="MRP12" s="416"/>
      <c r="MRQ12" s="416"/>
      <c r="MRR12" s="416"/>
      <c r="MRS12" s="416"/>
      <c r="MRT12" s="1008"/>
      <c r="MRU12" s="1396"/>
      <c r="MRV12" s="416"/>
      <c r="MRW12" s="416"/>
      <c r="MRX12" s="416"/>
      <c r="MRY12" s="416"/>
      <c r="MRZ12" s="416"/>
      <c r="MSA12" s="416"/>
      <c r="MSB12" s="416"/>
      <c r="MSC12" s="416"/>
      <c r="MSD12" s="416"/>
      <c r="MSE12" s="416"/>
      <c r="MSF12" s="1008"/>
      <c r="MSG12" s="1396"/>
      <c r="MSH12" s="416"/>
      <c r="MSI12" s="416"/>
      <c r="MSJ12" s="416"/>
      <c r="MSK12" s="416"/>
      <c r="MSL12" s="416"/>
      <c r="MSM12" s="416"/>
      <c r="MSN12" s="416"/>
      <c r="MSO12" s="416"/>
      <c r="MSP12" s="416"/>
      <c r="MSQ12" s="416"/>
      <c r="MSR12" s="1008"/>
      <c r="MSS12" s="1396"/>
      <c r="MST12" s="416"/>
      <c r="MSU12" s="416"/>
      <c r="MSV12" s="416"/>
      <c r="MSW12" s="416"/>
      <c r="MSX12" s="416"/>
      <c r="MSY12" s="416"/>
      <c r="MSZ12" s="416"/>
      <c r="MTA12" s="416"/>
      <c r="MTB12" s="416"/>
      <c r="MTC12" s="416"/>
      <c r="MTD12" s="1008"/>
      <c r="MTE12" s="1396"/>
      <c r="MTF12" s="416"/>
      <c r="MTG12" s="416"/>
      <c r="MTH12" s="416"/>
      <c r="MTI12" s="416"/>
      <c r="MTJ12" s="416"/>
      <c r="MTK12" s="416"/>
      <c r="MTL12" s="416"/>
      <c r="MTM12" s="416"/>
      <c r="MTN12" s="416"/>
      <c r="MTO12" s="416"/>
      <c r="MTP12" s="1008"/>
      <c r="MTQ12" s="1396"/>
      <c r="MTR12" s="416"/>
      <c r="MTS12" s="416"/>
      <c r="MTT12" s="416"/>
      <c r="MTU12" s="416"/>
      <c r="MTV12" s="416"/>
      <c r="MTW12" s="416"/>
      <c r="MTX12" s="416"/>
      <c r="MTY12" s="416"/>
      <c r="MTZ12" s="416"/>
      <c r="MUA12" s="416"/>
      <c r="MUB12" s="1008"/>
      <c r="MUC12" s="1396"/>
      <c r="MUD12" s="416"/>
      <c r="MUE12" s="416"/>
      <c r="MUF12" s="416"/>
      <c r="MUG12" s="416"/>
      <c r="MUH12" s="416"/>
      <c r="MUI12" s="416"/>
      <c r="MUJ12" s="416"/>
      <c r="MUK12" s="416"/>
      <c r="MUL12" s="416"/>
      <c r="MUM12" s="416"/>
      <c r="MUN12" s="1008"/>
      <c r="MUO12" s="1396"/>
      <c r="MUP12" s="416"/>
      <c r="MUQ12" s="416"/>
      <c r="MUR12" s="416"/>
      <c r="MUS12" s="416"/>
      <c r="MUT12" s="416"/>
      <c r="MUU12" s="416"/>
      <c r="MUV12" s="416"/>
      <c r="MUW12" s="416"/>
      <c r="MUX12" s="416"/>
      <c r="MUY12" s="416"/>
      <c r="MUZ12" s="1008"/>
      <c r="MVA12" s="1396"/>
      <c r="MVB12" s="416"/>
      <c r="MVC12" s="416"/>
      <c r="MVD12" s="416"/>
      <c r="MVE12" s="416"/>
      <c r="MVF12" s="416"/>
      <c r="MVG12" s="416"/>
      <c r="MVH12" s="416"/>
      <c r="MVI12" s="416"/>
      <c r="MVJ12" s="416"/>
      <c r="MVK12" s="416"/>
      <c r="MVL12" s="1008"/>
      <c r="MVM12" s="1396"/>
      <c r="MVN12" s="416"/>
      <c r="MVO12" s="416"/>
      <c r="MVP12" s="416"/>
      <c r="MVQ12" s="416"/>
      <c r="MVR12" s="416"/>
      <c r="MVS12" s="416"/>
      <c r="MVT12" s="416"/>
      <c r="MVU12" s="416"/>
      <c r="MVV12" s="416"/>
      <c r="MVW12" s="416"/>
      <c r="MVX12" s="1008"/>
      <c r="MVY12" s="1396"/>
      <c r="MVZ12" s="416"/>
      <c r="MWA12" s="416"/>
      <c r="MWB12" s="416"/>
      <c r="MWC12" s="416"/>
      <c r="MWD12" s="416"/>
      <c r="MWE12" s="416"/>
      <c r="MWF12" s="416"/>
      <c r="MWG12" s="416"/>
      <c r="MWH12" s="416"/>
      <c r="MWI12" s="416"/>
      <c r="MWJ12" s="1008"/>
      <c r="MWK12" s="1396"/>
      <c r="MWL12" s="416"/>
      <c r="MWM12" s="416"/>
      <c r="MWN12" s="416"/>
      <c r="MWO12" s="416"/>
      <c r="MWP12" s="416"/>
      <c r="MWQ12" s="416"/>
      <c r="MWR12" s="416"/>
      <c r="MWS12" s="416"/>
      <c r="MWT12" s="416"/>
      <c r="MWU12" s="416"/>
      <c r="MWV12" s="1008"/>
      <c r="MWW12" s="1396"/>
      <c r="MWX12" s="416"/>
      <c r="MWY12" s="416"/>
      <c r="MWZ12" s="416"/>
      <c r="MXA12" s="416"/>
      <c r="MXB12" s="416"/>
      <c r="MXC12" s="416"/>
      <c r="MXD12" s="416"/>
      <c r="MXE12" s="416"/>
      <c r="MXF12" s="416"/>
      <c r="MXG12" s="416"/>
      <c r="MXH12" s="1008"/>
      <c r="MXI12" s="1396"/>
      <c r="MXJ12" s="416"/>
      <c r="MXK12" s="416"/>
      <c r="MXL12" s="416"/>
      <c r="MXM12" s="416"/>
      <c r="MXN12" s="416"/>
      <c r="MXO12" s="416"/>
      <c r="MXP12" s="416"/>
      <c r="MXQ12" s="416"/>
      <c r="MXR12" s="416"/>
      <c r="MXS12" s="416"/>
      <c r="MXT12" s="1008"/>
      <c r="MXU12" s="1396"/>
      <c r="MXV12" s="416"/>
      <c r="MXW12" s="416"/>
      <c r="MXX12" s="416"/>
      <c r="MXY12" s="416"/>
      <c r="MXZ12" s="416"/>
      <c r="MYA12" s="416"/>
      <c r="MYB12" s="416"/>
      <c r="MYC12" s="416"/>
      <c r="MYD12" s="416"/>
      <c r="MYE12" s="416"/>
      <c r="MYF12" s="1008"/>
      <c r="MYG12" s="1396"/>
      <c r="MYH12" s="416"/>
      <c r="MYI12" s="416"/>
      <c r="MYJ12" s="416"/>
      <c r="MYK12" s="416"/>
      <c r="MYL12" s="416"/>
      <c r="MYM12" s="416"/>
      <c r="MYN12" s="416"/>
      <c r="MYO12" s="416"/>
      <c r="MYP12" s="416"/>
      <c r="MYQ12" s="416"/>
      <c r="MYR12" s="1008"/>
      <c r="MYS12" s="1396"/>
      <c r="MYT12" s="416"/>
      <c r="MYU12" s="416"/>
      <c r="MYV12" s="416"/>
      <c r="MYW12" s="416"/>
      <c r="MYX12" s="416"/>
      <c r="MYY12" s="416"/>
      <c r="MYZ12" s="416"/>
      <c r="MZA12" s="416"/>
      <c r="MZB12" s="416"/>
      <c r="MZC12" s="416"/>
      <c r="MZD12" s="1008"/>
      <c r="MZE12" s="1396"/>
      <c r="MZF12" s="416"/>
      <c r="MZG12" s="416"/>
      <c r="MZH12" s="416"/>
      <c r="MZI12" s="416"/>
      <c r="MZJ12" s="416"/>
      <c r="MZK12" s="416"/>
      <c r="MZL12" s="416"/>
      <c r="MZM12" s="416"/>
      <c r="MZN12" s="416"/>
      <c r="MZO12" s="416"/>
      <c r="MZP12" s="1008"/>
      <c r="MZQ12" s="1396"/>
      <c r="MZR12" s="416"/>
      <c r="MZS12" s="416"/>
      <c r="MZT12" s="416"/>
      <c r="MZU12" s="416"/>
      <c r="MZV12" s="416"/>
      <c r="MZW12" s="416"/>
      <c r="MZX12" s="416"/>
      <c r="MZY12" s="416"/>
      <c r="MZZ12" s="416"/>
      <c r="NAA12" s="416"/>
      <c r="NAB12" s="1008"/>
      <c r="NAC12" s="1396"/>
      <c r="NAD12" s="416"/>
      <c r="NAE12" s="416"/>
      <c r="NAF12" s="416"/>
      <c r="NAG12" s="416"/>
      <c r="NAH12" s="416"/>
      <c r="NAI12" s="416"/>
      <c r="NAJ12" s="416"/>
      <c r="NAK12" s="416"/>
      <c r="NAL12" s="416"/>
      <c r="NAM12" s="416"/>
      <c r="NAN12" s="1008"/>
      <c r="NAO12" s="1396"/>
      <c r="NAP12" s="416"/>
      <c r="NAQ12" s="416"/>
      <c r="NAR12" s="416"/>
      <c r="NAS12" s="416"/>
      <c r="NAT12" s="416"/>
      <c r="NAU12" s="416"/>
      <c r="NAV12" s="416"/>
      <c r="NAW12" s="416"/>
      <c r="NAX12" s="416"/>
      <c r="NAY12" s="416"/>
      <c r="NAZ12" s="1008"/>
      <c r="NBA12" s="1396"/>
      <c r="NBB12" s="416"/>
      <c r="NBC12" s="416"/>
      <c r="NBD12" s="416"/>
      <c r="NBE12" s="416"/>
      <c r="NBF12" s="416"/>
      <c r="NBG12" s="416"/>
      <c r="NBH12" s="416"/>
      <c r="NBI12" s="416"/>
      <c r="NBJ12" s="416"/>
      <c r="NBK12" s="416"/>
      <c r="NBL12" s="1008"/>
      <c r="NBM12" s="1396"/>
      <c r="NBN12" s="416"/>
      <c r="NBO12" s="416"/>
      <c r="NBP12" s="416"/>
      <c r="NBQ12" s="416"/>
      <c r="NBR12" s="416"/>
      <c r="NBS12" s="416"/>
      <c r="NBT12" s="416"/>
      <c r="NBU12" s="416"/>
      <c r="NBV12" s="416"/>
      <c r="NBW12" s="416"/>
      <c r="NBX12" s="1008"/>
      <c r="NBY12" s="1396"/>
      <c r="NBZ12" s="416"/>
      <c r="NCA12" s="416"/>
      <c r="NCB12" s="416"/>
      <c r="NCC12" s="416"/>
      <c r="NCD12" s="416"/>
      <c r="NCE12" s="416"/>
      <c r="NCF12" s="416"/>
      <c r="NCG12" s="416"/>
      <c r="NCH12" s="416"/>
      <c r="NCI12" s="416"/>
      <c r="NCJ12" s="1008"/>
      <c r="NCK12" s="1396"/>
      <c r="NCL12" s="416"/>
      <c r="NCM12" s="416"/>
      <c r="NCN12" s="416"/>
      <c r="NCO12" s="416"/>
      <c r="NCP12" s="416"/>
      <c r="NCQ12" s="416"/>
      <c r="NCR12" s="416"/>
      <c r="NCS12" s="416"/>
      <c r="NCT12" s="416"/>
      <c r="NCU12" s="416"/>
      <c r="NCV12" s="1008"/>
      <c r="NCW12" s="1396"/>
      <c r="NCX12" s="416"/>
      <c r="NCY12" s="416"/>
      <c r="NCZ12" s="416"/>
      <c r="NDA12" s="416"/>
      <c r="NDB12" s="416"/>
      <c r="NDC12" s="416"/>
      <c r="NDD12" s="416"/>
      <c r="NDE12" s="416"/>
      <c r="NDF12" s="416"/>
      <c r="NDG12" s="416"/>
      <c r="NDH12" s="1008"/>
      <c r="NDI12" s="1396"/>
      <c r="NDJ12" s="416"/>
      <c r="NDK12" s="416"/>
      <c r="NDL12" s="416"/>
      <c r="NDM12" s="416"/>
      <c r="NDN12" s="416"/>
      <c r="NDO12" s="416"/>
      <c r="NDP12" s="416"/>
      <c r="NDQ12" s="416"/>
      <c r="NDR12" s="416"/>
      <c r="NDS12" s="416"/>
      <c r="NDT12" s="1008"/>
      <c r="NDU12" s="1396"/>
      <c r="NDV12" s="416"/>
      <c r="NDW12" s="416"/>
      <c r="NDX12" s="416"/>
      <c r="NDY12" s="416"/>
      <c r="NDZ12" s="416"/>
      <c r="NEA12" s="416"/>
      <c r="NEB12" s="416"/>
      <c r="NEC12" s="416"/>
      <c r="NED12" s="416"/>
      <c r="NEE12" s="416"/>
      <c r="NEF12" s="1008"/>
      <c r="NEG12" s="1396"/>
      <c r="NEH12" s="416"/>
      <c r="NEI12" s="416"/>
      <c r="NEJ12" s="416"/>
      <c r="NEK12" s="416"/>
      <c r="NEL12" s="416"/>
      <c r="NEM12" s="416"/>
      <c r="NEN12" s="416"/>
      <c r="NEO12" s="416"/>
      <c r="NEP12" s="416"/>
      <c r="NEQ12" s="416"/>
      <c r="NER12" s="1008"/>
      <c r="NES12" s="1396"/>
      <c r="NET12" s="416"/>
      <c r="NEU12" s="416"/>
      <c r="NEV12" s="416"/>
      <c r="NEW12" s="416"/>
      <c r="NEX12" s="416"/>
      <c r="NEY12" s="416"/>
      <c r="NEZ12" s="416"/>
      <c r="NFA12" s="416"/>
      <c r="NFB12" s="416"/>
      <c r="NFC12" s="416"/>
      <c r="NFD12" s="1008"/>
      <c r="NFE12" s="1396"/>
      <c r="NFF12" s="416"/>
      <c r="NFG12" s="416"/>
      <c r="NFH12" s="416"/>
      <c r="NFI12" s="416"/>
      <c r="NFJ12" s="416"/>
      <c r="NFK12" s="416"/>
      <c r="NFL12" s="416"/>
      <c r="NFM12" s="416"/>
      <c r="NFN12" s="416"/>
      <c r="NFO12" s="416"/>
      <c r="NFP12" s="1008"/>
      <c r="NFQ12" s="1396"/>
      <c r="NFR12" s="416"/>
      <c r="NFS12" s="416"/>
      <c r="NFT12" s="416"/>
      <c r="NFU12" s="416"/>
      <c r="NFV12" s="416"/>
      <c r="NFW12" s="416"/>
      <c r="NFX12" s="416"/>
      <c r="NFY12" s="416"/>
      <c r="NFZ12" s="416"/>
      <c r="NGA12" s="416"/>
      <c r="NGB12" s="1008"/>
      <c r="NGC12" s="1396"/>
      <c r="NGD12" s="416"/>
      <c r="NGE12" s="416"/>
      <c r="NGF12" s="416"/>
      <c r="NGG12" s="416"/>
      <c r="NGH12" s="416"/>
      <c r="NGI12" s="416"/>
      <c r="NGJ12" s="416"/>
      <c r="NGK12" s="416"/>
      <c r="NGL12" s="416"/>
      <c r="NGM12" s="416"/>
      <c r="NGN12" s="1008"/>
      <c r="NGO12" s="1396"/>
      <c r="NGP12" s="416"/>
      <c r="NGQ12" s="416"/>
      <c r="NGR12" s="416"/>
      <c r="NGS12" s="416"/>
      <c r="NGT12" s="416"/>
      <c r="NGU12" s="416"/>
      <c r="NGV12" s="416"/>
      <c r="NGW12" s="416"/>
      <c r="NGX12" s="416"/>
      <c r="NGY12" s="416"/>
      <c r="NGZ12" s="1008"/>
      <c r="NHA12" s="1396"/>
      <c r="NHB12" s="416"/>
      <c r="NHC12" s="416"/>
      <c r="NHD12" s="416"/>
      <c r="NHE12" s="416"/>
      <c r="NHF12" s="416"/>
      <c r="NHG12" s="416"/>
      <c r="NHH12" s="416"/>
      <c r="NHI12" s="416"/>
      <c r="NHJ12" s="416"/>
      <c r="NHK12" s="416"/>
      <c r="NHL12" s="1008"/>
      <c r="NHM12" s="1396"/>
      <c r="NHN12" s="416"/>
      <c r="NHO12" s="416"/>
      <c r="NHP12" s="416"/>
      <c r="NHQ12" s="416"/>
      <c r="NHR12" s="416"/>
      <c r="NHS12" s="416"/>
      <c r="NHT12" s="416"/>
      <c r="NHU12" s="416"/>
      <c r="NHV12" s="416"/>
      <c r="NHW12" s="416"/>
      <c r="NHX12" s="1008"/>
      <c r="NHY12" s="1396"/>
      <c r="NHZ12" s="416"/>
      <c r="NIA12" s="416"/>
      <c r="NIB12" s="416"/>
      <c r="NIC12" s="416"/>
      <c r="NID12" s="416"/>
      <c r="NIE12" s="416"/>
      <c r="NIF12" s="416"/>
      <c r="NIG12" s="416"/>
      <c r="NIH12" s="416"/>
      <c r="NII12" s="416"/>
      <c r="NIJ12" s="1008"/>
      <c r="NIK12" s="1396"/>
      <c r="NIL12" s="416"/>
      <c r="NIM12" s="416"/>
      <c r="NIN12" s="416"/>
      <c r="NIO12" s="416"/>
      <c r="NIP12" s="416"/>
      <c r="NIQ12" s="416"/>
      <c r="NIR12" s="416"/>
      <c r="NIS12" s="416"/>
      <c r="NIT12" s="416"/>
      <c r="NIU12" s="416"/>
      <c r="NIV12" s="1008"/>
      <c r="NIW12" s="1396"/>
      <c r="NIX12" s="416"/>
      <c r="NIY12" s="416"/>
      <c r="NIZ12" s="416"/>
      <c r="NJA12" s="416"/>
      <c r="NJB12" s="416"/>
      <c r="NJC12" s="416"/>
      <c r="NJD12" s="416"/>
      <c r="NJE12" s="416"/>
      <c r="NJF12" s="416"/>
      <c r="NJG12" s="416"/>
      <c r="NJH12" s="1008"/>
      <c r="NJI12" s="1396"/>
      <c r="NJJ12" s="416"/>
      <c r="NJK12" s="416"/>
      <c r="NJL12" s="416"/>
      <c r="NJM12" s="416"/>
      <c r="NJN12" s="416"/>
      <c r="NJO12" s="416"/>
      <c r="NJP12" s="416"/>
      <c r="NJQ12" s="416"/>
      <c r="NJR12" s="416"/>
      <c r="NJS12" s="416"/>
      <c r="NJT12" s="1008"/>
      <c r="NJU12" s="1396"/>
      <c r="NJV12" s="416"/>
      <c r="NJW12" s="416"/>
      <c r="NJX12" s="416"/>
      <c r="NJY12" s="416"/>
      <c r="NJZ12" s="416"/>
      <c r="NKA12" s="416"/>
      <c r="NKB12" s="416"/>
      <c r="NKC12" s="416"/>
      <c r="NKD12" s="416"/>
      <c r="NKE12" s="416"/>
      <c r="NKF12" s="1008"/>
      <c r="NKG12" s="1396"/>
      <c r="NKH12" s="416"/>
      <c r="NKI12" s="416"/>
      <c r="NKJ12" s="416"/>
      <c r="NKK12" s="416"/>
      <c r="NKL12" s="416"/>
      <c r="NKM12" s="416"/>
      <c r="NKN12" s="416"/>
      <c r="NKO12" s="416"/>
      <c r="NKP12" s="416"/>
      <c r="NKQ12" s="416"/>
      <c r="NKR12" s="1008"/>
      <c r="NKS12" s="1396"/>
      <c r="NKT12" s="416"/>
      <c r="NKU12" s="416"/>
      <c r="NKV12" s="416"/>
      <c r="NKW12" s="416"/>
      <c r="NKX12" s="416"/>
      <c r="NKY12" s="416"/>
      <c r="NKZ12" s="416"/>
      <c r="NLA12" s="416"/>
      <c r="NLB12" s="416"/>
      <c r="NLC12" s="416"/>
      <c r="NLD12" s="1008"/>
      <c r="NLE12" s="1396"/>
      <c r="NLF12" s="416"/>
      <c r="NLG12" s="416"/>
      <c r="NLH12" s="416"/>
      <c r="NLI12" s="416"/>
      <c r="NLJ12" s="416"/>
      <c r="NLK12" s="416"/>
      <c r="NLL12" s="416"/>
      <c r="NLM12" s="416"/>
      <c r="NLN12" s="416"/>
      <c r="NLO12" s="416"/>
      <c r="NLP12" s="1008"/>
      <c r="NLQ12" s="1396"/>
      <c r="NLR12" s="416"/>
      <c r="NLS12" s="416"/>
      <c r="NLT12" s="416"/>
      <c r="NLU12" s="416"/>
      <c r="NLV12" s="416"/>
      <c r="NLW12" s="416"/>
      <c r="NLX12" s="416"/>
      <c r="NLY12" s="416"/>
      <c r="NLZ12" s="416"/>
      <c r="NMA12" s="416"/>
      <c r="NMB12" s="1008"/>
      <c r="NMC12" s="1396"/>
      <c r="NMD12" s="416"/>
      <c r="NME12" s="416"/>
      <c r="NMF12" s="416"/>
      <c r="NMG12" s="416"/>
      <c r="NMH12" s="416"/>
      <c r="NMI12" s="416"/>
      <c r="NMJ12" s="416"/>
      <c r="NMK12" s="416"/>
      <c r="NML12" s="416"/>
      <c r="NMM12" s="416"/>
      <c r="NMN12" s="1008"/>
      <c r="NMO12" s="1396"/>
      <c r="NMP12" s="416"/>
      <c r="NMQ12" s="416"/>
      <c r="NMR12" s="416"/>
      <c r="NMS12" s="416"/>
      <c r="NMT12" s="416"/>
      <c r="NMU12" s="416"/>
      <c r="NMV12" s="416"/>
      <c r="NMW12" s="416"/>
      <c r="NMX12" s="416"/>
      <c r="NMY12" s="416"/>
      <c r="NMZ12" s="1008"/>
      <c r="NNA12" s="1396"/>
      <c r="NNB12" s="416"/>
      <c r="NNC12" s="416"/>
      <c r="NND12" s="416"/>
      <c r="NNE12" s="416"/>
      <c r="NNF12" s="416"/>
      <c r="NNG12" s="416"/>
      <c r="NNH12" s="416"/>
      <c r="NNI12" s="416"/>
      <c r="NNJ12" s="416"/>
      <c r="NNK12" s="416"/>
      <c r="NNL12" s="1008"/>
      <c r="NNM12" s="1396"/>
      <c r="NNN12" s="416"/>
      <c r="NNO12" s="416"/>
      <c r="NNP12" s="416"/>
      <c r="NNQ12" s="416"/>
      <c r="NNR12" s="416"/>
      <c r="NNS12" s="416"/>
      <c r="NNT12" s="416"/>
      <c r="NNU12" s="416"/>
      <c r="NNV12" s="416"/>
      <c r="NNW12" s="416"/>
      <c r="NNX12" s="1008"/>
      <c r="NNY12" s="1396"/>
      <c r="NNZ12" s="416"/>
      <c r="NOA12" s="416"/>
      <c r="NOB12" s="416"/>
      <c r="NOC12" s="416"/>
      <c r="NOD12" s="416"/>
      <c r="NOE12" s="416"/>
      <c r="NOF12" s="416"/>
      <c r="NOG12" s="416"/>
      <c r="NOH12" s="416"/>
      <c r="NOI12" s="416"/>
      <c r="NOJ12" s="1008"/>
      <c r="NOK12" s="1396"/>
      <c r="NOL12" s="416"/>
      <c r="NOM12" s="416"/>
      <c r="NON12" s="416"/>
      <c r="NOO12" s="416"/>
      <c r="NOP12" s="416"/>
      <c r="NOQ12" s="416"/>
      <c r="NOR12" s="416"/>
      <c r="NOS12" s="416"/>
      <c r="NOT12" s="416"/>
      <c r="NOU12" s="416"/>
      <c r="NOV12" s="1008"/>
      <c r="NOW12" s="1396"/>
      <c r="NOX12" s="416"/>
      <c r="NOY12" s="416"/>
      <c r="NOZ12" s="416"/>
      <c r="NPA12" s="416"/>
      <c r="NPB12" s="416"/>
      <c r="NPC12" s="416"/>
      <c r="NPD12" s="416"/>
      <c r="NPE12" s="416"/>
      <c r="NPF12" s="416"/>
      <c r="NPG12" s="416"/>
      <c r="NPH12" s="1008"/>
      <c r="NPI12" s="1396"/>
      <c r="NPJ12" s="416"/>
      <c r="NPK12" s="416"/>
      <c r="NPL12" s="416"/>
      <c r="NPM12" s="416"/>
      <c r="NPN12" s="416"/>
      <c r="NPO12" s="416"/>
      <c r="NPP12" s="416"/>
      <c r="NPQ12" s="416"/>
      <c r="NPR12" s="416"/>
      <c r="NPS12" s="416"/>
      <c r="NPT12" s="1008"/>
      <c r="NPU12" s="1396"/>
      <c r="NPV12" s="416"/>
      <c r="NPW12" s="416"/>
      <c r="NPX12" s="416"/>
      <c r="NPY12" s="416"/>
      <c r="NPZ12" s="416"/>
      <c r="NQA12" s="416"/>
      <c r="NQB12" s="416"/>
      <c r="NQC12" s="416"/>
      <c r="NQD12" s="416"/>
      <c r="NQE12" s="416"/>
      <c r="NQF12" s="1008"/>
      <c r="NQG12" s="1396"/>
      <c r="NQH12" s="416"/>
      <c r="NQI12" s="416"/>
      <c r="NQJ12" s="416"/>
      <c r="NQK12" s="416"/>
      <c r="NQL12" s="416"/>
      <c r="NQM12" s="416"/>
      <c r="NQN12" s="416"/>
      <c r="NQO12" s="416"/>
      <c r="NQP12" s="416"/>
      <c r="NQQ12" s="416"/>
      <c r="NQR12" s="1008"/>
      <c r="NQS12" s="1396"/>
      <c r="NQT12" s="416"/>
      <c r="NQU12" s="416"/>
      <c r="NQV12" s="416"/>
      <c r="NQW12" s="416"/>
      <c r="NQX12" s="416"/>
      <c r="NQY12" s="416"/>
      <c r="NQZ12" s="416"/>
      <c r="NRA12" s="416"/>
      <c r="NRB12" s="416"/>
      <c r="NRC12" s="416"/>
      <c r="NRD12" s="1008"/>
      <c r="NRE12" s="1396"/>
      <c r="NRF12" s="416"/>
      <c r="NRG12" s="416"/>
      <c r="NRH12" s="416"/>
      <c r="NRI12" s="416"/>
      <c r="NRJ12" s="416"/>
      <c r="NRK12" s="416"/>
      <c r="NRL12" s="416"/>
      <c r="NRM12" s="416"/>
      <c r="NRN12" s="416"/>
      <c r="NRO12" s="416"/>
      <c r="NRP12" s="1008"/>
      <c r="NRQ12" s="1396"/>
      <c r="NRR12" s="416"/>
      <c r="NRS12" s="416"/>
      <c r="NRT12" s="416"/>
      <c r="NRU12" s="416"/>
      <c r="NRV12" s="416"/>
      <c r="NRW12" s="416"/>
      <c r="NRX12" s="416"/>
      <c r="NRY12" s="416"/>
      <c r="NRZ12" s="416"/>
      <c r="NSA12" s="416"/>
      <c r="NSB12" s="1008"/>
      <c r="NSC12" s="1396"/>
      <c r="NSD12" s="416"/>
      <c r="NSE12" s="416"/>
      <c r="NSF12" s="416"/>
      <c r="NSG12" s="416"/>
      <c r="NSH12" s="416"/>
      <c r="NSI12" s="416"/>
      <c r="NSJ12" s="416"/>
      <c r="NSK12" s="416"/>
      <c r="NSL12" s="416"/>
      <c r="NSM12" s="416"/>
      <c r="NSN12" s="1008"/>
      <c r="NSO12" s="1396"/>
      <c r="NSP12" s="416"/>
      <c r="NSQ12" s="416"/>
      <c r="NSR12" s="416"/>
      <c r="NSS12" s="416"/>
      <c r="NST12" s="416"/>
      <c r="NSU12" s="416"/>
      <c r="NSV12" s="416"/>
      <c r="NSW12" s="416"/>
      <c r="NSX12" s="416"/>
      <c r="NSY12" s="416"/>
      <c r="NSZ12" s="1008"/>
      <c r="NTA12" s="1396"/>
      <c r="NTB12" s="416"/>
      <c r="NTC12" s="416"/>
      <c r="NTD12" s="416"/>
      <c r="NTE12" s="416"/>
      <c r="NTF12" s="416"/>
      <c r="NTG12" s="416"/>
      <c r="NTH12" s="416"/>
      <c r="NTI12" s="416"/>
      <c r="NTJ12" s="416"/>
      <c r="NTK12" s="416"/>
      <c r="NTL12" s="1008"/>
      <c r="NTM12" s="1396"/>
      <c r="NTN12" s="416"/>
      <c r="NTO12" s="416"/>
      <c r="NTP12" s="416"/>
      <c r="NTQ12" s="416"/>
      <c r="NTR12" s="416"/>
      <c r="NTS12" s="416"/>
      <c r="NTT12" s="416"/>
      <c r="NTU12" s="416"/>
      <c r="NTV12" s="416"/>
      <c r="NTW12" s="416"/>
      <c r="NTX12" s="1008"/>
      <c r="NTY12" s="1396"/>
      <c r="NTZ12" s="416"/>
      <c r="NUA12" s="416"/>
      <c r="NUB12" s="416"/>
      <c r="NUC12" s="416"/>
      <c r="NUD12" s="416"/>
      <c r="NUE12" s="416"/>
      <c r="NUF12" s="416"/>
      <c r="NUG12" s="416"/>
      <c r="NUH12" s="416"/>
      <c r="NUI12" s="416"/>
      <c r="NUJ12" s="1008"/>
      <c r="NUK12" s="1396"/>
      <c r="NUL12" s="416"/>
      <c r="NUM12" s="416"/>
      <c r="NUN12" s="416"/>
      <c r="NUO12" s="416"/>
      <c r="NUP12" s="416"/>
      <c r="NUQ12" s="416"/>
      <c r="NUR12" s="416"/>
      <c r="NUS12" s="416"/>
      <c r="NUT12" s="416"/>
      <c r="NUU12" s="416"/>
      <c r="NUV12" s="1008"/>
      <c r="NUW12" s="1396"/>
      <c r="NUX12" s="416"/>
      <c r="NUY12" s="416"/>
      <c r="NUZ12" s="416"/>
      <c r="NVA12" s="416"/>
      <c r="NVB12" s="416"/>
      <c r="NVC12" s="416"/>
      <c r="NVD12" s="416"/>
      <c r="NVE12" s="416"/>
      <c r="NVF12" s="416"/>
      <c r="NVG12" s="416"/>
      <c r="NVH12" s="1008"/>
      <c r="NVI12" s="1396"/>
      <c r="NVJ12" s="416"/>
      <c r="NVK12" s="416"/>
      <c r="NVL12" s="416"/>
      <c r="NVM12" s="416"/>
      <c r="NVN12" s="416"/>
      <c r="NVO12" s="416"/>
      <c r="NVP12" s="416"/>
      <c r="NVQ12" s="416"/>
      <c r="NVR12" s="416"/>
      <c r="NVS12" s="416"/>
      <c r="NVT12" s="1008"/>
      <c r="NVU12" s="1396"/>
      <c r="NVV12" s="416"/>
      <c r="NVW12" s="416"/>
      <c r="NVX12" s="416"/>
      <c r="NVY12" s="416"/>
      <c r="NVZ12" s="416"/>
      <c r="NWA12" s="416"/>
      <c r="NWB12" s="416"/>
      <c r="NWC12" s="416"/>
      <c r="NWD12" s="416"/>
      <c r="NWE12" s="416"/>
      <c r="NWF12" s="1008"/>
      <c r="NWG12" s="1396"/>
      <c r="NWH12" s="416"/>
      <c r="NWI12" s="416"/>
      <c r="NWJ12" s="416"/>
      <c r="NWK12" s="416"/>
      <c r="NWL12" s="416"/>
      <c r="NWM12" s="416"/>
      <c r="NWN12" s="416"/>
      <c r="NWO12" s="416"/>
      <c r="NWP12" s="416"/>
      <c r="NWQ12" s="416"/>
      <c r="NWR12" s="1008"/>
      <c r="NWS12" s="1396"/>
      <c r="NWT12" s="416"/>
      <c r="NWU12" s="416"/>
      <c r="NWV12" s="416"/>
      <c r="NWW12" s="416"/>
      <c r="NWX12" s="416"/>
      <c r="NWY12" s="416"/>
      <c r="NWZ12" s="416"/>
      <c r="NXA12" s="416"/>
      <c r="NXB12" s="416"/>
      <c r="NXC12" s="416"/>
      <c r="NXD12" s="1008"/>
      <c r="NXE12" s="1396"/>
      <c r="NXF12" s="416"/>
      <c r="NXG12" s="416"/>
      <c r="NXH12" s="416"/>
      <c r="NXI12" s="416"/>
      <c r="NXJ12" s="416"/>
      <c r="NXK12" s="416"/>
      <c r="NXL12" s="416"/>
      <c r="NXM12" s="416"/>
      <c r="NXN12" s="416"/>
      <c r="NXO12" s="416"/>
      <c r="NXP12" s="1008"/>
      <c r="NXQ12" s="1396"/>
      <c r="NXR12" s="416"/>
      <c r="NXS12" s="416"/>
      <c r="NXT12" s="416"/>
      <c r="NXU12" s="416"/>
      <c r="NXV12" s="416"/>
      <c r="NXW12" s="416"/>
      <c r="NXX12" s="416"/>
      <c r="NXY12" s="416"/>
      <c r="NXZ12" s="416"/>
      <c r="NYA12" s="416"/>
      <c r="NYB12" s="1008"/>
      <c r="NYC12" s="1396"/>
      <c r="NYD12" s="416"/>
      <c r="NYE12" s="416"/>
      <c r="NYF12" s="416"/>
      <c r="NYG12" s="416"/>
      <c r="NYH12" s="416"/>
      <c r="NYI12" s="416"/>
      <c r="NYJ12" s="416"/>
      <c r="NYK12" s="416"/>
      <c r="NYL12" s="416"/>
      <c r="NYM12" s="416"/>
      <c r="NYN12" s="1008"/>
      <c r="NYO12" s="1396"/>
      <c r="NYP12" s="416"/>
      <c r="NYQ12" s="416"/>
      <c r="NYR12" s="416"/>
      <c r="NYS12" s="416"/>
      <c r="NYT12" s="416"/>
      <c r="NYU12" s="416"/>
      <c r="NYV12" s="416"/>
      <c r="NYW12" s="416"/>
      <c r="NYX12" s="416"/>
      <c r="NYY12" s="416"/>
      <c r="NYZ12" s="1008"/>
      <c r="NZA12" s="1396"/>
      <c r="NZB12" s="416"/>
      <c r="NZC12" s="416"/>
      <c r="NZD12" s="416"/>
      <c r="NZE12" s="416"/>
      <c r="NZF12" s="416"/>
      <c r="NZG12" s="416"/>
      <c r="NZH12" s="416"/>
      <c r="NZI12" s="416"/>
      <c r="NZJ12" s="416"/>
      <c r="NZK12" s="416"/>
      <c r="NZL12" s="1008"/>
      <c r="NZM12" s="1396"/>
      <c r="NZN12" s="416"/>
      <c r="NZO12" s="416"/>
      <c r="NZP12" s="416"/>
      <c r="NZQ12" s="416"/>
      <c r="NZR12" s="416"/>
      <c r="NZS12" s="416"/>
      <c r="NZT12" s="416"/>
      <c r="NZU12" s="416"/>
      <c r="NZV12" s="416"/>
      <c r="NZW12" s="416"/>
      <c r="NZX12" s="1008"/>
      <c r="NZY12" s="1396"/>
      <c r="NZZ12" s="416"/>
      <c r="OAA12" s="416"/>
      <c r="OAB12" s="416"/>
      <c r="OAC12" s="416"/>
      <c r="OAD12" s="416"/>
      <c r="OAE12" s="416"/>
      <c r="OAF12" s="416"/>
      <c r="OAG12" s="416"/>
      <c r="OAH12" s="416"/>
      <c r="OAI12" s="416"/>
      <c r="OAJ12" s="1008"/>
      <c r="OAK12" s="1396"/>
      <c r="OAL12" s="416"/>
      <c r="OAM12" s="416"/>
      <c r="OAN12" s="416"/>
      <c r="OAO12" s="416"/>
      <c r="OAP12" s="416"/>
      <c r="OAQ12" s="416"/>
      <c r="OAR12" s="416"/>
      <c r="OAS12" s="416"/>
      <c r="OAT12" s="416"/>
      <c r="OAU12" s="416"/>
      <c r="OAV12" s="1008"/>
      <c r="OAW12" s="1396"/>
      <c r="OAX12" s="416"/>
      <c r="OAY12" s="416"/>
      <c r="OAZ12" s="416"/>
      <c r="OBA12" s="416"/>
      <c r="OBB12" s="416"/>
      <c r="OBC12" s="416"/>
      <c r="OBD12" s="416"/>
      <c r="OBE12" s="416"/>
      <c r="OBF12" s="416"/>
      <c r="OBG12" s="416"/>
      <c r="OBH12" s="1008"/>
      <c r="OBI12" s="1396"/>
      <c r="OBJ12" s="416"/>
      <c r="OBK12" s="416"/>
      <c r="OBL12" s="416"/>
      <c r="OBM12" s="416"/>
      <c r="OBN12" s="416"/>
      <c r="OBO12" s="416"/>
      <c r="OBP12" s="416"/>
      <c r="OBQ12" s="416"/>
      <c r="OBR12" s="416"/>
      <c r="OBS12" s="416"/>
      <c r="OBT12" s="1008"/>
      <c r="OBU12" s="1396"/>
      <c r="OBV12" s="416"/>
      <c r="OBW12" s="416"/>
      <c r="OBX12" s="416"/>
      <c r="OBY12" s="416"/>
      <c r="OBZ12" s="416"/>
      <c r="OCA12" s="416"/>
      <c r="OCB12" s="416"/>
      <c r="OCC12" s="416"/>
      <c r="OCD12" s="416"/>
      <c r="OCE12" s="416"/>
      <c r="OCF12" s="1008"/>
      <c r="OCG12" s="1396"/>
      <c r="OCH12" s="416"/>
      <c r="OCI12" s="416"/>
      <c r="OCJ12" s="416"/>
      <c r="OCK12" s="416"/>
      <c r="OCL12" s="416"/>
      <c r="OCM12" s="416"/>
      <c r="OCN12" s="416"/>
      <c r="OCO12" s="416"/>
      <c r="OCP12" s="416"/>
      <c r="OCQ12" s="416"/>
      <c r="OCR12" s="1008"/>
      <c r="OCS12" s="1396"/>
      <c r="OCT12" s="416"/>
      <c r="OCU12" s="416"/>
      <c r="OCV12" s="416"/>
      <c r="OCW12" s="416"/>
      <c r="OCX12" s="416"/>
      <c r="OCY12" s="416"/>
      <c r="OCZ12" s="416"/>
      <c r="ODA12" s="416"/>
      <c r="ODB12" s="416"/>
      <c r="ODC12" s="416"/>
      <c r="ODD12" s="1008"/>
      <c r="ODE12" s="1396"/>
      <c r="ODF12" s="416"/>
      <c r="ODG12" s="416"/>
      <c r="ODH12" s="416"/>
      <c r="ODI12" s="416"/>
      <c r="ODJ12" s="416"/>
      <c r="ODK12" s="416"/>
      <c r="ODL12" s="416"/>
      <c r="ODM12" s="416"/>
      <c r="ODN12" s="416"/>
      <c r="ODO12" s="416"/>
      <c r="ODP12" s="1008"/>
      <c r="ODQ12" s="1396"/>
      <c r="ODR12" s="416"/>
      <c r="ODS12" s="416"/>
      <c r="ODT12" s="416"/>
      <c r="ODU12" s="416"/>
      <c r="ODV12" s="416"/>
      <c r="ODW12" s="416"/>
      <c r="ODX12" s="416"/>
      <c r="ODY12" s="416"/>
      <c r="ODZ12" s="416"/>
      <c r="OEA12" s="416"/>
      <c r="OEB12" s="1008"/>
      <c r="OEC12" s="1396"/>
      <c r="OED12" s="416"/>
      <c r="OEE12" s="416"/>
      <c r="OEF12" s="416"/>
      <c r="OEG12" s="416"/>
      <c r="OEH12" s="416"/>
      <c r="OEI12" s="416"/>
      <c r="OEJ12" s="416"/>
      <c r="OEK12" s="416"/>
      <c r="OEL12" s="416"/>
      <c r="OEM12" s="416"/>
      <c r="OEN12" s="1008"/>
      <c r="OEO12" s="1396"/>
      <c r="OEP12" s="416"/>
      <c r="OEQ12" s="416"/>
      <c r="OER12" s="416"/>
      <c r="OES12" s="416"/>
      <c r="OET12" s="416"/>
      <c r="OEU12" s="416"/>
      <c r="OEV12" s="416"/>
      <c r="OEW12" s="416"/>
      <c r="OEX12" s="416"/>
      <c r="OEY12" s="416"/>
      <c r="OEZ12" s="1008"/>
      <c r="OFA12" s="1396"/>
      <c r="OFB12" s="416"/>
      <c r="OFC12" s="416"/>
      <c r="OFD12" s="416"/>
      <c r="OFE12" s="416"/>
      <c r="OFF12" s="416"/>
      <c r="OFG12" s="416"/>
      <c r="OFH12" s="416"/>
      <c r="OFI12" s="416"/>
      <c r="OFJ12" s="416"/>
      <c r="OFK12" s="416"/>
      <c r="OFL12" s="1008"/>
      <c r="OFM12" s="1396"/>
      <c r="OFN12" s="416"/>
      <c r="OFO12" s="416"/>
      <c r="OFP12" s="416"/>
      <c r="OFQ12" s="416"/>
      <c r="OFR12" s="416"/>
      <c r="OFS12" s="416"/>
      <c r="OFT12" s="416"/>
      <c r="OFU12" s="416"/>
      <c r="OFV12" s="416"/>
      <c r="OFW12" s="416"/>
      <c r="OFX12" s="1008"/>
      <c r="OFY12" s="1396"/>
      <c r="OFZ12" s="416"/>
      <c r="OGA12" s="416"/>
      <c r="OGB12" s="416"/>
      <c r="OGC12" s="416"/>
      <c r="OGD12" s="416"/>
      <c r="OGE12" s="416"/>
      <c r="OGF12" s="416"/>
      <c r="OGG12" s="416"/>
      <c r="OGH12" s="416"/>
      <c r="OGI12" s="416"/>
      <c r="OGJ12" s="1008"/>
      <c r="OGK12" s="1396"/>
      <c r="OGL12" s="416"/>
      <c r="OGM12" s="416"/>
      <c r="OGN12" s="416"/>
      <c r="OGO12" s="416"/>
      <c r="OGP12" s="416"/>
      <c r="OGQ12" s="416"/>
      <c r="OGR12" s="416"/>
      <c r="OGS12" s="416"/>
      <c r="OGT12" s="416"/>
      <c r="OGU12" s="416"/>
      <c r="OGV12" s="1008"/>
      <c r="OGW12" s="1396"/>
      <c r="OGX12" s="416"/>
      <c r="OGY12" s="416"/>
      <c r="OGZ12" s="416"/>
      <c r="OHA12" s="416"/>
      <c r="OHB12" s="416"/>
      <c r="OHC12" s="416"/>
      <c r="OHD12" s="416"/>
      <c r="OHE12" s="416"/>
      <c r="OHF12" s="416"/>
      <c r="OHG12" s="416"/>
      <c r="OHH12" s="1008"/>
      <c r="OHI12" s="1396"/>
      <c r="OHJ12" s="416"/>
      <c r="OHK12" s="416"/>
      <c r="OHL12" s="416"/>
      <c r="OHM12" s="416"/>
      <c r="OHN12" s="416"/>
      <c r="OHO12" s="416"/>
      <c r="OHP12" s="416"/>
      <c r="OHQ12" s="416"/>
      <c r="OHR12" s="416"/>
      <c r="OHS12" s="416"/>
      <c r="OHT12" s="1008"/>
      <c r="OHU12" s="1396"/>
      <c r="OHV12" s="416"/>
      <c r="OHW12" s="416"/>
      <c r="OHX12" s="416"/>
      <c r="OHY12" s="416"/>
      <c r="OHZ12" s="416"/>
      <c r="OIA12" s="416"/>
      <c r="OIB12" s="416"/>
      <c r="OIC12" s="416"/>
      <c r="OID12" s="416"/>
      <c r="OIE12" s="416"/>
      <c r="OIF12" s="1008"/>
      <c r="OIG12" s="1396"/>
      <c r="OIH12" s="416"/>
      <c r="OII12" s="416"/>
      <c r="OIJ12" s="416"/>
      <c r="OIK12" s="416"/>
      <c r="OIL12" s="416"/>
      <c r="OIM12" s="416"/>
      <c r="OIN12" s="416"/>
      <c r="OIO12" s="416"/>
      <c r="OIP12" s="416"/>
      <c r="OIQ12" s="416"/>
      <c r="OIR12" s="1008"/>
      <c r="OIS12" s="1396"/>
      <c r="OIT12" s="416"/>
      <c r="OIU12" s="416"/>
      <c r="OIV12" s="416"/>
      <c r="OIW12" s="416"/>
      <c r="OIX12" s="416"/>
      <c r="OIY12" s="416"/>
      <c r="OIZ12" s="416"/>
      <c r="OJA12" s="416"/>
      <c r="OJB12" s="416"/>
      <c r="OJC12" s="416"/>
      <c r="OJD12" s="1008"/>
      <c r="OJE12" s="1396"/>
      <c r="OJF12" s="416"/>
      <c r="OJG12" s="416"/>
      <c r="OJH12" s="416"/>
      <c r="OJI12" s="416"/>
      <c r="OJJ12" s="416"/>
      <c r="OJK12" s="416"/>
      <c r="OJL12" s="416"/>
      <c r="OJM12" s="416"/>
      <c r="OJN12" s="416"/>
      <c r="OJO12" s="416"/>
      <c r="OJP12" s="1008"/>
      <c r="OJQ12" s="1396"/>
      <c r="OJR12" s="416"/>
      <c r="OJS12" s="416"/>
      <c r="OJT12" s="416"/>
      <c r="OJU12" s="416"/>
      <c r="OJV12" s="416"/>
      <c r="OJW12" s="416"/>
      <c r="OJX12" s="416"/>
      <c r="OJY12" s="416"/>
      <c r="OJZ12" s="416"/>
      <c r="OKA12" s="416"/>
      <c r="OKB12" s="1008"/>
      <c r="OKC12" s="1396"/>
      <c r="OKD12" s="416"/>
      <c r="OKE12" s="416"/>
      <c r="OKF12" s="416"/>
      <c r="OKG12" s="416"/>
      <c r="OKH12" s="416"/>
      <c r="OKI12" s="416"/>
      <c r="OKJ12" s="416"/>
      <c r="OKK12" s="416"/>
      <c r="OKL12" s="416"/>
      <c r="OKM12" s="416"/>
      <c r="OKN12" s="1008"/>
      <c r="OKO12" s="1396"/>
      <c r="OKP12" s="416"/>
      <c r="OKQ12" s="416"/>
      <c r="OKR12" s="416"/>
      <c r="OKS12" s="416"/>
      <c r="OKT12" s="416"/>
      <c r="OKU12" s="416"/>
      <c r="OKV12" s="416"/>
      <c r="OKW12" s="416"/>
      <c r="OKX12" s="416"/>
      <c r="OKY12" s="416"/>
      <c r="OKZ12" s="1008"/>
      <c r="OLA12" s="1396"/>
      <c r="OLB12" s="416"/>
      <c r="OLC12" s="416"/>
      <c r="OLD12" s="416"/>
      <c r="OLE12" s="416"/>
      <c r="OLF12" s="416"/>
      <c r="OLG12" s="416"/>
      <c r="OLH12" s="416"/>
      <c r="OLI12" s="416"/>
      <c r="OLJ12" s="416"/>
      <c r="OLK12" s="416"/>
      <c r="OLL12" s="1008"/>
      <c r="OLM12" s="1396"/>
      <c r="OLN12" s="416"/>
      <c r="OLO12" s="416"/>
      <c r="OLP12" s="416"/>
      <c r="OLQ12" s="416"/>
      <c r="OLR12" s="416"/>
      <c r="OLS12" s="416"/>
      <c r="OLT12" s="416"/>
      <c r="OLU12" s="416"/>
      <c r="OLV12" s="416"/>
      <c r="OLW12" s="416"/>
      <c r="OLX12" s="1008"/>
      <c r="OLY12" s="1396"/>
      <c r="OLZ12" s="416"/>
      <c r="OMA12" s="416"/>
      <c r="OMB12" s="416"/>
      <c r="OMC12" s="416"/>
      <c r="OMD12" s="416"/>
      <c r="OME12" s="416"/>
      <c r="OMF12" s="416"/>
      <c r="OMG12" s="416"/>
      <c r="OMH12" s="416"/>
      <c r="OMI12" s="416"/>
      <c r="OMJ12" s="1008"/>
      <c r="OMK12" s="1396"/>
      <c r="OML12" s="416"/>
      <c r="OMM12" s="416"/>
      <c r="OMN12" s="416"/>
      <c r="OMO12" s="416"/>
      <c r="OMP12" s="416"/>
      <c r="OMQ12" s="416"/>
      <c r="OMR12" s="416"/>
      <c r="OMS12" s="416"/>
      <c r="OMT12" s="416"/>
      <c r="OMU12" s="416"/>
      <c r="OMV12" s="1008"/>
      <c r="OMW12" s="1396"/>
      <c r="OMX12" s="416"/>
      <c r="OMY12" s="416"/>
      <c r="OMZ12" s="416"/>
      <c r="ONA12" s="416"/>
      <c r="ONB12" s="416"/>
      <c r="ONC12" s="416"/>
      <c r="OND12" s="416"/>
      <c r="ONE12" s="416"/>
      <c r="ONF12" s="416"/>
      <c r="ONG12" s="416"/>
      <c r="ONH12" s="1008"/>
      <c r="ONI12" s="1396"/>
      <c r="ONJ12" s="416"/>
      <c r="ONK12" s="416"/>
      <c r="ONL12" s="416"/>
      <c r="ONM12" s="416"/>
      <c r="ONN12" s="416"/>
      <c r="ONO12" s="416"/>
      <c r="ONP12" s="416"/>
      <c r="ONQ12" s="416"/>
      <c r="ONR12" s="416"/>
      <c r="ONS12" s="416"/>
      <c r="ONT12" s="1008"/>
      <c r="ONU12" s="1396"/>
      <c r="ONV12" s="416"/>
      <c r="ONW12" s="416"/>
      <c r="ONX12" s="416"/>
      <c r="ONY12" s="416"/>
      <c r="ONZ12" s="416"/>
      <c r="OOA12" s="416"/>
      <c r="OOB12" s="416"/>
      <c r="OOC12" s="416"/>
      <c r="OOD12" s="416"/>
      <c r="OOE12" s="416"/>
      <c r="OOF12" s="1008"/>
      <c r="OOG12" s="1396"/>
      <c r="OOH12" s="416"/>
      <c r="OOI12" s="416"/>
      <c r="OOJ12" s="416"/>
      <c r="OOK12" s="416"/>
      <c r="OOL12" s="416"/>
      <c r="OOM12" s="416"/>
      <c r="OON12" s="416"/>
      <c r="OOO12" s="416"/>
      <c r="OOP12" s="416"/>
      <c r="OOQ12" s="416"/>
      <c r="OOR12" s="1008"/>
      <c r="OOS12" s="1396"/>
      <c r="OOT12" s="416"/>
      <c r="OOU12" s="416"/>
      <c r="OOV12" s="416"/>
      <c r="OOW12" s="416"/>
      <c r="OOX12" s="416"/>
      <c r="OOY12" s="416"/>
      <c r="OOZ12" s="416"/>
      <c r="OPA12" s="416"/>
      <c r="OPB12" s="416"/>
      <c r="OPC12" s="416"/>
      <c r="OPD12" s="1008"/>
      <c r="OPE12" s="1396"/>
      <c r="OPF12" s="416"/>
      <c r="OPG12" s="416"/>
      <c r="OPH12" s="416"/>
      <c r="OPI12" s="416"/>
      <c r="OPJ12" s="416"/>
      <c r="OPK12" s="416"/>
      <c r="OPL12" s="416"/>
      <c r="OPM12" s="416"/>
      <c r="OPN12" s="416"/>
      <c r="OPO12" s="416"/>
      <c r="OPP12" s="1008"/>
      <c r="OPQ12" s="1396"/>
      <c r="OPR12" s="416"/>
      <c r="OPS12" s="416"/>
      <c r="OPT12" s="416"/>
      <c r="OPU12" s="416"/>
      <c r="OPV12" s="416"/>
      <c r="OPW12" s="416"/>
      <c r="OPX12" s="416"/>
      <c r="OPY12" s="416"/>
      <c r="OPZ12" s="416"/>
      <c r="OQA12" s="416"/>
      <c r="OQB12" s="1008"/>
      <c r="OQC12" s="1396"/>
      <c r="OQD12" s="416"/>
      <c r="OQE12" s="416"/>
      <c r="OQF12" s="416"/>
      <c r="OQG12" s="416"/>
      <c r="OQH12" s="416"/>
      <c r="OQI12" s="416"/>
      <c r="OQJ12" s="416"/>
      <c r="OQK12" s="416"/>
      <c r="OQL12" s="416"/>
      <c r="OQM12" s="416"/>
      <c r="OQN12" s="1008"/>
      <c r="OQO12" s="1396"/>
      <c r="OQP12" s="416"/>
      <c r="OQQ12" s="416"/>
      <c r="OQR12" s="416"/>
      <c r="OQS12" s="416"/>
      <c r="OQT12" s="416"/>
      <c r="OQU12" s="416"/>
      <c r="OQV12" s="416"/>
      <c r="OQW12" s="416"/>
      <c r="OQX12" s="416"/>
      <c r="OQY12" s="416"/>
      <c r="OQZ12" s="1008"/>
      <c r="ORA12" s="1396"/>
      <c r="ORB12" s="416"/>
      <c r="ORC12" s="416"/>
      <c r="ORD12" s="416"/>
      <c r="ORE12" s="416"/>
      <c r="ORF12" s="416"/>
      <c r="ORG12" s="416"/>
      <c r="ORH12" s="416"/>
      <c r="ORI12" s="416"/>
      <c r="ORJ12" s="416"/>
      <c r="ORK12" s="416"/>
      <c r="ORL12" s="1008"/>
      <c r="ORM12" s="1396"/>
      <c r="ORN12" s="416"/>
      <c r="ORO12" s="416"/>
      <c r="ORP12" s="416"/>
      <c r="ORQ12" s="416"/>
      <c r="ORR12" s="416"/>
      <c r="ORS12" s="416"/>
      <c r="ORT12" s="416"/>
      <c r="ORU12" s="416"/>
      <c r="ORV12" s="416"/>
      <c r="ORW12" s="416"/>
      <c r="ORX12" s="1008"/>
      <c r="ORY12" s="1396"/>
      <c r="ORZ12" s="416"/>
      <c r="OSA12" s="416"/>
      <c r="OSB12" s="416"/>
      <c r="OSC12" s="416"/>
      <c r="OSD12" s="416"/>
      <c r="OSE12" s="416"/>
      <c r="OSF12" s="416"/>
      <c r="OSG12" s="416"/>
      <c r="OSH12" s="416"/>
      <c r="OSI12" s="416"/>
      <c r="OSJ12" s="1008"/>
      <c r="OSK12" s="1396"/>
      <c r="OSL12" s="416"/>
      <c r="OSM12" s="416"/>
      <c r="OSN12" s="416"/>
      <c r="OSO12" s="416"/>
      <c r="OSP12" s="416"/>
      <c r="OSQ12" s="416"/>
      <c r="OSR12" s="416"/>
      <c r="OSS12" s="416"/>
      <c r="OST12" s="416"/>
      <c r="OSU12" s="416"/>
      <c r="OSV12" s="1008"/>
      <c r="OSW12" s="1396"/>
      <c r="OSX12" s="416"/>
      <c r="OSY12" s="416"/>
      <c r="OSZ12" s="416"/>
      <c r="OTA12" s="416"/>
      <c r="OTB12" s="416"/>
      <c r="OTC12" s="416"/>
      <c r="OTD12" s="416"/>
      <c r="OTE12" s="416"/>
      <c r="OTF12" s="416"/>
      <c r="OTG12" s="416"/>
      <c r="OTH12" s="1008"/>
      <c r="OTI12" s="1396"/>
      <c r="OTJ12" s="416"/>
      <c r="OTK12" s="416"/>
      <c r="OTL12" s="416"/>
      <c r="OTM12" s="416"/>
      <c r="OTN12" s="416"/>
      <c r="OTO12" s="416"/>
      <c r="OTP12" s="416"/>
      <c r="OTQ12" s="416"/>
      <c r="OTR12" s="416"/>
      <c r="OTS12" s="416"/>
      <c r="OTT12" s="1008"/>
      <c r="OTU12" s="1396"/>
      <c r="OTV12" s="416"/>
      <c r="OTW12" s="416"/>
      <c r="OTX12" s="416"/>
      <c r="OTY12" s="416"/>
      <c r="OTZ12" s="416"/>
      <c r="OUA12" s="416"/>
      <c r="OUB12" s="416"/>
      <c r="OUC12" s="416"/>
      <c r="OUD12" s="416"/>
      <c r="OUE12" s="416"/>
      <c r="OUF12" s="1008"/>
      <c r="OUG12" s="1396"/>
      <c r="OUH12" s="416"/>
      <c r="OUI12" s="416"/>
      <c r="OUJ12" s="416"/>
      <c r="OUK12" s="416"/>
      <c r="OUL12" s="416"/>
      <c r="OUM12" s="416"/>
      <c r="OUN12" s="416"/>
      <c r="OUO12" s="416"/>
      <c r="OUP12" s="416"/>
      <c r="OUQ12" s="416"/>
      <c r="OUR12" s="1008"/>
      <c r="OUS12" s="1396"/>
      <c r="OUT12" s="416"/>
      <c r="OUU12" s="416"/>
      <c r="OUV12" s="416"/>
      <c r="OUW12" s="416"/>
      <c r="OUX12" s="416"/>
      <c r="OUY12" s="416"/>
      <c r="OUZ12" s="416"/>
      <c r="OVA12" s="416"/>
      <c r="OVB12" s="416"/>
      <c r="OVC12" s="416"/>
      <c r="OVD12" s="1008"/>
      <c r="OVE12" s="1396"/>
      <c r="OVF12" s="416"/>
      <c r="OVG12" s="416"/>
      <c r="OVH12" s="416"/>
      <c r="OVI12" s="416"/>
      <c r="OVJ12" s="416"/>
      <c r="OVK12" s="416"/>
      <c r="OVL12" s="416"/>
      <c r="OVM12" s="416"/>
      <c r="OVN12" s="416"/>
      <c r="OVO12" s="416"/>
      <c r="OVP12" s="1008"/>
      <c r="OVQ12" s="1396"/>
      <c r="OVR12" s="416"/>
      <c r="OVS12" s="416"/>
      <c r="OVT12" s="416"/>
      <c r="OVU12" s="416"/>
      <c r="OVV12" s="416"/>
      <c r="OVW12" s="416"/>
      <c r="OVX12" s="416"/>
      <c r="OVY12" s="416"/>
      <c r="OVZ12" s="416"/>
      <c r="OWA12" s="416"/>
      <c r="OWB12" s="1008"/>
      <c r="OWC12" s="1396"/>
      <c r="OWD12" s="416"/>
      <c r="OWE12" s="416"/>
      <c r="OWF12" s="416"/>
      <c r="OWG12" s="416"/>
      <c r="OWH12" s="416"/>
      <c r="OWI12" s="416"/>
      <c r="OWJ12" s="416"/>
      <c r="OWK12" s="416"/>
      <c r="OWL12" s="416"/>
      <c r="OWM12" s="416"/>
      <c r="OWN12" s="1008"/>
      <c r="OWO12" s="1396"/>
      <c r="OWP12" s="416"/>
      <c r="OWQ12" s="416"/>
      <c r="OWR12" s="416"/>
      <c r="OWS12" s="416"/>
      <c r="OWT12" s="416"/>
      <c r="OWU12" s="416"/>
      <c r="OWV12" s="416"/>
      <c r="OWW12" s="416"/>
      <c r="OWX12" s="416"/>
      <c r="OWY12" s="416"/>
      <c r="OWZ12" s="1008"/>
      <c r="OXA12" s="1396"/>
      <c r="OXB12" s="416"/>
      <c r="OXC12" s="416"/>
      <c r="OXD12" s="416"/>
      <c r="OXE12" s="416"/>
      <c r="OXF12" s="416"/>
      <c r="OXG12" s="416"/>
      <c r="OXH12" s="416"/>
      <c r="OXI12" s="416"/>
      <c r="OXJ12" s="416"/>
      <c r="OXK12" s="416"/>
      <c r="OXL12" s="1008"/>
      <c r="OXM12" s="1396"/>
      <c r="OXN12" s="416"/>
      <c r="OXO12" s="416"/>
      <c r="OXP12" s="416"/>
      <c r="OXQ12" s="416"/>
      <c r="OXR12" s="416"/>
      <c r="OXS12" s="416"/>
      <c r="OXT12" s="416"/>
      <c r="OXU12" s="416"/>
      <c r="OXV12" s="416"/>
      <c r="OXW12" s="416"/>
      <c r="OXX12" s="1008"/>
      <c r="OXY12" s="1396"/>
      <c r="OXZ12" s="416"/>
      <c r="OYA12" s="416"/>
      <c r="OYB12" s="416"/>
      <c r="OYC12" s="416"/>
      <c r="OYD12" s="416"/>
      <c r="OYE12" s="416"/>
      <c r="OYF12" s="416"/>
      <c r="OYG12" s="416"/>
      <c r="OYH12" s="416"/>
      <c r="OYI12" s="416"/>
      <c r="OYJ12" s="1008"/>
      <c r="OYK12" s="1396"/>
      <c r="OYL12" s="416"/>
      <c r="OYM12" s="416"/>
      <c r="OYN12" s="416"/>
      <c r="OYO12" s="416"/>
      <c r="OYP12" s="416"/>
      <c r="OYQ12" s="416"/>
      <c r="OYR12" s="416"/>
      <c r="OYS12" s="416"/>
      <c r="OYT12" s="416"/>
      <c r="OYU12" s="416"/>
      <c r="OYV12" s="1008"/>
      <c r="OYW12" s="1396"/>
      <c r="OYX12" s="416"/>
      <c r="OYY12" s="416"/>
      <c r="OYZ12" s="416"/>
      <c r="OZA12" s="416"/>
      <c r="OZB12" s="416"/>
      <c r="OZC12" s="416"/>
      <c r="OZD12" s="416"/>
      <c r="OZE12" s="416"/>
      <c r="OZF12" s="416"/>
      <c r="OZG12" s="416"/>
      <c r="OZH12" s="1008"/>
      <c r="OZI12" s="1396"/>
      <c r="OZJ12" s="416"/>
      <c r="OZK12" s="416"/>
      <c r="OZL12" s="416"/>
      <c r="OZM12" s="416"/>
      <c r="OZN12" s="416"/>
      <c r="OZO12" s="416"/>
      <c r="OZP12" s="416"/>
      <c r="OZQ12" s="416"/>
      <c r="OZR12" s="416"/>
      <c r="OZS12" s="416"/>
      <c r="OZT12" s="1008"/>
      <c r="OZU12" s="1396"/>
      <c r="OZV12" s="416"/>
      <c r="OZW12" s="416"/>
      <c r="OZX12" s="416"/>
      <c r="OZY12" s="416"/>
      <c r="OZZ12" s="416"/>
      <c r="PAA12" s="416"/>
      <c r="PAB12" s="416"/>
      <c r="PAC12" s="416"/>
      <c r="PAD12" s="416"/>
      <c r="PAE12" s="416"/>
      <c r="PAF12" s="1008"/>
      <c r="PAG12" s="1396"/>
      <c r="PAH12" s="416"/>
      <c r="PAI12" s="416"/>
      <c r="PAJ12" s="416"/>
      <c r="PAK12" s="416"/>
      <c r="PAL12" s="416"/>
      <c r="PAM12" s="416"/>
      <c r="PAN12" s="416"/>
      <c r="PAO12" s="416"/>
      <c r="PAP12" s="416"/>
      <c r="PAQ12" s="416"/>
      <c r="PAR12" s="1008"/>
      <c r="PAS12" s="1396"/>
      <c r="PAT12" s="416"/>
      <c r="PAU12" s="416"/>
      <c r="PAV12" s="416"/>
      <c r="PAW12" s="416"/>
      <c r="PAX12" s="416"/>
      <c r="PAY12" s="416"/>
      <c r="PAZ12" s="416"/>
      <c r="PBA12" s="416"/>
      <c r="PBB12" s="416"/>
      <c r="PBC12" s="416"/>
      <c r="PBD12" s="1008"/>
      <c r="PBE12" s="1396"/>
      <c r="PBF12" s="416"/>
      <c r="PBG12" s="416"/>
      <c r="PBH12" s="416"/>
      <c r="PBI12" s="416"/>
      <c r="PBJ12" s="416"/>
      <c r="PBK12" s="416"/>
      <c r="PBL12" s="416"/>
      <c r="PBM12" s="416"/>
      <c r="PBN12" s="416"/>
      <c r="PBO12" s="416"/>
      <c r="PBP12" s="1008"/>
      <c r="PBQ12" s="1396"/>
      <c r="PBR12" s="416"/>
      <c r="PBS12" s="416"/>
      <c r="PBT12" s="416"/>
      <c r="PBU12" s="416"/>
      <c r="PBV12" s="416"/>
      <c r="PBW12" s="416"/>
      <c r="PBX12" s="416"/>
      <c r="PBY12" s="416"/>
      <c r="PBZ12" s="416"/>
      <c r="PCA12" s="416"/>
      <c r="PCB12" s="1008"/>
      <c r="PCC12" s="1396"/>
      <c r="PCD12" s="416"/>
      <c r="PCE12" s="416"/>
      <c r="PCF12" s="416"/>
      <c r="PCG12" s="416"/>
      <c r="PCH12" s="416"/>
      <c r="PCI12" s="416"/>
      <c r="PCJ12" s="416"/>
      <c r="PCK12" s="416"/>
      <c r="PCL12" s="416"/>
      <c r="PCM12" s="416"/>
      <c r="PCN12" s="1008"/>
      <c r="PCO12" s="1396"/>
      <c r="PCP12" s="416"/>
      <c r="PCQ12" s="416"/>
      <c r="PCR12" s="416"/>
      <c r="PCS12" s="416"/>
      <c r="PCT12" s="416"/>
      <c r="PCU12" s="416"/>
      <c r="PCV12" s="416"/>
      <c r="PCW12" s="416"/>
      <c r="PCX12" s="416"/>
      <c r="PCY12" s="416"/>
      <c r="PCZ12" s="1008"/>
      <c r="PDA12" s="1396"/>
      <c r="PDB12" s="416"/>
      <c r="PDC12" s="416"/>
      <c r="PDD12" s="416"/>
      <c r="PDE12" s="416"/>
      <c r="PDF12" s="416"/>
      <c r="PDG12" s="416"/>
      <c r="PDH12" s="416"/>
      <c r="PDI12" s="416"/>
      <c r="PDJ12" s="416"/>
      <c r="PDK12" s="416"/>
      <c r="PDL12" s="1008"/>
      <c r="PDM12" s="1396"/>
      <c r="PDN12" s="416"/>
      <c r="PDO12" s="416"/>
      <c r="PDP12" s="416"/>
      <c r="PDQ12" s="416"/>
      <c r="PDR12" s="416"/>
      <c r="PDS12" s="416"/>
      <c r="PDT12" s="416"/>
      <c r="PDU12" s="416"/>
      <c r="PDV12" s="416"/>
      <c r="PDW12" s="416"/>
      <c r="PDX12" s="1008"/>
      <c r="PDY12" s="1396"/>
      <c r="PDZ12" s="416"/>
      <c r="PEA12" s="416"/>
      <c r="PEB12" s="416"/>
      <c r="PEC12" s="416"/>
      <c r="PED12" s="416"/>
      <c r="PEE12" s="416"/>
      <c r="PEF12" s="416"/>
      <c r="PEG12" s="416"/>
      <c r="PEH12" s="416"/>
      <c r="PEI12" s="416"/>
      <c r="PEJ12" s="1008"/>
      <c r="PEK12" s="1396"/>
      <c r="PEL12" s="416"/>
      <c r="PEM12" s="416"/>
      <c r="PEN12" s="416"/>
      <c r="PEO12" s="416"/>
      <c r="PEP12" s="416"/>
      <c r="PEQ12" s="416"/>
      <c r="PER12" s="416"/>
      <c r="PES12" s="416"/>
      <c r="PET12" s="416"/>
      <c r="PEU12" s="416"/>
      <c r="PEV12" s="1008"/>
      <c r="PEW12" s="1396"/>
      <c r="PEX12" s="416"/>
      <c r="PEY12" s="416"/>
      <c r="PEZ12" s="416"/>
      <c r="PFA12" s="416"/>
      <c r="PFB12" s="416"/>
      <c r="PFC12" s="416"/>
      <c r="PFD12" s="416"/>
      <c r="PFE12" s="416"/>
      <c r="PFF12" s="416"/>
      <c r="PFG12" s="416"/>
      <c r="PFH12" s="1008"/>
      <c r="PFI12" s="1396"/>
      <c r="PFJ12" s="416"/>
      <c r="PFK12" s="416"/>
      <c r="PFL12" s="416"/>
      <c r="PFM12" s="416"/>
      <c r="PFN12" s="416"/>
      <c r="PFO12" s="416"/>
      <c r="PFP12" s="416"/>
      <c r="PFQ12" s="416"/>
      <c r="PFR12" s="416"/>
      <c r="PFS12" s="416"/>
      <c r="PFT12" s="1008"/>
      <c r="PFU12" s="1396"/>
      <c r="PFV12" s="416"/>
      <c r="PFW12" s="416"/>
      <c r="PFX12" s="416"/>
      <c r="PFY12" s="416"/>
      <c r="PFZ12" s="416"/>
      <c r="PGA12" s="416"/>
      <c r="PGB12" s="416"/>
      <c r="PGC12" s="416"/>
      <c r="PGD12" s="416"/>
      <c r="PGE12" s="416"/>
      <c r="PGF12" s="1008"/>
      <c r="PGG12" s="1396"/>
      <c r="PGH12" s="416"/>
      <c r="PGI12" s="416"/>
      <c r="PGJ12" s="416"/>
      <c r="PGK12" s="416"/>
      <c r="PGL12" s="416"/>
      <c r="PGM12" s="416"/>
      <c r="PGN12" s="416"/>
      <c r="PGO12" s="416"/>
      <c r="PGP12" s="416"/>
      <c r="PGQ12" s="416"/>
      <c r="PGR12" s="1008"/>
      <c r="PGS12" s="1396"/>
      <c r="PGT12" s="416"/>
      <c r="PGU12" s="416"/>
      <c r="PGV12" s="416"/>
      <c r="PGW12" s="416"/>
      <c r="PGX12" s="416"/>
      <c r="PGY12" s="416"/>
      <c r="PGZ12" s="416"/>
      <c r="PHA12" s="416"/>
      <c r="PHB12" s="416"/>
      <c r="PHC12" s="416"/>
      <c r="PHD12" s="1008"/>
      <c r="PHE12" s="1396"/>
      <c r="PHF12" s="416"/>
      <c r="PHG12" s="416"/>
      <c r="PHH12" s="416"/>
      <c r="PHI12" s="416"/>
      <c r="PHJ12" s="416"/>
      <c r="PHK12" s="416"/>
      <c r="PHL12" s="416"/>
      <c r="PHM12" s="416"/>
      <c r="PHN12" s="416"/>
      <c r="PHO12" s="416"/>
      <c r="PHP12" s="1008"/>
      <c r="PHQ12" s="1396"/>
      <c r="PHR12" s="416"/>
      <c r="PHS12" s="416"/>
      <c r="PHT12" s="416"/>
      <c r="PHU12" s="416"/>
      <c r="PHV12" s="416"/>
      <c r="PHW12" s="416"/>
      <c r="PHX12" s="416"/>
      <c r="PHY12" s="416"/>
      <c r="PHZ12" s="416"/>
      <c r="PIA12" s="416"/>
      <c r="PIB12" s="1008"/>
      <c r="PIC12" s="1396"/>
      <c r="PID12" s="416"/>
      <c r="PIE12" s="416"/>
      <c r="PIF12" s="416"/>
      <c r="PIG12" s="416"/>
      <c r="PIH12" s="416"/>
      <c r="PII12" s="416"/>
      <c r="PIJ12" s="416"/>
      <c r="PIK12" s="416"/>
      <c r="PIL12" s="416"/>
      <c r="PIM12" s="416"/>
      <c r="PIN12" s="1008"/>
      <c r="PIO12" s="1396"/>
      <c r="PIP12" s="416"/>
      <c r="PIQ12" s="416"/>
      <c r="PIR12" s="416"/>
      <c r="PIS12" s="416"/>
      <c r="PIT12" s="416"/>
      <c r="PIU12" s="416"/>
      <c r="PIV12" s="416"/>
      <c r="PIW12" s="416"/>
      <c r="PIX12" s="416"/>
      <c r="PIY12" s="416"/>
      <c r="PIZ12" s="1008"/>
      <c r="PJA12" s="1396"/>
      <c r="PJB12" s="416"/>
      <c r="PJC12" s="416"/>
      <c r="PJD12" s="416"/>
      <c r="PJE12" s="416"/>
      <c r="PJF12" s="416"/>
      <c r="PJG12" s="416"/>
      <c r="PJH12" s="416"/>
      <c r="PJI12" s="416"/>
      <c r="PJJ12" s="416"/>
      <c r="PJK12" s="416"/>
      <c r="PJL12" s="1008"/>
      <c r="PJM12" s="1396"/>
      <c r="PJN12" s="416"/>
      <c r="PJO12" s="416"/>
      <c r="PJP12" s="416"/>
      <c r="PJQ12" s="416"/>
      <c r="PJR12" s="416"/>
      <c r="PJS12" s="416"/>
      <c r="PJT12" s="416"/>
      <c r="PJU12" s="416"/>
      <c r="PJV12" s="416"/>
      <c r="PJW12" s="416"/>
      <c r="PJX12" s="1008"/>
      <c r="PJY12" s="1396"/>
      <c r="PJZ12" s="416"/>
      <c r="PKA12" s="416"/>
      <c r="PKB12" s="416"/>
      <c r="PKC12" s="416"/>
      <c r="PKD12" s="416"/>
      <c r="PKE12" s="416"/>
      <c r="PKF12" s="416"/>
      <c r="PKG12" s="416"/>
      <c r="PKH12" s="416"/>
      <c r="PKI12" s="416"/>
      <c r="PKJ12" s="1008"/>
      <c r="PKK12" s="1396"/>
      <c r="PKL12" s="416"/>
      <c r="PKM12" s="416"/>
      <c r="PKN12" s="416"/>
      <c r="PKO12" s="416"/>
      <c r="PKP12" s="416"/>
      <c r="PKQ12" s="416"/>
      <c r="PKR12" s="416"/>
      <c r="PKS12" s="416"/>
      <c r="PKT12" s="416"/>
      <c r="PKU12" s="416"/>
      <c r="PKV12" s="1008"/>
      <c r="PKW12" s="1396"/>
      <c r="PKX12" s="416"/>
      <c r="PKY12" s="416"/>
      <c r="PKZ12" s="416"/>
      <c r="PLA12" s="416"/>
      <c r="PLB12" s="416"/>
      <c r="PLC12" s="416"/>
      <c r="PLD12" s="416"/>
      <c r="PLE12" s="416"/>
      <c r="PLF12" s="416"/>
      <c r="PLG12" s="416"/>
      <c r="PLH12" s="1008"/>
      <c r="PLI12" s="1396"/>
      <c r="PLJ12" s="416"/>
      <c r="PLK12" s="416"/>
      <c r="PLL12" s="416"/>
      <c r="PLM12" s="416"/>
      <c r="PLN12" s="416"/>
      <c r="PLO12" s="416"/>
      <c r="PLP12" s="416"/>
      <c r="PLQ12" s="416"/>
      <c r="PLR12" s="416"/>
      <c r="PLS12" s="416"/>
      <c r="PLT12" s="1008"/>
      <c r="PLU12" s="1396"/>
      <c r="PLV12" s="416"/>
      <c r="PLW12" s="416"/>
      <c r="PLX12" s="416"/>
      <c r="PLY12" s="416"/>
      <c r="PLZ12" s="416"/>
      <c r="PMA12" s="416"/>
      <c r="PMB12" s="416"/>
      <c r="PMC12" s="416"/>
      <c r="PMD12" s="416"/>
      <c r="PME12" s="416"/>
      <c r="PMF12" s="1008"/>
      <c r="PMG12" s="1396"/>
      <c r="PMH12" s="416"/>
      <c r="PMI12" s="416"/>
      <c r="PMJ12" s="416"/>
      <c r="PMK12" s="416"/>
      <c r="PML12" s="416"/>
      <c r="PMM12" s="416"/>
      <c r="PMN12" s="416"/>
      <c r="PMO12" s="416"/>
      <c r="PMP12" s="416"/>
      <c r="PMQ12" s="416"/>
      <c r="PMR12" s="1008"/>
      <c r="PMS12" s="1396"/>
      <c r="PMT12" s="416"/>
      <c r="PMU12" s="416"/>
      <c r="PMV12" s="416"/>
      <c r="PMW12" s="416"/>
      <c r="PMX12" s="416"/>
      <c r="PMY12" s="416"/>
      <c r="PMZ12" s="416"/>
      <c r="PNA12" s="416"/>
      <c r="PNB12" s="416"/>
      <c r="PNC12" s="416"/>
      <c r="PND12" s="1008"/>
      <c r="PNE12" s="1396"/>
      <c r="PNF12" s="416"/>
      <c r="PNG12" s="416"/>
      <c r="PNH12" s="416"/>
      <c r="PNI12" s="416"/>
      <c r="PNJ12" s="416"/>
      <c r="PNK12" s="416"/>
      <c r="PNL12" s="416"/>
      <c r="PNM12" s="416"/>
      <c r="PNN12" s="416"/>
      <c r="PNO12" s="416"/>
      <c r="PNP12" s="1008"/>
      <c r="PNQ12" s="1396"/>
      <c r="PNR12" s="416"/>
      <c r="PNS12" s="416"/>
      <c r="PNT12" s="416"/>
      <c r="PNU12" s="416"/>
      <c r="PNV12" s="416"/>
      <c r="PNW12" s="416"/>
      <c r="PNX12" s="416"/>
      <c r="PNY12" s="416"/>
      <c r="PNZ12" s="416"/>
      <c r="POA12" s="416"/>
      <c r="POB12" s="1008"/>
      <c r="POC12" s="1396"/>
      <c r="POD12" s="416"/>
      <c r="POE12" s="416"/>
      <c r="POF12" s="416"/>
      <c r="POG12" s="416"/>
      <c r="POH12" s="416"/>
      <c r="POI12" s="416"/>
      <c r="POJ12" s="416"/>
      <c r="POK12" s="416"/>
      <c r="POL12" s="416"/>
      <c r="POM12" s="416"/>
      <c r="PON12" s="1008"/>
      <c r="POO12" s="1396"/>
      <c r="POP12" s="416"/>
      <c r="POQ12" s="416"/>
      <c r="POR12" s="416"/>
      <c r="POS12" s="416"/>
      <c r="POT12" s="416"/>
      <c r="POU12" s="416"/>
      <c r="POV12" s="416"/>
      <c r="POW12" s="416"/>
      <c r="POX12" s="416"/>
      <c r="POY12" s="416"/>
      <c r="POZ12" s="1008"/>
      <c r="PPA12" s="1396"/>
      <c r="PPB12" s="416"/>
      <c r="PPC12" s="416"/>
      <c r="PPD12" s="416"/>
      <c r="PPE12" s="416"/>
      <c r="PPF12" s="416"/>
      <c r="PPG12" s="416"/>
      <c r="PPH12" s="416"/>
      <c r="PPI12" s="416"/>
      <c r="PPJ12" s="416"/>
      <c r="PPK12" s="416"/>
      <c r="PPL12" s="1008"/>
      <c r="PPM12" s="1396"/>
      <c r="PPN12" s="416"/>
      <c r="PPO12" s="416"/>
      <c r="PPP12" s="416"/>
      <c r="PPQ12" s="416"/>
      <c r="PPR12" s="416"/>
      <c r="PPS12" s="416"/>
      <c r="PPT12" s="416"/>
      <c r="PPU12" s="416"/>
      <c r="PPV12" s="416"/>
      <c r="PPW12" s="416"/>
      <c r="PPX12" s="1008"/>
      <c r="PPY12" s="1396"/>
      <c r="PPZ12" s="416"/>
      <c r="PQA12" s="416"/>
      <c r="PQB12" s="416"/>
      <c r="PQC12" s="416"/>
      <c r="PQD12" s="416"/>
      <c r="PQE12" s="416"/>
      <c r="PQF12" s="416"/>
      <c r="PQG12" s="416"/>
      <c r="PQH12" s="416"/>
      <c r="PQI12" s="416"/>
      <c r="PQJ12" s="1008"/>
      <c r="PQK12" s="1396"/>
      <c r="PQL12" s="416"/>
      <c r="PQM12" s="416"/>
      <c r="PQN12" s="416"/>
      <c r="PQO12" s="416"/>
      <c r="PQP12" s="416"/>
      <c r="PQQ12" s="416"/>
      <c r="PQR12" s="416"/>
      <c r="PQS12" s="416"/>
      <c r="PQT12" s="416"/>
      <c r="PQU12" s="416"/>
      <c r="PQV12" s="1008"/>
      <c r="PQW12" s="1396"/>
      <c r="PQX12" s="416"/>
      <c r="PQY12" s="416"/>
      <c r="PQZ12" s="416"/>
      <c r="PRA12" s="416"/>
      <c r="PRB12" s="416"/>
      <c r="PRC12" s="416"/>
      <c r="PRD12" s="416"/>
      <c r="PRE12" s="416"/>
      <c r="PRF12" s="416"/>
      <c r="PRG12" s="416"/>
      <c r="PRH12" s="1008"/>
      <c r="PRI12" s="1396"/>
      <c r="PRJ12" s="416"/>
      <c r="PRK12" s="416"/>
      <c r="PRL12" s="416"/>
      <c r="PRM12" s="416"/>
      <c r="PRN12" s="416"/>
      <c r="PRO12" s="416"/>
      <c r="PRP12" s="416"/>
      <c r="PRQ12" s="416"/>
      <c r="PRR12" s="416"/>
      <c r="PRS12" s="416"/>
      <c r="PRT12" s="1008"/>
      <c r="PRU12" s="1396"/>
      <c r="PRV12" s="416"/>
      <c r="PRW12" s="416"/>
      <c r="PRX12" s="416"/>
      <c r="PRY12" s="416"/>
      <c r="PRZ12" s="416"/>
      <c r="PSA12" s="416"/>
      <c r="PSB12" s="416"/>
      <c r="PSC12" s="416"/>
      <c r="PSD12" s="416"/>
      <c r="PSE12" s="416"/>
      <c r="PSF12" s="1008"/>
      <c r="PSG12" s="1396"/>
      <c r="PSH12" s="416"/>
      <c r="PSI12" s="416"/>
      <c r="PSJ12" s="416"/>
      <c r="PSK12" s="416"/>
      <c r="PSL12" s="416"/>
      <c r="PSM12" s="416"/>
      <c r="PSN12" s="416"/>
      <c r="PSO12" s="416"/>
      <c r="PSP12" s="416"/>
      <c r="PSQ12" s="416"/>
      <c r="PSR12" s="1008"/>
      <c r="PSS12" s="1396"/>
      <c r="PST12" s="416"/>
      <c r="PSU12" s="416"/>
      <c r="PSV12" s="416"/>
      <c r="PSW12" s="416"/>
      <c r="PSX12" s="416"/>
      <c r="PSY12" s="416"/>
      <c r="PSZ12" s="416"/>
      <c r="PTA12" s="416"/>
      <c r="PTB12" s="416"/>
      <c r="PTC12" s="416"/>
      <c r="PTD12" s="1008"/>
      <c r="PTE12" s="1396"/>
      <c r="PTF12" s="416"/>
      <c r="PTG12" s="416"/>
      <c r="PTH12" s="416"/>
      <c r="PTI12" s="416"/>
      <c r="PTJ12" s="416"/>
      <c r="PTK12" s="416"/>
      <c r="PTL12" s="416"/>
      <c r="PTM12" s="416"/>
      <c r="PTN12" s="416"/>
      <c r="PTO12" s="416"/>
      <c r="PTP12" s="1008"/>
      <c r="PTQ12" s="1396"/>
      <c r="PTR12" s="416"/>
      <c r="PTS12" s="416"/>
      <c r="PTT12" s="416"/>
      <c r="PTU12" s="416"/>
      <c r="PTV12" s="416"/>
      <c r="PTW12" s="416"/>
      <c r="PTX12" s="416"/>
      <c r="PTY12" s="416"/>
      <c r="PTZ12" s="416"/>
      <c r="PUA12" s="416"/>
      <c r="PUB12" s="1008"/>
      <c r="PUC12" s="1396"/>
      <c r="PUD12" s="416"/>
      <c r="PUE12" s="416"/>
      <c r="PUF12" s="416"/>
      <c r="PUG12" s="416"/>
      <c r="PUH12" s="416"/>
      <c r="PUI12" s="416"/>
      <c r="PUJ12" s="416"/>
      <c r="PUK12" s="416"/>
      <c r="PUL12" s="416"/>
      <c r="PUM12" s="416"/>
      <c r="PUN12" s="1008"/>
      <c r="PUO12" s="1396"/>
      <c r="PUP12" s="416"/>
      <c r="PUQ12" s="416"/>
      <c r="PUR12" s="416"/>
      <c r="PUS12" s="416"/>
      <c r="PUT12" s="416"/>
      <c r="PUU12" s="416"/>
      <c r="PUV12" s="416"/>
      <c r="PUW12" s="416"/>
      <c r="PUX12" s="416"/>
      <c r="PUY12" s="416"/>
      <c r="PUZ12" s="1008"/>
      <c r="PVA12" s="1396"/>
      <c r="PVB12" s="416"/>
      <c r="PVC12" s="416"/>
      <c r="PVD12" s="416"/>
      <c r="PVE12" s="416"/>
      <c r="PVF12" s="416"/>
      <c r="PVG12" s="416"/>
      <c r="PVH12" s="416"/>
      <c r="PVI12" s="416"/>
      <c r="PVJ12" s="416"/>
      <c r="PVK12" s="416"/>
      <c r="PVL12" s="1008"/>
      <c r="PVM12" s="1396"/>
      <c r="PVN12" s="416"/>
      <c r="PVO12" s="416"/>
      <c r="PVP12" s="416"/>
      <c r="PVQ12" s="416"/>
      <c r="PVR12" s="416"/>
      <c r="PVS12" s="416"/>
      <c r="PVT12" s="416"/>
      <c r="PVU12" s="416"/>
      <c r="PVV12" s="416"/>
      <c r="PVW12" s="416"/>
      <c r="PVX12" s="1008"/>
      <c r="PVY12" s="1396"/>
      <c r="PVZ12" s="416"/>
      <c r="PWA12" s="416"/>
      <c r="PWB12" s="416"/>
      <c r="PWC12" s="416"/>
      <c r="PWD12" s="416"/>
      <c r="PWE12" s="416"/>
      <c r="PWF12" s="416"/>
      <c r="PWG12" s="416"/>
      <c r="PWH12" s="416"/>
      <c r="PWI12" s="416"/>
      <c r="PWJ12" s="1008"/>
      <c r="PWK12" s="1396"/>
      <c r="PWL12" s="416"/>
      <c r="PWM12" s="416"/>
      <c r="PWN12" s="416"/>
      <c r="PWO12" s="416"/>
      <c r="PWP12" s="416"/>
      <c r="PWQ12" s="416"/>
      <c r="PWR12" s="416"/>
      <c r="PWS12" s="416"/>
      <c r="PWT12" s="416"/>
      <c r="PWU12" s="416"/>
      <c r="PWV12" s="1008"/>
      <c r="PWW12" s="1396"/>
      <c r="PWX12" s="416"/>
      <c r="PWY12" s="416"/>
      <c r="PWZ12" s="416"/>
      <c r="PXA12" s="416"/>
      <c r="PXB12" s="416"/>
      <c r="PXC12" s="416"/>
      <c r="PXD12" s="416"/>
      <c r="PXE12" s="416"/>
      <c r="PXF12" s="416"/>
      <c r="PXG12" s="416"/>
      <c r="PXH12" s="1008"/>
      <c r="PXI12" s="1396"/>
      <c r="PXJ12" s="416"/>
      <c r="PXK12" s="416"/>
      <c r="PXL12" s="416"/>
      <c r="PXM12" s="416"/>
      <c r="PXN12" s="416"/>
      <c r="PXO12" s="416"/>
      <c r="PXP12" s="416"/>
      <c r="PXQ12" s="416"/>
      <c r="PXR12" s="416"/>
      <c r="PXS12" s="416"/>
      <c r="PXT12" s="1008"/>
      <c r="PXU12" s="1396"/>
      <c r="PXV12" s="416"/>
      <c r="PXW12" s="416"/>
      <c r="PXX12" s="416"/>
      <c r="PXY12" s="416"/>
      <c r="PXZ12" s="416"/>
      <c r="PYA12" s="416"/>
      <c r="PYB12" s="416"/>
      <c r="PYC12" s="416"/>
      <c r="PYD12" s="416"/>
      <c r="PYE12" s="416"/>
      <c r="PYF12" s="1008"/>
      <c r="PYG12" s="1396"/>
      <c r="PYH12" s="416"/>
      <c r="PYI12" s="416"/>
      <c r="PYJ12" s="416"/>
      <c r="PYK12" s="416"/>
      <c r="PYL12" s="416"/>
      <c r="PYM12" s="416"/>
      <c r="PYN12" s="416"/>
      <c r="PYO12" s="416"/>
      <c r="PYP12" s="416"/>
      <c r="PYQ12" s="416"/>
      <c r="PYR12" s="1008"/>
      <c r="PYS12" s="1396"/>
      <c r="PYT12" s="416"/>
      <c r="PYU12" s="416"/>
      <c r="PYV12" s="416"/>
      <c r="PYW12" s="416"/>
      <c r="PYX12" s="416"/>
      <c r="PYY12" s="416"/>
      <c r="PYZ12" s="416"/>
      <c r="PZA12" s="416"/>
      <c r="PZB12" s="416"/>
      <c r="PZC12" s="416"/>
      <c r="PZD12" s="1008"/>
      <c r="PZE12" s="1396"/>
      <c r="PZF12" s="416"/>
      <c r="PZG12" s="416"/>
      <c r="PZH12" s="416"/>
      <c r="PZI12" s="416"/>
      <c r="PZJ12" s="416"/>
      <c r="PZK12" s="416"/>
      <c r="PZL12" s="416"/>
      <c r="PZM12" s="416"/>
      <c r="PZN12" s="416"/>
      <c r="PZO12" s="416"/>
      <c r="PZP12" s="1008"/>
      <c r="PZQ12" s="1396"/>
      <c r="PZR12" s="416"/>
      <c r="PZS12" s="416"/>
      <c r="PZT12" s="416"/>
      <c r="PZU12" s="416"/>
      <c r="PZV12" s="416"/>
      <c r="PZW12" s="416"/>
      <c r="PZX12" s="416"/>
      <c r="PZY12" s="416"/>
      <c r="PZZ12" s="416"/>
      <c r="QAA12" s="416"/>
      <c r="QAB12" s="1008"/>
      <c r="QAC12" s="1396"/>
      <c r="QAD12" s="416"/>
      <c r="QAE12" s="416"/>
      <c r="QAF12" s="416"/>
      <c r="QAG12" s="416"/>
      <c r="QAH12" s="416"/>
      <c r="QAI12" s="416"/>
      <c r="QAJ12" s="416"/>
      <c r="QAK12" s="416"/>
      <c r="QAL12" s="416"/>
      <c r="QAM12" s="416"/>
      <c r="QAN12" s="1008"/>
      <c r="QAO12" s="1396"/>
      <c r="QAP12" s="416"/>
      <c r="QAQ12" s="416"/>
      <c r="QAR12" s="416"/>
      <c r="QAS12" s="416"/>
      <c r="QAT12" s="416"/>
      <c r="QAU12" s="416"/>
      <c r="QAV12" s="416"/>
      <c r="QAW12" s="416"/>
      <c r="QAX12" s="416"/>
      <c r="QAY12" s="416"/>
      <c r="QAZ12" s="1008"/>
      <c r="QBA12" s="1396"/>
      <c r="QBB12" s="416"/>
      <c r="QBC12" s="416"/>
      <c r="QBD12" s="416"/>
      <c r="QBE12" s="416"/>
      <c r="QBF12" s="416"/>
      <c r="QBG12" s="416"/>
      <c r="QBH12" s="416"/>
      <c r="QBI12" s="416"/>
      <c r="QBJ12" s="416"/>
      <c r="QBK12" s="416"/>
      <c r="QBL12" s="1008"/>
      <c r="QBM12" s="1396"/>
      <c r="QBN12" s="416"/>
      <c r="QBO12" s="416"/>
      <c r="QBP12" s="416"/>
      <c r="QBQ12" s="416"/>
      <c r="QBR12" s="416"/>
      <c r="QBS12" s="416"/>
      <c r="QBT12" s="416"/>
      <c r="QBU12" s="416"/>
      <c r="QBV12" s="416"/>
      <c r="QBW12" s="416"/>
      <c r="QBX12" s="1008"/>
      <c r="QBY12" s="1396"/>
      <c r="QBZ12" s="416"/>
      <c r="QCA12" s="416"/>
      <c r="QCB12" s="416"/>
      <c r="QCC12" s="416"/>
      <c r="QCD12" s="416"/>
      <c r="QCE12" s="416"/>
      <c r="QCF12" s="416"/>
      <c r="QCG12" s="416"/>
      <c r="QCH12" s="416"/>
      <c r="QCI12" s="416"/>
      <c r="QCJ12" s="1008"/>
      <c r="QCK12" s="1396"/>
      <c r="QCL12" s="416"/>
      <c r="QCM12" s="416"/>
      <c r="QCN12" s="416"/>
      <c r="QCO12" s="416"/>
      <c r="QCP12" s="416"/>
      <c r="QCQ12" s="416"/>
      <c r="QCR12" s="416"/>
      <c r="QCS12" s="416"/>
      <c r="QCT12" s="416"/>
      <c r="QCU12" s="416"/>
      <c r="QCV12" s="1008"/>
      <c r="QCW12" s="1396"/>
      <c r="QCX12" s="416"/>
      <c r="QCY12" s="416"/>
      <c r="QCZ12" s="416"/>
      <c r="QDA12" s="416"/>
      <c r="QDB12" s="416"/>
      <c r="QDC12" s="416"/>
      <c r="QDD12" s="416"/>
      <c r="QDE12" s="416"/>
      <c r="QDF12" s="416"/>
      <c r="QDG12" s="416"/>
      <c r="QDH12" s="1008"/>
      <c r="QDI12" s="1396"/>
      <c r="QDJ12" s="416"/>
      <c r="QDK12" s="416"/>
      <c r="QDL12" s="416"/>
      <c r="QDM12" s="416"/>
      <c r="QDN12" s="416"/>
      <c r="QDO12" s="416"/>
      <c r="QDP12" s="416"/>
      <c r="QDQ12" s="416"/>
      <c r="QDR12" s="416"/>
      <c r="QDS12" s="416"/>
      <c r="QDT12" s="1008"/>
      <c r="QDU12" s="1396"/>
      <c r="QDV12" s="416"/>
      <c r="QDW12" s="416"/>
      <c r="QDX12" s="416"/>
      <c r="QDY12" s="416"/>
      <c r="QDZ12" s="416"/>
      <c r="QEA12" s="416"/>
      <c r="QEB12" s="416"/>
      <c r="QEC12" s="416"/>
      <c r="QED12" s="416"/>
      <c r="QEE12" s="416"/>
      <c r="QEF12" s="1008"/>
      <c r="QEG12" s="1396"/>
      <c r="QEH12" s="416"/>
      <c r="QEI12" s="416"/>
      <c r="QEJ12" s="416"/>
      <c r="QEK12" s="416"/>
      <c r="QEL12" s="416"/>
      <c r="QEM12" s="416"/>
      <c r="QEN12" s="416"/>
      <c r="QEO12" s="416"/>
      <c r="QEP12" s="416"/>
      <c r="QEQ12" s="416"/>
      <c r="QER12" s="1008"/>
      <c r="QES12" s="1396"/>
      <c r="QET12" s="416"/>
      <c r="QEU12" s="416"/>
      <c r="QEV12" s="416"/>
      <c r="QEW12" s="416"/>
      <c r="QEX12" s="416"/>
      <c r="QEY12" s="416"/>
      <c r="QEZ12" s="416"/>
      <c r="QFA12" s="416"/>
      <c r="QFB12" s="416"/>
      <c r="QFC12" s="416"/>
      <c r="QFD12" s="1008"/>
      <c r="QFE12" s="1396"/>
      <c r="QFF12" s="416"/>
      <c r="QFG12" s="416"/>
      <c r="QFH12" s="416"/>
      <c r="QFI12" s="416"/>
      <c r="QFJ12" s="416"/>
      <c r="QFK12" s="416"/>
      <c r="QFL12" s="416"/>
      <c r="QFM12" s="416"/>
      <c r="QFN12" s="416"/>
      <c r="QFO12" s="416"/>
      <c r="QFP12" s="1008"/>
      <c r="QFQ12" s="1396"/>
      <c r="QFR12" s="416"/>
      <c r="QFS12" s="416"/>
      <c r="QFT12" s="416"/>
      <c r="QFU12" s="416"/>
      <c r="QFV12" s="416"/>
      <c r="QFW12" s="416"/>
      <c r="QFX12" s="416"/>
      <c r="QFY12" s="416"/>
      <c r="QFZ12" s="416"/>
      <c r="QGA12" s="416"/>
      <c r="QGB12" s="1008"/>
      <c r="QGC12" s="1396"/>
      <c r="QGD12" s="416"/>
      <c r="QGE12" s="416"/>
      <c r="QGF12" s="416"/>
      <c r="QGG12" s="416"/>
      <c r="QGH12" s="416"/>
      <c r="QGI12" s="416"/>
      <c r="QGJ12" s="416"/>
      <c r="QGK12" s="416"/>
      <c r="QGL12" s="416"/>
      <c r="QGM12" s="416"/>
      <c r="QGN12" s="1008"/>
      <c r="QGO12" s="1396"/>
      <c r="QGP12" s="416"/>
      <c r="QGQ12" s="416"/>
      <c r="QGR12" s="416"/>
      <c r="QGS12" s="416"/>
      <c r="QGT12" s="416"/>
      <c r="QGU12" s="416"/>
      <c r="QGV12" s="416"/>
      <c r="QGW12" s="416"/>
      <c r="QGX12" s="416"/>
      <c r="QGY12" s="416"/>
      <c r="QGZ12" s="1008"/>
      <c r="QHA12" s="1396"/>
      <c r="QHB12" s="416"/>
      <c r="QHC12" s="416"/>
      <c r="QHD12" s="416"/>
      <c r="QHE12" s="416"/>
      <c r="QHF12" s="416"/>
      <c r="QHG12" s="416"/>
      <c r="QHH12" s="416"/>
      <c r="QHI12" s="416"/>
      <c r="QHJ12" s="416"/>
      <c r="QHK12" s="416"/>
      <c r="QHL12" s="1008"/>
      <c r="QHM12" s="1396"/>
      <c r="QHN12" s="416"/>
      <c r="QHO12" s="416"/>
      <c r="QHP12" s="416"/>
      <c r="QHQ12" s="416"/>
      <c r="QHR12" s="416"/>
      <c r="QHS12" s="416"/>
      <c r="QHT12" s="416"/>
      <c r="QHU12" s="416"/>
      <c r="QHV12" s="416"/>
      <c r="QHW12" s="416"/>
      <c r="QHX12" s="1008"/>
      <c r="QHY12" s="1396"/>
      <c r="QHZ12" s="416"/>
      <c r="QIA12" s="416"/>
      <c r="QIB12" s="416"/>
      <c r="QIC12" s="416"/>
      <c r="QID12" s="416"/>
      <c r="QIE12" s="416"/>
      <c r="QIF12" s="416"/>
      <c r="QIG12" s="416"/>
      <c r="QIH12" s="416"/>
      <c r="QII12" s="416"/>
      <c r="QIJ12" s="1008"/>
      <c r="QIK12" s="1396"/>
      <c r="QIL12" s="416"/>
      <c r="QIM12" s="416"/>
      <c r="QIN12" s="416"/>
      <c r="QIO12" s="416"/>
      <c r="QIP12" s="416"/>
      <c r="QIQ12" s="416"/>
      <c r="QIR12" s="416"/>
      <c r="QIS12" s="416"/>
      <c r="QIT12" s="416"/>
      <c r="QIU12" s="416"/>
      <c r="QIV12" s="1008"/>
      <c r="QIW12" s="1396"/>
      <c r="QIX12" s="416"/>
      <c r="QIY12" s="416"/>
      <c r="QIZ12" s="416"/>
      <c r="QJA12" s="416"/>
      <c r="QJB12" s="416"/>
      <c r="QJC12" s="416"/>
      <c r="QJD12" s="416"/>
      <c r="QJE12" s="416"/>
      <c r="QJF12" s="416"/>
      <c r="QJG12" s="416"/>
      <c r="QJH12" s="1008"/>
      <c r="QJI12" s="1396"/>
      <c r="QJJ12" s="416"/>
      <c r="QJK12" s="416"/>
      <c r="QJL12" s="416"/>
      <c r="QJM12" s="416"/>
      <c r="QJN12" s="416"/>
      <c r="QJO12" s="416"/>
      <c r="QJP12" s="416"/>
      <c r="QJQ12" s="416"/>
      <c r="QJR12" s="416"/>
      <c r="QJS12" s="416"/>
      <c r="QJT12" s="1008"/>
      <c r="QJU12" s="1396"/>
      <c r="QJV12" s="416"/>
      <c r="QJW12" s="416"/>
      <c r="QJX12" s="416"/>
      <c r="QJY12" s="416"/>
      <c r="QJZ12" s="416"/>
      <c r="QKA12" s="416"/>
      <c r="QKB12" s="416"/>
      <c r="QKC12" s="416"/>
      <c r="QKD12" s="416"/>
      <c r="QKE12" s="416"/>
      <c r="QKF12" s="1008"/>
      <c r="QKG12" s="1396"/>
      <c r="QKH12" s="416"/>
      <c r="QKI12" s="416"/>
      <c r="QKJ12" s="416"/>
      <c r="QKK12" s="416"/>
      <c r="QKL12" s="416"/>
      <c r="QKM12" s="416"/>
      <c r="QKN12" s="416"/>
      <c r="QKO12" s="416"/>
      <c r="QKP12" s="416"/>
      <c r="QKQ12" s="416"/>
      <c r="QKR12" s="1008"/>
      <c r="QKS12" s="1396"/>
      <c r="QKT12" s="416"/>
      <c r="QKU12" s="416"/>
      <c r="QKV12" s="416"/>
      <c r="QKW12" s="416"/>
      <c r="QKX12" s="416"/>
      <c r="QKY12" s="416"/>
      <c r="QKZ12" s="416"/>
      <c r="QLA12" s="416"/>
      <c r="QLB12" s="416"/>
      <c r="QLC12" s="416"/>
      <c r="QLD12" s="1008"/>
      <c r="QLE12" s="1396"/>
      <c r="QLF12" s="416"/>
      <c r="QLG12" s="416"/>
      <c r="QLH12" s="416"/>
      <c r="QLI12" s="416"/>
      <c r="QLJ12" s="416"/>
      <c r="QLK12" s="416"/>
      <c r="QLL12" s="416"/>
      <c r="QLM12" s="416"/>
      <c r="QLN12" s="416"/>
      <c r="QLO12" s="416"/>
      <c r="QLP12" s="1008"/>
      <c r="QLQ12" s="1396"/>
      <c r="QLR12" s="416"/>
      <c r="QLS12" s="416"/>
      <c r="QLT12" s="416"/>
      <c r="QLU12" s="416"/>
      <c r="QLV12" s="416"/>
      <c r="QLW12" s="416"/>
      <c r="QLX12" s="416"/>
      <c r="QLY12" s="416"/>
      <c r="QLZ12" s="416"/>
      <c r="QMA12" s="416"/>
      <c r="QMB12" s="1008"/>
      <c r="QMC12" s="1396"/>
      <c r="QMD12" s="416"/>
      <c r="QME12" s="416"/>
      <c r="QMF12" s="416"/>
      <c r="QMG12" s="416"/>
      <c r="QMH12" s="416"/>
      <c r="QMI12" s="416"/>
      <c r="QMJ12" s="416"/>
      <c r="QMK12" s="416"/>
      <c r="QML12" s="416"/>
      <c r="QMM12" s="416"/>
      <c r="QMN12" s="1008"/>
      <c r="QMO12" s="1396"/>
      <c r="QMP12" s="416"/>
      <c r="QMQ12" s="416"/>
      <c r="QMR12" s="416"/>
      <c r="QMS12" s="416"/>
      <c r="QMT12" s="416"/>
      <c r="QMU12" s="416"/>
      <c r="QMV12" s="416"/>
      <c r="QMW12" s="416"/>
      <c r="QMX12" s="416"/>
      <c r="QMY12" s="416"/>
      <c r="QMZ12" s="1008"/>
      <c r="QNA12" s="1396"/>
      <c r="QNB12" s="416"/>
      <c r="QNC12" s="416"/>
      <c r="QND12" s="416"/>
      <c r="QNE12" s="416"/>
      <c r="QNF12" s="416"/>
      <c r="QNG12" s="416"/>
      <c r="QNH12" s="416"/>
      <c r="QNI12" s="416"/>
      <c r="QNJ12" s="416"/>
      <c r="QNK12" s="416"/>
      <c r="QNL12" s="1008"/>
      <c r="QNM12" s="1396"/>
      <c r="QNN12" s="416"/>
      <c r="QNO12" s="416"/>
      <c r="QNP12" s="416"/>
      <c r="QNQ12" s="416"/>
      <c r="QNR12" s="416"/>
      <c r="QNS12" s="416"/>
      <c r="QNT12" s="416"/>
      <c r="QNU12" s="416"/>
      <c r="QNV12" s="416"/>
      <c r="QNW12" s="416"/>
      <c r="QNX12" s="1008"/>
      <c r="QNY12" s="1396"/>
      <c r="QNZ12" s="416"/>
      <c r="QOA12" s="416"/>
      <c r="QOB12" s="416"/>
      <c r="QOC12" s="416"/>
      <c r="QOD12" s="416"/>
      <c r="QOE12" s="416"/>
      <c r="QOF12" s="416"/>
      <c r="QOG12" s="416"/>
      <c r="QOH12" s="416"/>
      <c r="QOI12" s="416"/>
      <c r="QOJ12" s="1008"/>
      <c r="QOK12" s="1396"/>
      <c r="QOL12" s="416"/>
      <c r="QOM12" s="416"/>
      <c r="QON12" s="416"/>
      <c r="QOO12" s="416"/>
      <c r="QOP12" s="416"/>
      <c r="QOQ12" s="416"/>
      <c r="QOR12" s="416"/>
      <c r="QOS12" s="416"/>
      <c r="QOT12" s="416"/>
      <c r="QOU12" s="416"/>
      <c r="QOV12" s="1008"/>
      <c r="QOW12" s="1396"/>
      <c r="QOX12" s="416"/>
      <c r="QOY12" s="416"/>
      <c r="QOZ12" s="416"/>
      <c r="QPA12" s="416"/>
      <c r="QPB12" s="416"/>
      <c r="QPC12" s="416"/>
      <c r="QPD12" s="416"/>
      <c r="QPE12" s="416"/>
      <c r="QPF12" s="416"/>
      <c r="QPG12" s="416"/>
      <c r="QPH12" s="1008"/>
      <c r="QPI12" s="1396"/>
      <c r="QPJ12" s="416"/>
      <c r="QPK12" s="416"/>
      <c r="QPL12" s="416"/>
      <c r="QPM12" s="416"/>
      <c r="QPN12" s="416"/>
      <c r="QPO12" s="416"/>
      <c r="QPP12" s="416"/>
      <c r="QPQ12" s="416"/>
      <c r="QPR12" s="416"/>
      <c r="QPS12" s="416"/>
      <c r="QPT12" s="1008"/>
      <c r="QPU12" s="1396"/>
      <c r="QPV12" s="416"/>
      <c r="QPW12" s="416"/>
      <c r="QPX12" s="416"/>
      <c r="QPY12" s="416"/>
      <c r="QPZ12" s="416"/>
      <c r="QQA12" s="416"/>
      <c r="QQB12" s="416"/>
      <c r="QQC12" s="416"/>
      <c r="QQD12" s="416"/>
      <c r="QQE12" s="416"/>
      <c r="QQF12" s="1008"/>
      <c r="QQG12" s="1396"/>
      <c r="QQH12" s="416"/>
      <c r="QQI12" s="416"/>
      <c r="QQJ12" s="416"/>
      <c r="QQK12" s="416"/>
      <c r="QQL12" s="416"/>
      <c r="QQM12" s="416"/>
      <c r="QQN12" s="416"/>
      <c r="QQO12" s="416"/>
      <c r="QQP12" s="416"/>
      <c r="QQQ12" s="416"/>
      <c r="QQR12" s="1008"/>
      <c r="QQS12" s="1396"/>
      <c r="QQT12" s="416"/>
      <c r="QQU12" s="416"/>
      <c r="QQV12" s="416"/>
      <c r="QQW12" s="416"/>
      <c r="QQX12" s="416"/>
      <c r="QQY12" s="416"/>
      <c r="QQZ12" s="416"/>
      <c r="QRA12" s="416"/>
      <c r="QRB12" s="416"/>
      <c r="QRC12" s="416"/>
      <c r="QRD12" s="1008"/>
      <c r="QRE12" s="1396"/>
      <c r="QRF12" s="416"/>
      <c r="QRG12" s="416"/>
      <c r="QRH12" s="416"/>
      <c r="QRI12" s="416"/>
      <c r="QRJ12" s="416"/>
      <c r="QRK12" s="416"/>
      <c r="QRL12" s="416"/>
      <c r="QRM12" s="416"/>
      <c r="QRN12" s="416"/>
      <c r="QRO12" s="416"/>
      <c r="QRP12" s="1008"/>
      <c r="QRQ12" s="1396"/>
      <c r="QRR12" s="416"/>
      <c r="QRS12" s="416"/>
      <c r="QRT12" s="416"/>
      <c r="QRU12" s="416"/>
      <c r="QRV12" s="416"/>
      <c r="QRW12" s="416"/>
      <c r="QRX12" s="416"/>
      <c r="QRY12" s="416"/>
      <c r="QRZ12" s="416"/>
      <c r="QSA12" s="416"/>
      <c r="QSB12" s="1008"/>
      <c r="QSC12" s="1396"/>
      <c r="QSD12" s="416"/>
      <c r="QSE12" s="416"/>
      <c r="QSF12" s="416"/>
      <c r="QSG12" s="416"/>
      <c r="QSH12" s="416"/>
      <c r="QSI12" s="416"/>
      <c r="QSJ12" s="416"/>
      <c r="QSK12" s="416"/>
      <c r="QSL12" s="416"/>
      <c r="QSM12" s="416"/>
      <c r="QSN12" s="1008"/>
      <c r="QSO12" s="1396"/>
      <c r="QSP12" s="416"/>
      <c r="QSQ12" s="416"/>
      <c r="QSR12" s="416"/>
      <c r="QSS12" s="416"/>
      <c r="QST12" s="416"/>
      <c r="QSU12" s="416"/>
      <c r="QSV12" s="416"/>
      <c r="QSW12" s="416"/>
      <c r="QSX12" s="416"/>
      <c r="QSY12" s="416"/>
      <c r="QSZ12" s="1008"/>
      <c r="QTA12" s="1396"/>
      <c r="QTB12" s="416"/>
      <c r="QTC12" s="416"/>
      <c r="QTD12" s="416"/>
      <c r="QTE12" s="416"/>
      <c r="QTF12" s="416"/>
      <c r="QTG12" s="416"/>
      <c r="QTH12" s="416"/>
      <c r="QTI12" s="416"/>
      <c r="QTJ12" s="416"/>
      <c r="QTK12" s="416"/>
      <c r="QTL12" s="1008"/>
      <c r="QTM12" s="1396"/>
      <c r="QTN12" s="416"/>
      <c r="QTO12" s="416"/>
      <c r="QTP12" s="416"/>
      <c r="QTQ12" s="416"/>
      <c r="QTR12" s="416"/>
      <c r="QTS12" s="416"/>
      <c r="QTT12" s="416"/>
      <c r="QTU12" s="416"/>
      <c r="QTV12" s="416"/>
      <c r="QTW12" s="416"/>
      <c r="QTX12" s="1008"/>
      <c r="QTY12" s="1396"/>
      <c r="QTZ12" s="416"/>
      <c r="QUA12" s="416"/>
      <c r="QUB12" s="416"/>
      <c r="QUC12" s="416"/>
      <c r="QUD12" s="416"/>
      <c r="QUE12" s="416"/>
      <c r="QUF12" s="416"/>
      <c r="QUG12" s="416"/>
      <c r="QUH12" s="416"/>
      <c r="QUI12" s="416"/>
      <c r="QUJ12" s="1008"/>
      <c r="QUK12" s="1396"/>
      <c r="QUL12" s="416"/>
      <c r="QUM12" s="416"/>
      <c r="QUN12" s="416"/>
      <c r="QUO12" s="416"/>
      <c r="QUP12" s="416"/>
      <c r="QUQ12" s="416"/>
      <c r="QUR12" s="416"/>
      <c r="QUS12" s="416"/>
      <c r="QUT12" s="416"/>
      <c r="QUU12" s="416"/>
      <c r="QUV12" s="1008"/>
      <c r="QUW12" s="1396"/>
      <c r="QUX12" s="416"/>
      <c r="QUY12" s="416"/>
      <c r="QUZ12" s="416"/>
      <c r="QVA12" s="416"/>
      <c r="QVB12" s="416"/>
      <c r="QVC12" s="416"/>
      <c r="QVD12" s="416"/>
      <c r="QVE12" s="416"/>
      <c r="QVF12" s="416"/>
      <c r="QVG12" s="416"/>
      <c r="QVH12" s="1008"/>
      <c r="QVI12" s="1396"/>
      <c r="QVJ12" s="416"/>
      <c r="QVK12" s="416"/>
      <c r="QVL12" s="416"/>
      <c r="QVM12" s="416"/>
      <c r="QVN12" s="416"/>
      <c r="QVO12" s="416"/>
      <c r="QVP12" s="416"/>
      <c r="QVQ12" s="416"/>
      <c r="QVR12" s="416"/>
      <c r="QVS12" s="416"/>
      <c r="QVT12" s="1008"/>
      <c r="QVU12" s="1396"/>
      <c r="QVV12" s="416"/>
      <c r="QVW12" s="416"/>
      <c r="QVX12" s="416"/>
      <c r="QVY12" s="416"/>
      <c r="QVZ12" s="416"/>
      <c r="QWA12" s="416"/>
      <c r="QWB12" s="416"/>
      <c r="QWC12" s="416"/>
      <c r="QWD12" s="416"/>
      <c r="QWE12" s="416"/>
      <c r="QWF12" s="1008"/>
      <c r="QWG12" s="1396"/>
      <c r="QWH12" s="416"/>
      <c r="QWI12" s="416"/>
      <c r="QWJ12" s="416"/>
      <c r="QWK12" s="416"/>
      <c r="QWL12" s="416"/>
      <c r="QWM12" s="416"/>
      <c r="QWN12" s="416"/>
      <c r="QWO12" s="416"/>
      <c r="QWP12" s="416"/>
      <c r="QWQ12" s="416"/>
      <c r="QWR12" s="1008"/>
      <c r="QWS12" s="1396"/>
      <c r="QWT12" s="416"/>
      <c r="QWU12" s="416"/>
      <c r="QWV12" s="416"/>
      <c r="QWW12" s="416"/>
      <c r="QWX12" s="416"/>
      <c r="QWY12" s="416"/>
      <c r="QWZ12" s="416"/>
      <c r="QXA12" s="416"/>
      <c r="QXB12" s="416"/>
      <c r="QXC12" s="416"/>
      <c r="QXD12" s="1008"/>
      <c r="QXE12" s="1396"/>
      <c r="QXF12" s="416"/>
      <c r="QXG12" s="416"/>
      <c r="QXH12" s="416"/>
      <c r="QXI12" s="416"/>
      <c r="QXJ12" s="416"/>
      <c r="QXK12" s="416"/>
      <c r="QXL12" s="416"/>
      <c r="QXM12" s="416"/>
      <c r="QXN12" s="416"/>
      <c r="QXO12" s="416"/>
      <c r="QXP12" s="1008"/>
      <c r="QXQ12" s="1396"/>
      <c r="QXR12" s="416"/>
      <c r="QXS12" s="416"/>
      <c r="QXT12" s="416"/>
      <c r="QXU12" s="416"/>
      <c r="QXV12" s="416"/>
      <c r="QXW12" s="416"/>
      <c r="QXX12" s="416"/>
      <c r="QXY12" s="416"/>
      <c r="QXZ12" s="416"/>
      <c r="QYA12" s="416"/>
      <c r="QYB12" s="1008"/>
      <c r="QYC12" s="1396"/>
      <c r="QYD12" s="416"/>
      <c r="QYE12" s="416"/>
      <c r="QYF12" s="416"/>
      <c r="QYG12" s="416"/>
      <c r="QYH12" s="416"/>
      <c r="QYI12" s="416"/>
      <c r="QYJ12" s="416"/>
      <c r="QYK12" s="416"/>
      <c r="QYL12" s="416"/>
      <c r="QYM12" s="416"/>
      <c r="QYN12" s="1008"/>
      <c r="QYO12" s="1396"/>
      <c r="QYP12" s="416"/>
      <c r="QYQ12" s="416"/>
      <c r="QYR12" s="416"/>
      <c r="QYS12" s="416"/>
      <c r="QYT12" s="416"/>
      <c r="QYU12" s="416"/>
      <c r="QYV12" s="416"/>
      <c r="QYW12" s="416"/>
      <c r="QYX12" s="416"/>
      <c r="QYY12" s="416"/>
      <c r="QYZ12" s="1008"/>
      <c r="QZA12" s="1396"/>
      <c r="QZB12" s="416"/>
      <c r="QZC12" s="416"/>
      <c r="QZD12" s="416"/>
      <c r="QZE12" s="416"/>
      <c r="QZF12" s="416"/>
      <c r="QZG12" s="416"/>
      <c r="QZH12" s="416"/>
      <c r="QZI12" s="416"/>
      <c r="QZJ12" s="416"/>
      <c r="QZK12" s="416"/>
      <c r="QZL12" s="1008"/>
      <c r="QZM12" s="1396"/>
      <c r="QZN12" s="416"/>
      <c r="QZO12" s="416"/>
      <c r="QZP12" s="416"/>
      <c r="QZQ12" s="416"/>
      <c r="QZR12" s="416"/>
      <c r="QZS12" s="416"/>
      <c r="QZT12" s="416"/>
      <c r="QZU12" s="416"/>
      <c r="QZV12" s="416"/>
      <c r="QZW12" s="416"/>
      <c r="QZX12" s="1008"/>
      <c r="QZY12" s="1396"/>
      <c r="QZZ12" s="416"/>
      <c r="RAA12" s="416"/>
      <c r="RAB12" s="416"/>
      <c r="RAC12" s="416"/>
      <c r="RAD12" s="416"/>
      <c r="RAE12" s="416"/>
      <c r="RAF12" s="416"/>
      <c r="RAG12" s="416"/>
      <c r="RAH12" s="416"/>
      <c r="RAI12" s="416"/>
      <c r="RAJ12" s="1008"/>
      <c r="RAK12" s="1396"/>
      <c r="RAL12" s="416"/>
      <c r="RAM12" s="416"/>
      <c r="RAN12" s="416"/>
      <c r="RAO12" s="416"/>
      <c r="RAP12" s="416"/>
      <c r="RAQ12" s="416"/>
      <c r="RAR12" s="416"/>
      <c r="RAS12" s="416"/>
      <c r="RAT12" s="416"/>
      <c r="RAU12" s="416"/>
      <c r="RAV12" s="1008"/>
      <c r="RAW12" s="1396"/>
      <c r="RAX12" s="416"/>
      <c r="RAY12" s="416"/>
      <c r="RAZ12" s="416"/>
      <c r="RBA12" s="416"/>
      <c r="RBB12" s="416"/>
      <c r="RBC12" s="416"/>
      <c r="RBD12" s="416"/>
      <c r="RBE12" s="416"/>
      <c r="RBF12" s="416"/>
      <c r="RBG12" s="416"/>
      <c r="RBH12" s="1008"/>
      <c r="RBI12" s="1396"/>
      <c r="RBJ12" s="416"/>
      <c r="RBK12" s="416"/>
      <c r="RBL12" s="416"/>
      <c r="RBM12" s="416"/>
      <c r="RBN12" s="416"/>
      <c r="RBO12" s="416"/>
      <c r="RBP12" s="416"/>
      <c r="RBQ12" s="416"/>
      <c r="RBR12" s="416"/>
      <c r="RBS12" s="416"/>
      <c r="RBT12" s="1008"/>
      <c r="RBU12" s="1396"/>
      <c r="RBV12" s="416"/>
      <c r="RBW12" s="416"/>
      <c r="RBX12" s="416"/>
      <c r="RBY12" s="416"/>
      <c r="RBZ12" s="416"/>
      <c r="RCA12" s="416"/>
      <c r="RCB12" s="416"/>
      <c r="RCC12" s="416"/>
      <c r="RCD12" s="416"/>
      <c r="RCE12" s="416"/>
      <c r="RCF12" s="1008"/>
      <c r="RCG12" s="1396"/>
      <c r="RCH12" s="416"/>
      <c r="RCI12" s="416"/>
      <c r="RCJ12" s="416"/>
      <c r="RCK12" s="416"/>
      <c r="RCL12" s="416"/>
      <c r="RCM12" s="416"/>
      <c r="RCN12" s="416"/>
      <c r="RCO12" s="416"/>
      <c r="RCP12" s="416"/>
      <c r="RCQ12" s="416"/>
      <c r="RCR12" s="1008"/>
      <c r="RCS12" s="1396"/>
      <c r="RCT12" s="416"/>
      <c r="RCU12" s="416"/>
      <c r="RCV12" s="416"/>
      <c r="RCW12" s="416"/>
      <c r="RCX12" s="416"/>
      <c r="RCY12" s="416"/>
      <c r="RCZ12" s="416"/>
      <c r="RDA12" s="416"/>
      <c r="RDB12" s="416"/>
      <c r="RDC12" s="416"/>
      <c r="RDD12" s="1008"/>
      <c r="RDE12" s="1396"/>
      <c r="RDF12" s="416"/>
      <c r="RDG12" s="416"/>
      <c r="RDH12" s="416"/>
      <c r="RDI12" s="416"/>
      <c r="RDJ12" s="416"/>
      <c r="RDK12" s="416"/>
      <c r="RDL12" s="416"/>
      <c r="RDM12" s="416"/>
      <c r="RDN12" s="416"/>
      <c r="RDO12" s="416"/>
      <c r="RDP12" s="1008"/>
      <c r="RDQ12" s="1396"/>
      <c r="RDR12" s="416"/>
      <c r="RDS12" s="416"/>
      <c r="RDT12" s="416"/>
      <c r="RDU12" s="416"/>
      <c r="RDV12" s="416"/>
      <c r="RDW12" s="416"/>
      <c r="RDX12" s="416"/>
      <c r="RDY12" s="416"/>
      <c r="RDZ12" s="416"/>
      <c r="REA12" s="416"/>
      <c r="REB12" s="1008"/>
      <c r="REC12" s="1396"/>
      <c r="RED12" s="416"/>
      <c r="REE12" s="416"/>
      <c r="REF12" s="416"/>
      <c r="REG12" s="416"/>
      <c r="REH12" s="416"/>
      <c r="REI12" s="416"/>
      <c r="REJ12" s="416"/>
      <c r="REK12" s="416"/>
      <c r="REL12" s="416"/>
      <c r="REM12" s="416"/>
      <c r="REN12" s="1008"/>
      <c r="REO12" s="1396"/>
      <c r="REP12" s="416"/>
      <c r="REQ12" s="416"/>
      <c r="RER12" s="416"/>
      <c r="RES12" s="416"/>
      <c r="RET12" s="416"/>
      <c r="REU12" s="416"/>
      <c r="REV12" s="416"/>
      <c r="REW12" s="416"/>
      <c r="REX12" s="416"/>
      <c r="REY12" s="416"/>
      <c r="REZ12" s="1008"/>
      <c r="RFA12" s="1396"/>
      <c r="RFB12" s="416"/>
      <c r="RFC12" s="416"/>
      <c r="RFD12" s="416"/>
      <c r="RFE12" s="416"/>
      <c r="RFF12" s="416"/>
      <c r="RFG12" s="416"/>
      <c r="RFH12" s="416"/>
      <c r="RFI12" s="416"/>
      <c r="RFJ12" s="416"/>
      <c r="RFK12" s="416"/>
      <c r="RFL12" s="1008"/>
      <c r="RFM12" s="1396"/>
      <c r="RFN12" s="416"/>
      <c r="RFO12" s="416"/>
      <c r="RFP12" s="416"/>
      <c r="RFQ12" s="416"/>
      <c r="RFR12" s="416"/>
      <c r="RFS12" s="416"/>
      <c r="RFT12" s="416"/>
      <c r="RFU12" s="416"/>
      <c r="RFV12" s="416"/>
      <c r="RFW12" s="416"/>
      <c r="RFX12" s="1008"/>
      <c r="RFY12" s="1396"/>
      <c r="RFZ12" s="416"/>
      <c r="RGA12" s="416"/>
      <c r="RGB12" s="416"/>
      <c r="RGC12" s="416"/>
      <c r="RGD12" s="416"/>
      <c r="RGE12" s="416"/>
      <c r="RGF12" s="416"/>
      <c r="RGG12" s="416"/>
      <c r="RGH12" s="416"/>
      <c r="RGI12" s="416"/>
      <c r="RGJ12" s="1008"/>
      <c r="RGK12" s="1396"/>
      <c r="RGL12" s="416"/>
      <c r="RGM12" s="416"/>
      <c r="RGN12" s="416"/>
      <c r="RGO12" s="416"/>
      <c r="RGP12" s="416"/>
      <c r="RGQ12" s="416"/>
      <c r="RGR12" s="416"/>
      <c r="RGS12" s="416"/>
      <c r="RGT12" s="416"/>
      <c r="RGU12" s="416"/>
      <c r="RGV12" s="1008"/>
      <c r="RGW12" s="1396"/>
      <c r="RGX12" s="416"/>
      <c r="RGY12" s="416"/>
      <c r="RGZ12" s="416"/>
      <c r="RHA12" s="416"/>
      <c r="RHB12" s="416"/>
      <c r="RHC12" s="416"/>
      <c r="RHD12" s="416"/>
      <c r="RHE12" s="416"/>
      <c r="RHF12" s="416"/>
      <c r="RHG12" s="416"/>
      <c r="RHH12" s="1008"/>
      <c r="RHI12" s="1396"/>
      <c r="RHJ12" s="416"/>
      <c r="RHK12" s="416"/>
      <c r="RHL12" s="416"/>
      <c r="RHM12" s="416"/>
      <c r="RHN12" s="416"/>
      <c r="RHO12" s="416"/>
      <c r="RHP12" s="416"/>
      <c r="RHQ12" s="416"/>
      <c r="RHR12" s="416"/>
      <c r="RHS12" s="416"/>
      <c r="RHT12" s="1008"/>
      <c r="RHU12" s="1396"/>
      <c r="RHV12" s="416"/>
      <c r="RHW12" s="416"/>
      <c r="RHX12" s="416"/>
      <c r="RHY12" s="416"/>
      <c r="RHZ12" s="416"/>
      <c r="RIA12" s="416"/>
      <c r="RIB12" s="416"/>
      <c r="RIC12" s="416"/>
      <c r="RID12" s="416"/>
      <c r="RIE12" s="416"/>
      <c r="RIF12" s="1008"/>
      <c r="RIG12" s="1396"/>
      <c r="RIH12" s="416"/>
      <c r="RII12" s="416"/>
      <c r="RIJ12" s="416"/>
      <c r="RIK12" s="416"/>
      <c r="RIL12" s="416"/>
      <c r="RIM12" s="416"/>
      <c r="RIN12" s="416"/>
      <c r="RIO12" s="416"/>
      <c r="RIP12" s="416"/>
      <c r="RIQ12" s="416"/>
      <c r="RIR12" s="1008"/>
      <c r="RIS12" s="1396"/>
      <c r="RIT12" s="416"/>
      <c r="RIU12" s="416"/>
      <c r="RIV12" s="416"/>
      <c r="RIW12" s="416"/>
      <c r="RIX12" s="416"/>
      <c r="RIY12" s="416"/>
      <c r="RIZ12" s="416"/>
      <c r="RJA12" s="416"/>
      <c r="RJB12" s="416"/>
      <c r="RJC12" s="416"/>
      <c r="RJD12" s="1008"/>
      <c r="RJE12" s="1396"/>
      <c r="RJF12" s="416"/>
      <c r="RJG12" s="416"/>
      <c r="RJH12" s="416"/>
      <c r="RJI12" s="416"/>
      <c r="RJJ12" s="416"/>
      <c r="RJK12" s="416"/>
      <c r="RJL12" s="416"/>
      <c r="RJM12" s="416"/>
      <c r="RJN12" s="416"/>
      <c r="RJO12" s="416"/>
      <c r="RJP12" s="1008"/>
      <c r="RJQ12" s="1396"/>
      <c r="RJR12" s="416"/>
      <c r="RJS12" s="416"/>
      <c r="RJT12" s="416"/>
      <c r="RJU12" s="416"/>
      <c r="RJV12" s="416"/>
      <c r="RJW12" s="416"/>
      <c r="RJX12" s="416"/>
      <c r="RJY12" s="416"/>
      <c r="RJZ12" s="416"/>
      <c r="RKA12" s="416"/>
      <c r="RKB12" s="1008"/>
      <c r="RKC12" s="1396"/>
      <c r="RKD12" s="416"/>
      <c r="RKE12" s="416"/>
      <c r="RKF12" s="416"/>
      <c r="RKG12" s="416"/>
      <c r="RKH12" s="416"/>
      <c r="RKI12" s="416"/>
      <c r="RKJ12" s="416"/>
      <c r="RKK12" s="416"/>
      <c r="RKL12" s="416"/>
      <c r="RKM12" s="416"/>
      <c r="RKN12" s="1008"/>
      <c r="RKO12" s="1396"/>
      <c r="RKP12" s="416"/>
      <c r="RKQ12" s="416"/>
      <c r="RKR12" s="416"/>
      <c r="RKS12" s="416"/>
      <c r="RKT12" s="416"/>
      <c r="RKU12" s="416"/>
      <c r="RKV12" s="416"/>
      <c r="RKW12" s="416"/>
      <c r="RKX12" s="416"/>
      <c r="RKY12" s="416"/>
      <c r="RKZ12" s="1008"/>
      <c r="RLA12" s="1396"/>
      <c r="RLB12" s="416"/>
      <c r="RLC12" s="416"/>
      <c r="RLD12" s="416"/>
      <c r="RLE12" s="416"/>
      <c r="RLF12" s="416"/>
      <c r="RLG12" s="416"/>
      <c r="RLH12" s="416"/>
      <c r="RLI12" s="416"/>
      <c r="RLJ12" s="416"/>
      <c r="RLK12" s="416"/>
      <c r="RLL12" s="1008"/>
      <c r="RLM12" s="1396"/>
      <c r="RLN12" s="416"/>
      <c r="RLO12" s="416"/>
      <c r="RLP12" s="416"/>
      <c r="RLQ12" s="416"/>
      <c r="RLR12" s="416"/>
      <c r="RLS12" s="416"/>
      <c r="RLT12" s="416"/>
      <c r="RLU12" s="416"/>
      <c r="RLV12" s="416"/>
      <c r="RLW12" s="416"/>
      <c r="RLX12" s="1008"/>
      <c r="RLY12" s="1396"/>
      <c r="RLZ12" s="416"/>
      <c r="RMA12" s="416"/>
      <c r="RMB12" s="416"/>
      <c r="RMC12" s="416"/>
      <c r="RMD12" s="416"/>
      <c r="RME12" s="416"/>
      <c r="RMF12" s="416"/>
      <c r="RMG12" s="416"/>
      <c r="RMH12" s="416"/>
      <c r="RMI12" s="416"/>
      <c r="RMJ12" s="1008"/>
      <c r="RMK12" s="1396"/>
      <c r="RML12" s="416"/>
      <c r="RMM12" s="416"/>
      <c r="RMN12" s="416"/>
      <c r="RMO12" s="416"/>
      <c r="RMP12" s="416"/>
      <c r="RMQ12" s="416"/>
      <c r="RMR12" s="416"/>
      <c r="RMS12" s="416"/>
      <c r="RMT12" s="416"/>
      <c r="RMU12" s="416"/>
      <c r="RMV12" s="1008"/>
      <c r="RMW12" s="1396"/>
      <c r="RMX12" s="416"/>
      <c r="RMY12" s="416"/>
      <c r="RMZ12" s="416"/>
      <c r="RNA12" s="416"/>
      <c r="RNB12" s="416"/>
      <c r="RNC12" s="416"/>
      <c r="RND12" s="416"/>
      <c r="RNE12" s="416"/>
      <c r="RNF12" s="416"/>
      <c r="RNG12" s="416"/>
      <c r="RNH12" s="1008"/>
      <c r="RNI12" s="1396"/>
      <c r="RNJ12" s="416"/>
      <c r="RNK12" s="416"/>
      <c r="RNL12" s="416"/>
      <c r="RNM12" s="416"/>
      <c r="RNN12" s="416"/>
      <c r="RNO12" s="416"/>
      <c r="RNP12" s="416"/>
      <c r="RNQ12" s="416"/>
      <c r="RNR12" s="416"/>
      <c r="RNS12" s="416"/>
      <c r="RNT12" s="1008"/>
      <c r="RNU12" s="1396"/>
      <c r="RNV12" s="416"/>
      <c r="RNW12" s="416"/>
      <c r="RNX12" s="416"/>
      <c r="RNY12" s="416"/>
      <c r="RNZ12" s="416"/>
      <c r="ROA12" s="416"/>
      <c r="ROB12" s="416"/>
      <c r="ROC12" s="416"/>
      <c r="ROD12" s="416"/>
      <c r="ROE12" s="416"/>
      <c r="ROF12" s="1008"/>
      <c r="ROG12" s="1396"/>
      <c r="ROH12" s="416"/>
      <c r="ROI12" s="416"/>
      <c r="ROJ12" s="416"/>
      <c r="ROK12" s="416"/>
      <c r="ROL12" s="416"/>
      <c r="ROM12" s="416"/>
      <c r="RON12" s="416"/>
      <c r="ROO12" s="416"/>
      <c r="ROP12" s="416"/>
      <c r="ROQ12" s="416"/>
      <c r="ROR12" s="1008"/>
      <c r="ROS12" s="1396"/>
      <c r="ROT12" s="416"/>
      <c r="ROU12" s="416"/>
      <c r="ROV12" s="416"/>
      <c r="ROW12" s="416"/>
      <c r="ROX12" s="416"/>
      <c r="ROY12" s="416"/>
      <c r="ROZ12" s="416"/>
      <c r="RPA12" s="416"/>
      <c r="RPB12" s="416"/>
      <c r="RPC12" s="416"/>
      <c r="RPD12" s="1008"/>
      <c r="RPE12" s="1396"/>
      <c r="RPF12" s="416"/>
      <c r="RPG12" s="416"/>
      <c r="RPH12" s="416"/>
      <c r="RPI12" s="416"/>
      <c r="RPJ12" s="416"/>
      <c r="RPK12" s="416"/>
      <c r="RPL12" s="416"/>
      <c r="RPM12" s="416"/>
      <c r="RPN12" s="416"/>
      <c r="RPO12" s="416"/>
      <c r="RPP12" s="1008"/>
      <c r="RPQ12" s="1396"/>
      <c r="RPR12" s="416"/>
      <c r="RPS12" s="416"/>
      <c r="RPT12" s="416"/>
      <c r="RPU12" s="416"/>
      <c r="RPV12" s="416"/>
      <c r="RPW12" s="416"/>
      <c r="RPX12" s="416"/>
      <c r="RPY12" s="416"/>
      <c r="RPZ12" s="416"/>
      <c r="RQA12" s="416"/>
      <c r="RQB12" s="1008"/>
      <c r="RQC12" s="1396"/>
      <c r="RQD12" s="416"/>
      <c r="RQE12" s="416"/>
      <c r="RQF12" s="416"/>
      <c r="RQG12" s="416"/>
      <c r="RQH12" s="416"/>
      <c r="RQI12" s="416"/>
      <c r="RQJ12" s="416"/>
      <c r="RQK12" s="416"/>
      <c r="RQL12" s="416"/>
      <c r="RQM12" s="416"/>
      <c r="RQN12" s="1008"/>
      <c r="RQO12" s="1396"/>
      <c r="RQP12" s="416"/>
      <c r="RQQ12" s="416"/>
      <c r="RQR12" s="416"/>
      <c r="RQS12" s="416"/>
      <c r="RQT12" s="416"/>
      <c r="RQU12" s="416"/>
      <c r="RQV12" s="416"/>
      <c r="RQW12" s="416"/>
      <c r="RQX12" s="416"/>
      <c r="RQY12" s="416"/>
      <c r="RQZ12" s="1008"/>
      <c r="RRA12" s="1396"/>
      <c r="RRB12" s="416"/>
      <c r="RRC12" s="416"/>
      <c r="RRD12" s="416"/>
      <c r="RRE12" s="416"/>
      <c r="RRF12" s="416"/>
      <c r="RRG12" s="416"/>
      <c r="RRH12" s="416"/>
      <c r="RRI12" s="416"/>
      <c r="RRJ12" s="416"/>
      <c r="RRK12" s="416"/>
      <c r="RRL12" s="1008"/>
      <c r="RRM12" s="1396"/>
      <c r="RRN12" s="416"/>
      <c r="RRO12" s="416"/>
      <c r="RRP12" s="416"/>
      <c r="RRQ12" s="416"/>
      <c r="RRR12" s="416"/>
      <c r="RRS12" s="416"/>
      <c r="RRT12" s="416"/>
      <c r="RRU12" s="416"/>
      <c r="RRV12" s="416"/>
      <c r="RRW12" s="416"/>
      <c r="RRX12" s="1008"/>
      <c r="RRY12" s="1396"/>
      <c r="RRZ12" s="416"/>
      <c r="RSA12" s="416"/>
      <c r="RSB12" s="416"/>
      <c r="RSC12" s="416"/>
      <c r="RSD12" s="416"/>
      <c r="RSE12" s="416"/>
      <c r="RSF12" s="416"/>
      <c r="RSG12" s="416"/>
      <c r="RSH12" s="416"/>
      <c r="RSI12" s="416"/>
      <c r="RSJ12" s="1008"/>
      <c r="RSK12" s="1396"/>
      <c r="RSL12" s="416"/>
      <c r="RSM12" s="416"/>
      <c r="RSN12" s="416"/>
      <c r="RSO12" s="416"/>
      <c r="RSP12" s="416"/>
      <c r="RSQ12" s="416"/>
      <c r="RSR12" s="416"/>
      <c r="RSS12" s="416"/>
      <c r="RST12" s="416"/>
      <c r="RSU12" s="416"/>
      <c r="RSV12" s="1008"/>
      <c r="RSW12" s="1396"/>
      <c r="RSX12" s="416"/>
      <c r="RSY12" s="416"/>
      <c r="RSZ12" s="416"/>
      <c r="RTA12" s="416"/>
      <c r="RTB12" s="416"/>
      <c r="RTC12" s="416"/>
      <c r="RTD12" s="416"/>
      <c r="RTE12" s="416"/>
      <c r="RTF12" s="416"/>
      <c r="RTG12" s="416"/>
      <c r="RTH12" s="1008"/>
      <c r="RTI12" s="1396"/>
      <c r="RTJ12" s="416"/>
      <c r="RTK12" s="416"/>
      <c r="RTL12" s="416"/>
      <c r="RTM12" s="416"/>
      <c r="RTN12" s="416"/>
      <c r="RTO12" s="416"/>
      <c r="RTP12" s="416"/>
      <c r="RTQ12" s="416"/>
      <c r="RTR12" s="416"/>
      <c r="RTS12" s="416"/>
      <c r="RTT12" s="1008"/>
      <c r="RTU12" s="1396"/>
      <c r="RTV12" s="416"/>
      <c r="RTW12" s="416"/>
      <c r="RTX12" s="416"/>
      <c r="RTY12" s="416"/>
      <c r="RTZ12" s="416"/>
      <c r="RUA12" s="416"/>
      <c r="RUB12" s="416"/>
      <c r="RUC12" s="416"/>
      <c r="RUD12" s="416"/>
      <c r="RUE12" s="416"/>
      <c r="RUF12" s="1008"/>
      <c r="RUG12" s="1396"/>
      <c r="RUH12" s="416"/>
      <c r="RUI12" s="416"/>
      <c r="RUJ12" s="416"/>
      <c r="RUK12" s="416"/>
      <c r="RUL12" s="416"/>
      <c r="RUM12" s="416"/>
      <c r="RUN12" s="416"/>
      <c r="RUO12" s="416"/>
      <c r="RUP12" s="416"/>
      <c r="RUQ12" s="416"/>
      <c r="RUR12" s="1008"/>
      <c r="RUS12" s="1396"/>
      <c r="RUT12" s="416"/>
      <c r="RUU12" s="416"/>
      <c r="RUV12" s="416"/>
      <c r="RUW12" s="416"/>
      <c r="RUX12" s="416"/>
      <c r="RUY12" s="416"/>
      <c r="RUZ12" s="416"/>
      <c r="RVA12" s="416"/>
      <c r="RVB12" s="416"/>
      <c r="RVC12" s="416"/>
      <c r="RVD12" s="1008"/>
      <c r="RVE12" s="1396"/>
      <c r="RVF12" s="416"/>
      <c r="RVG12" s="416"/>
      <c r="RVH12" s="416"/>
      <c r="RVI12" s="416"/>
      <c r="RVJ12" s="416"/>
      <c r="RVK12" s="416"/>
      <c r="RVL12" s="416"/>
      <c r="RVM12" s="416"/>
      <c r="RVN12" s="416"/>
      <c r="RVO12" s="416"/>
      <c r="RVP12" s="1008"/>
      <c r="RVQ12" s="1396"/>
      <c r="RVR12" s="416"/>
      <c r="RVS12" s="416"/>
      <c r="RVT12" s="416"/>
      <c r="RVU12" s="416"/>
      <c r="RVV12" s="416"/>
      <c r="RVW12" s="416"/>
      <c r="RVX12" s="416"/>
      <c r="RVY12" s="416"/>
      <c r="RVZ12" s="416"/>
      <c r="RWA12" s="416"/>
      <c r="RWB12" s="1008"/>
      <c r="RWC12" s="1396"/>
      <c r="RWD12" s="416"/>
      <c r="RWE12" s="416"/>
      <c r="RWF12" s="416"/>
      <c r="RWG12" s="416"/>
      <c r="RWH12" s="416"/>
      <c r="RWI12" s="416"/>
      <c r="RWJ12" s="416"/>
      <c r="RWK12" s="416"/>
      <c r="RWL12" s="416"/>
      <c r="RWM12" s="416"/>
      <c r="RWN12" s="1008"/>
      <c r="RWO12" s="1396"/>
      <c r="RWP12" s="416"/>
      <c r="RWQ12" s="416"/>
      <c r="RWR12" s="416"/>
      <c r="RWS12" s="416"/>
      <c r="RWT12" s="416"/>
      <c r="RWU12" s="416"/>
      <c r="RWV12" s="416"/>
      <c r="RWW12" s="416"/>
      <c r="RWX12" s="416"/>
      <c r="RWY12" s="416"/>
      <c r="RWZ12" s="1008"/>
      <c r="RXA12" s="1396"/>
      <c r="RXB12" s="416"/>
      <c r="RXC12" s="416"/>
      <c r="RXD12" s="416"/>
      <c r="RXE12" s="416"/>
      <c r="RXF12" s="416"/>
      <c r="RXG12" s="416"/>
      <c r="RXH12" s="416"/>
      <c r="RXI12" s="416"/>
      <c r="RXJ12" s="416"/>
      <c r="RXK12" s="416"/>
      <c r="RXL12" s="1008"/>
      <c r="RXM12" s="1396"/>
      <c r="RXN12" s="416"/>
      <c r="RXO12" s="416"/>
      <c r="RXP12" s="416"/>
      <c r="RXQ12" s="416"/>
      <c r="RXR12" s="416"/>
      <c r="RXS12" s="416"/>
      <c r="RXT12" s="416"/>
      <c r="RXU12" s="416"/>
      <c r="RXV12" s="416"/>
      <c r="RXW12" s="416"/>
      <c r="RXX12" s="1008"/>
      <c r="RXY12" s="1396"/>
      <c r="RXZ12" s="416"/>
      <c r="RYA12" s="416"/>
      <c r="RYB12" s="416"/>
      <c r="RYC12" s="416"/>
      <c r="RYD12" s="416"/>
      <c r="RYE12" s="416"/>
      <c r="RYF12" s="416"/>
      <c r="RYG12" s="416"/>
      <c r="RYH12" s="416"/>
      <c r="RYI12" s="416"/>
      <c r="RYJ12" s="1008"/>
      <c r="RYK12" s="1396"/>
      <c r="RYL12" s="416"/>
      <c r="RYM12" s="416"/>
      <c r="RYN12" s="416"/>
      <c r="RYO12" s="416"/>
      <c r="RYP12" s="416"/>
      <c r="RYQ12" s="416"/>
      <c r="RYR12" s="416"/>
      <c r="RYS12" s="416"/>
      <c r="RYT12" s="416"/>
      <c r="RYU12" s="416"/>
      <c r="RYV12" s="1008"/>
      <c r="RYW12" s="1396"/>
      <c r="RYX12" s="416"/>
      <c r="RYY12" s="416"/>
      <c r="RYZ12" s="416"/>
      <c r="RZA12" s="416"/>
      <c r="RZB12" s="416"/>
      <c r="RZC12" s="416"/>
      <c r="RZD12" s="416"/>
      <c r="RZE12" s="416"/>
      <c r="RZF12" s="416"/>
      <c r="RZG12" s="416"/>
      <c r="RZH12" s="1008"/>
      <c r="RZI12" s="1396"/>
      <c r="RZJ12" s="416"/>
      <c r="RZK12" s="416"/>
      <c r="RZL12" s="416"/>
      <c r="RZM12" s="416"/>
      <c r="RZN12" s="416"/>
      <c r="RZO12" s="416"/>
      <c r="RZP12" s="416"/>
      <c r="RZQ12" s="416"/>
      <c r="RZR12" s="416"/>
      <c r="RZS12" s="416"/>
      <c r="RZT12" s="1008"/>
      <c r="RZU12" s="1396"/>
      <c r="RZV12" s="416"/>
      <c r="RZW12" s="416"/>
      <c r="RZX12" s="416"/>
      <c r="RZY12" s="416"/>
      <c r="RZZ12" s="416"/>
      <c r="SAA12" s="416"/>
      <c r="SAB12" s="416"/>
      <c r="SAC12" s="416"/>
      <c r="SAD12" s="416"/>
      <c r="SAE12" s="416"/>
      <c r="SAF12" s="1008"/>
      <c r="SAG12" s="1396"/>
      <c r="SAH12" s="416"/>
      <c r="SAI12" s="416"/>
      <c r="SAJ12" s="416"/>
      <c r="SAK12" s="416"/>
      <c r="SAL12" s="416"/>
      <c r="SAM12" s="416"/>
      <c r="SAN12" s="416"/>
      <c r="SAO12" s="416"/>
      <c r="SAP12" s="416"/>
      <c r="SAQ12" s="416"/>
      <c r="SAR12" s="1008"/>
      <c r="SAS12" s="1396"/>
      <c r="SAT12" s="416"/>
      <c r="SAU12" s="416"/>
      <c r="SAV12" s="416"/>
      <c r="SAW12" s="416"/>
      <c r="SAX12" s="416"/>
      <c r="SAY12" s="416"/>
      <c r="SAZ12" s="416"/>
      <c r="SBA12" s="416"/>
      <c r="SBB12" s="416"/>
      <c r="SBC12" s="416"/>
      <c r="SBD12" s="1008"/>
      <c r="SBE12" s="1396"/>
      <c r="SBF12" s="416"/>
      <c r="SBG12" s="416"/>
      <c r="SBH12" s="416"/>
      <c r="SBI12" s="416"/>
      <c r="SBJ12" s="416"/>
      <c r="SBK12" s="416"/>
      <c r="SBL12" s="416"/>
      <c r="SBM12" s="416"/>
      <c r="SBN12" s="416"/>
      <c r="SBO12" s="416"/>
      <c r="SBP12" s="1008"/>
      <c r="SBQ12" s="1396"/>
      <c r="SBR12" s="416"/>
      <c r="SBS12" s="416"/>
      <c r="SBT12" s="416"/>
      <c r="SBU12" s="416"/>
      <c r="SBV12" s="416"/>
      <c r="SBW12" s="416"/>
      <c r="SBX12" s="416"/>
      <c r="SBY12" s="416"/>
      <c r="SBZ12" s="416"/>
      <c r="SCA12" s="416"/>
      <c r="SCB12" s="1008"/>
      <c r="SCC12" s="1396"/>
      <c r="SCD12" s="416"/>
      <c r="SCE12" s="416"/>
      <c r="SCF12" s="416"/>
      <c r="SCG12" s="416"/>
      <c r="SCH12" s="416"/>
      <c r="SCI12" s="416"/>
      <c r="SCJ12" s="416"/>
      <c r="SCK12" s="416"/>
      <c r="SCL12" s="416"/>
      <c r="SCM12" s="416"/>
      <c r="SCN12" s="1008"/>
      <c r="SCO12" s="1396"/>
      <c r="SCP12" s="416"/>
      <c r="SCQ12" s="416"/>
      <c r="SCR12" s="416"/>
      <c r="SCS12" s="416"/>
      <c r="SCT12" s="416"/>
      <c r="SCU12" s="416"/>
      <c r="SCV12" s="416"/>
      <c r="SCW12" s="416"/>
      <c r="SCX12" s="416"/>
      <c r="SCY12" s="416"/>
      <c r="SCZ12" s="1008"/>
      <c r="SDA12" s="1396"/>
      <c r="SDB12" s="416"/>
      <c r="SDC12" s="416"/>
      <c r="SDD12" s="416"/>
      <c r="SDE12" s="416"/>
      <c r="SDF12" s="416"/>
      <c r="SDG12" s="416"/>
      <c r="SDH12" s="416"/>
      <c r="SDI12" s="416"/>
      <c r="SDJ12" s="416"/>
      <c r="SDK12" s="416"/>
      <c r="SDL12" s="1008"/>
      <c r="SDM12" s="1396"/>
      <c r="SDN12" s="416"/>
      <c r="SDO12" s="416"/>
      <c r="SDP12" s="416"/>
      <c r="SDQ12" s="416"/>
      <c r="SDR12" s="416"/>
      <c r="SDS12" s="416"/>
      <c r="SDT12" s="416"/>
      <c r="SDU12" s="416"/>
      <c r="SDV12" s="416"/>
      <c r="SDW12" s="416"/>
      <c r="SDX12" s="1008"/>
      <c r="SDY12" s="1396"/>
      <c r="SDZ12" s="416"/>
      <c r="SEA12" s="416"/>
      <c r="SEB12" s="416"/>
      <c r="SEC12" s="416"/>
      <c r="SED12" s="416"/>
      <c r="SEE12" s="416"/>
      <c r="SEF12" s="416"/>
      <c r="SEG12" s="416"/>
      <c r="SEH12" s="416"/>
      <c r="SEI12" s="416"/>
      <c r="SEJ12" s="1008"/>
      <c r="SEK12" s="1396"/>
      <c r="SEL12" s="416"/>
      <c r="SEM12" s="416"/>
      <c r="SEN12" s="416"/>
      <c r="SEO12" s="416"/>
      <c r="SEP12" s="416"/>
      <c r="SEQ12" s="416"/>
      <c r="SER12" s="416"/>
      <c r="SES12" s="416"/>
      <c r="SET12" s="416"/>
      <c r="SEU12" s="416"/>
      <c r="SEV12" s="1008"/>
      <c r="SEW12" s="1396"/>
      <c r="SEX12" s="416"/>
      <c r="SEY12" s="416"/>
      <c r="SEZ12" s="416"/>
      <c r="SFA12" s="416"/>
      <c r="SFB12" s="416"/>
      <c r="SFC12" s="416"/>
      <c r="SFD12" s="416"/>
      <c r="SFE12" s="416"/>
      <c r="SFF12" s="416"/>
      <c r="SFG12" s="416"/>
      <c r="SFH12" s="1008"/>
      <c r="SFI12" s="1396"/>
      <c r="SFJ12" s="416"/>
      <c r="SFK12" s="416"/>
      <c r="SFL12" s="416"/>
      <c r="SFM12" s="416"/>
      <c r="SFN12" s="416"/>
      <c r="SFO12" s="416"/>
      <c r="SFP12" s="416"/>
      <c r="SFQ12" s="416"/>
      <c r="SFR12" s="416"/>
      <c r="SFS12" s="416"/>
      <c r="SFT12" s="1008"/>
      <c r="SFU12" s="1396"/>
      <c r="SFV12" s="416"/>
      <c r="SFW12" s="416"/>
      <c r="SFX12" s="416"/>
      <c r="SFY12" s="416"/>
      <c r="SFZ12" s="416"/>
      <c r="SGA12" s="416"/>
      <c r="SGB12" s="416"/>
      <c r="SGC12" s="416"/>
      <c r="SGD12" s="416"/>
      <c r="SGE12" s="416"/>
      <c r="SGF12" s="1008"/>
      <c r="SGG12" s="1396"/>
      <c r="SGH12" s="416"/>
      <c r="SGI12" s="416"/>
      <c r="SGJ12" s="416"/>
      <c r="SGK12" s="416"/>
      <c r="SGL12" s="416"/>
      <c r="SGM12" s="416"/>
      <c r="SGN12" s="416"/>
      <c r="SGO12" s="416"/>
      <c r="SGP12" s="416"/>
      <c r="SGQ12" s="416"/>
      <c r="SGR12" s="1008"/>
      <c r="SGS12" s="1396"/>
      <c r="SGT12" s="416"/>
      <c r="SGU12" s="416"/>
      <c r="SGV12" s="416"/>
      <c r="SGW12" s="416"/>
      <c r="SGX12" s="416"/>
      <c r="SGY12" s="416"/>
      <c r="SGZ12" s="416"/>
      <c r="SHA12" s="416"/>
      <c r="SHB12" s="416"/>
      <c r="SHC12" s="416"/>
      <c r="SHD12" s="1008"/>
      <c r="SHE12" s="1396"/>
      <c r="SHF12" s="416"/>
      <c r="SHG12" s="416"/>
      <c r="SHH12" s="416"/>
      <c r="SHI12" s="416"/>
      <c r="SHJ12" s="416"/>
      <c r="SHK12" s="416"/>
      <c r="SHL12" s="416"/>
      <c r="SHM12" s="416"/>
      <c r="SHN12" s="416"/>
      <c r="SHO12" s="416"/>
      <c r="SHP12" s="1008"/>
      <c r="SHQ12" s="1396"/>
      <c r="SHR12" s="416"/>
      <c r="SHS12" s="416"/>
      <c r="SHT12" s="416"/>
      <c r="SHU12" s="416"/>
      <c r="SHV12" s="416"/>
      <c r="SHW12" s="416"/>
      <c r="SHX12" s="416"/>
      <c r="SHY12" s="416"/>
      <c r="SHZ12" s="416"/>
      <c r="SIA12" s="416"/>
      <c r="SIB12" s="1008"/>
      <c r="SIC12" s="1396"/>
      <c r="SID12" s="416"/>
      <c r="SIE12" s="416"/>
      <c r="SIF12" s="416"/>
      <c r="SIG12" s="416"/>
      <c r="SIH12" s="416"/>
      <c r="SII12" s="416"/>
      <c r="SIJ12" s="416"/>
      <c r="SIK12" s="416"/>
      <c r="SIL12" s="416"/>
      <c r="SIM12" s="416"/>
      <c r="SIN12" s="1008"/>
      <c r="SIO12" s="1396"/>
      <c r="SIP12" s="416"/>
      <c r="SIQ12" s="416"/>
      <c r="SIR12" s="416"/>
      <c r="SIS12" s="416"/>
      <c r="SIT12" s="416"/>
      <c r="SIU12" s="416"/>
      <c r="SIV12" s="416"/>
      <c r="SIW12" s="416"/>
      <c r="SIX12" s="416"/>
      <c r="SIY12" s="416"/>
      <c r="SIZ12" s="1008"/>
      <c r="SJA12" s="1396"/>
      <c r="SJB12" s="416"/>
      <c r="SJC12" s="416"/>
      <c r="SJD12" s="416"/>
      <c r="SJE12" s="416"/>
      <c r="SJF12" s="416"/>
      <c r="SJG12" s="416"/>
      <c r="SJH12" s="416"/>
      <c r="SJI12" s="416"/>
      <c r="SJJ12" s="416"/>
      <c r="SJK12" s="416"/>
      <c r="SJL12" s="1008"/>
      <c r="SJM12" s="1396"/>
      <c r="SJN12" s="416"/>
      <c r="SJO12" s="416"/>
      <c r="SJP12" s="416"/>
      <c r="SJQ12" s="416"/>
      <c r="SJR12" s="416"/>
      <c r="SJS12" s="416"/>
      <c r="SJT12" s="416"/>
      <c r="SJU12" s="416"/>
      <c r="SJV12" s="416"/>
      <c r="SJW12" s="416"/>
      <c r="SJX12" s="1008"/>
      <c r="SJY12" s="1396"/>
      <c r="SJZ12" s="416"/>
      <c r="SKA12" s="416"/>
      <c r="SKB12" s="416"/>
      <c r="SKC12" s="416"/>
      <c r="SKD12" s="416"/>
      <c r="SKE12" s="416"/>
      <c r="SKF12" s="416"/>
      <c r="SKG12" s="416"/>
      <c r="SKH12" s="416"/>
      <c r="SKI12" s="416"/>
      <c r="SKJ12" s="1008"/>
      <c r="SKK12" s="1396"/>
      <c r="SKL12" s="416"/>
      <c r="SKM12" s="416"/>
      <c r="SKN12" s="416"/>
      <c r="SKO12" s="416"/>
      <c r="SKP12" s="416"/>
      <c r="SKQ12" s="416"/>
      <c r="SKR12" s="416"/>
      <c r="SKS12" s="416"/>
      <c r="SKT12" s="416"/>
      <c r="SKU12" s="416"/>
      <c r="SKV12" s="1008"/>
      <c r="SKW12" s="1396"/>
      <c r="SKX12" s="416"/>
      <c r="SKY12" s="416"/>
      <c r="SKZ12" s="416"/>
      <c r="SLA12" s="416"/>
      <c r="SLB12" s="416"/>
      <c r="SLC12" s="416"/>
      <c r="SLD12" s="416"/>
      <c r="SLE12" s="416"/>
      <c r="SLF12" s="416"/>
      <c r="SLG12" s="416"/>
      <c r="SLH12" s="1008"/>
      <c r="SLI12" s="1396"/>
      <c r="SLJ12" s="416"/>
      <c r="SLK12" s="416"/>
      <c r="SLL12" s="416"/>
      <c r="SLM12" s="416"/>
      <c r="SLN12" s="416"/>
      <c r="SLO12" s="416"/>
      <c r="SLP12" s="416"/>
      <c r="SLQ12" s="416"/>
      <c r="SLR12" s="416"/>
      <c r="SLS12" s="416"/>
      <c r="SLT12" s="1008"/>
      <c r="SLU12" s="1396"/>
      <c r="SLV12" s="416"/>
      <c r="SLW12" s="416"/>
      <c r="SLX12" s="416"/>
      <c r="SLY12" s="416"/>
      <c r="SLZ12" s="416"/>
      <c r="SMA12" s="416"/>
      <c r="SMB12" s="416"/>
      <c r="SMC12" s="416"/>
      <c r="SMD12" s="416"/>
      <c r="SME12" s="416"/>
      <c r="SMF12" s="1008"/>
      <c r="SMG12" s="1396"/>
      <c r="SMH12" s="416"/>
      <c r="SMI12" s="416"/>
      <c r="SMJ12" s="416"/>
      <c r="SMK12" s="416"/>
      <c r="SML12" s="416"/>
      <c r="SMM12" s="416"/>
      <c r="SMN12" s="416"/>
      <c r="SMO12" s="416"/>
      <c r="SMP12" s="416"/>
      <c r="SMQ12" s="416"/>
      <c r="SMR12" s="1008"/>
      <c r="SMS12" s="1396"/>
      <c r="SMT12" s="416"/>
      <c r="SMU12" s="416"/>
      <c r="SMV12" s="416"/>
      <c r="SMW12" s="416"/>
      <c r="SMX12" s="416"/>
      <c r="SMY12" s="416"/>
      <c r="SMZ12" s="416"/>
      <c r="SNA12" s="416"/>
      <c r="SNB12" s="416"/>
      <c r="SNC12" s="416"/>
      <c r="SND12" s="1008"/>
      <c r="SNE12" s="1396"/>
      <c r="SNF12" s="416"/>
      <c r="SNG12" s="416"/>
      <c r="SNH12" s="416"/>
      <c r="SNI12" s="416"/>
      <c r="SNJ12" s="416"/>
      <c r="SNK12" s="416"/>
      <c r="SNL12" s="416"/>
      <c r="SNM12" s="416"/>
      <c r="SNN12" s="416"/>
      <c r="SNO12" s="416"/>
      <c r="SNP12" s="1008"/>
      <c r="SNQ12" s="1396"/>
      <c r="SNR12" s="416"/>
      <c r="SNS12" s="416"/>
      <c r="SNT12" s="416"/>
      <c r="SNU12" s="416"/>
      <c r="SNV12" s="416"/>
      <c r="SNW12" s="416"/>
      <c r="SNX12" s="416"/>
      <c r="SNY12" s="416"/>
      <c r="SNZ12" s="416"/>
      <c r="SOA12" s="416"/>
      <c r="SOB12" s="1008"/>
      <c r="SOC12" s="1396"/>
      <c r="SOD12" s="416"/>
      <c r="SOE12" s="416"/>
      <c r="SOF12" s="416"/>
      <c r="SOG12" s="416"/>
      <c r="SOH12" s="416"/>
      <c r="SOI12" s="416"/>
      <c r="SOJ12" s="416"/>
      <c r="SOK12" s="416"/>
      <c r="SOL12" s="416"/>
      <c r="SOM12" s="416"/>
      <c r="SON12" s="1008"/>
      <c r="SOO12" s="1396"/>
      <c r="SOP12" s="416"/>
      <c r="SOQ12" s="416"/>
      <c r="SOR12" s="416"/>
      <c r="SOS12" s="416"/>
      <c r="SOT12" s="416"/>
      <c r="SOU12" s="416"/>
      <c r="SOV12" s="416"/>
      <c r="SOW12" s="416"/>
      <c r="SOX12" s="416"/>
      <c r="SOY12" s="416"/>
      <c r="SOZ12" s="1008"/>
      <c r="SPA12" s="1396"/>
      <c r="SPB12" s="416"/>
      <c r="SPC12" s="416"/>
      <c r="SPD12" s="416"/>
      <c r="SPE12" s="416"/>
      <c r="SPF12" s="416"/>
      <c r="SPG12" s="416"/>
      <c r="SPH12" s="416"/>
      <c r="SPI12" s="416"/>
      <c r="SPJ12" s="416"/>
      <c r="SPK12" s="416"/>
      <c r="SPL12" s="1008"/>
      <c r="SPM12" s="1396"/>
      <c r="SPN12" s="416"/>
      <c r="SPO12" s="416"/>
      <c r="SPP12" s="416"/>
      <c r="SPQ12" s="416"/>
      <c r="SPR12" s="416"/>
      <c r="SPS12" s="416"/>
      <c r="SPT12" s="416"/>
      <c r="SPU12" s="416"/>
      <c r="SPV12" s="416"/>
      <c r="SPW12" s="416"/>
      <c r="SPX12" s="1008"/>
      <c r="SPY12" s="1396"/>
      <c r="SPZ12" s="416"/>
      <c r="SQA12" s="416"/>
      <c r="SQB12" s="416"/>
      <c r="SQC12" s="416"/>
      <c r="SQD12" s="416"/>
      <c r="SQE12" s="416"/>
      <c r="SQF12" s="416"/>
      <c r="SQG12" s="416"/>
      <c r="SQH12" s="416"/>
      <c r="SQI12" s="416"/>
      <c r="SQJ12" s="1008"/>
      <c r="SQK12" s="1396"/>
      <c r="SQL12" s="416"/>
      <c r="SQM12" s="416"/>
      <c r="SQN12" s="416"/>
      <c r="SQO12" s="416"/>
      <c r="SQP12" s="416"/>
      <c r="SQQ12" s="416"/>
      <c r="SQR12" s="416"/>
      <c r="SQS12" s="416"/>
      <c r="SQT12" s="416"/>
      <c r="SQU12" s="416"/>
      <c r="SQV12" s="1008"/>
      <c r="SQW12" s="1396"/>
      <c r="SQX12" s="416"/>
      <c r="SQY12" s="416"/>
      <c r="SQZ12" s="416"/>
      <c r="SRA12" s="416"/>
      <c r="SRB12" s="416"/>
      <c r="SRC12" s="416"/>
      <c r="SRD12" s="416"/>
      <c r="SRE12" s="416"/>
      <c r="SRF12" s="416"/>
      <c r="SRG12" s="416"/>
      <c r="SRH12" s="1008"/>
      <c r="SRI12" s="1396"/>
      <c r="SRJ12" s="416"/>
      <c r="SRK12" s="416"/>
      <c r="SRL12" s="416"/>
      <c r="SRM12" s="416"/>
      <c r="SRN12" s="416"/>
      <c r="SRO12" s="416"/>
      <c r="SRP12" s="416"/>
      <c r="SRQ12" s="416"/>
      <c r="SRR12" s="416"/>
      <c r="SRS12" s="416"/>
      <c r="SRT12" s="1008"/>
      <c r="SRU12" s="1396"/>
      <c r="SRV12" s="416"/>
      <c r="SRW12" s="416"/>
      <c r="SRX12" s="416"/>
      <c r="SRY12" s="416"/>
      <c r="SRZ12" s="416"/>
      <c r="SSA12" s="416"/>
      <c r="SSB12" s="416"/>
      <c r="SSC12" s="416"/>
      <c r="SSD12" s="416"/>
      <c r="SSE12" s="416"/>
      <c r="SSF12" s="1008"/>
      <c r="SSG12" s="1396"/>
      <c r="SSH12" s="416"/>
      <c r="SSI12" s="416"/>
      <c r="SSJ12" s="416"/>
      <c r="SSK12" s="416"/>
      <c r="SSL12" s="416"/>
      <c r="SSM12" s="416"/>
      <c r="SSN12" s="416"/>
      <c r="SSO12" s="416"/>
      <c r="SSP12" s="416"/>
      <c r="SSQ12" s="416"/>
      <c r="SSR12" s="1008"/>
      <c r="SSS12" s="1396"/>
      <c r="SST12" s="416"/>
      <c r="SSU12" s="416"/>
      <c r="SSV12" s="416"/>
      <c r="SSW12" s="416"/>
      <c r="SSX12" s="416"/>
      <c r="SSY12" s="416"/>
      <c r="SSZ12" s="416"/>
      <c r="STA12" s="416"/>
      <c r="STB12" s="416"/>
      <c r="STC12" s="416"/>
      <c r="STD12" s="1008"/>
      <c r="STE12" s="1396"/>
      <c r="STF12" s="416"/>
      <c r="STG12" s="416"/>
      <c r="STH12" s="416"/>
      <c r="STI12" s="416"/>
      <c r="STJ12" s="416"/>
      <c r="STK12" s="416"/>
      <c r="STL12" s="416"/>
      <c r="STM12" s="416"/>
      <c r="STN12" s="416"/>
      <c r="STO12" s="416"/>
      <c r="STP12" s="1008"/>
      <c r="STQ12" s="1396"/>
      <c r="STR12" s="416"/>
      <c r="STS12" s="416"/>
      <c r="STT12" s="416"/>
      <c r="STU12" s="416"/>
      <c r="STV12" s="416"/>
      <c r="STW12" s="416"/>
      <c r="STX12" s="416"/>
      <c r="STY12" s="416"/>
      <c r="STZ12" s="416"/>
      <c r="SUA12" s="416"/>
      <c r="SUB12" s="1008"/>
      <c r="SUC12" s="1396"/>
      <c r="SUD12" s="416"/>
      <c r="SUE12" s="416"/>
      <c r="SUF12" s="416"/>
      <c r="SUG12" s="416"/>
      <c r="SUH12" s="416"/>
      <c r="SUI12" s="416"/>
      <c r="SUJ12" s="416"/>
      <c r="SUK12" s="416"/>
      <c r="SUL12" s="416"/>
      <c r="SUM12" s="416"/>
      <c r="SUN12" s="1008"/>
      <c r="SUO12" s="1396"/>
      <c r="SUP12" s="416"/>
      <c r="SUQ12" s="416"/>
      <c r="SUR12" s="416"/>
      <c r="SUS12" s="416"/>
      <c r="SUT12" s="416"/>
      <c r="SUU12" s="416"/>
      <c r="SUV12" s="416"/>
      <c r="SUW12" s="416"/>
      <c r="SUX12" s="416"/>
      <c r="SUY12" s="416"/>
      <c r="SUZ12" s="1008"/>
      <c r="SVA12" s="1396"/>
      <c r="SVB12" s="416"/>
      <c r="SVC12" s="416"/>
      <c r="SVD12" s="416"/>
      <c r="SVE12" s="416"/>
      <c r="SVF12" s="416"/>
      <c r="SVG12" s="416"/>
      <c r="SVH12" s="416"/>
      <c r="SVI12" s="416"/>
      <c r="SVJ12" s="416"/>
      <c r="SVK12" s="416"/>
      <c r="SVL12" s="1008"/>
      <c r="SVM12" s="1396"/>
      <c r="SVN12" s="416"/>
      <c r="SVO12" s="416"/>
      <c r="SVP12" s="416"/>
      <c r="SVQ12" s="416"/>
      <c r="SVR12" s="416"/>
      <c r="SVS12" s="416"/>
      <c r="SVT12" s="416"/>
      <c r="SVU12" s="416"/>
      <c r="SVV12" s="416"/>
      <c r="SVW12" s="416"/>
      <c r="SVX12" s="1008"/>
      <c r="SVY12" s="1396"/>
      <c r="SVZ12" s="416"/>
      <c r="SWA12" s="416"/>
      <c r="SWB12" s="416"/>
      <c r="SWC12" s="416"/>
      <c r="SWD12" s="416"/>
      <c r="SWE12" s="416"/>
      <c r="SWF12" s="416"/>
      <c r="SWG12" s="416"/>
      <c r="SWH12" s="416"/>
      <c r="SWI12" s="416"/>
      <c r="SWJ12" s="1008"/>
      <c r="SWK12" s="1396"/>
      <c r="SWL12" s="416"/>
      <c r="SWM12" s="416"/>
      <c r="SWN12" s="416"/>
      <c r="SWO12" s="416"/>
      <c r="SWP12" s="416"/>
      <c r="SWQ12" s="416"/>
      <c r="SWR12" s="416"/>
      <c r="SWS12" s="416"/>
      <c r="SWT12" s="416"/>
      <c r="SWU12" s="416"/>
      <c r="SWV12" s="1008"/>
      <c r="SWW12" s="1396"/>
      <c r="SWX12" s="416"/>
      <c r="SWY12" s="416"/>
      <c r="SWZ12" s="416"/>
      <c r="SXA12" s="416"/>
      <c r="SXB12" s="416"/>
      <c r="SXC12" s="416"/>
      <c r="SXD12" s="416"/>
      <c r="SXE12" s="416"/>
      <c r="SXF12" s="416"/>
      <c r="SXG12" s="416"/>
      <c r="SXH12" s="1008"/>
      <c r="SXI12" s="1396"/>
      <c r="SXJ12" s="416"/>
      <c r="SXK12" s="416"/>
      <c r="SXL12" s="416"/>
      <c r="SXM12" s="416"/>
      <c r="SXN12" s="416"/>
      <c r="SXO12" s="416"/>
      <c r="SXP12" s="416"/>
      <c r="SXQ12" s="416"/>
      <c r="SXR12" s="416"/>
      <c r="SXS12" s="416"/>
      <c r="SXT12" s="1008"/>
      <c r="SXU12" s="1396"/>
      <c r="SXV12" s="416"/>
      <c r="SXW12" s="416"/>
      <c r="SXX12" s="416"/>
      <c r="SXY12" s="416"/>
      <c r="SXZ12" s="416"/>
      <c r="SYA12" s="416"/>
      <c r="SYB12" s="416"/>
      <c r="SYC12" s="416"/>
      <c r="SYD12" s="416"/>
      <c r="SYE12" s="416"/>
      <c r="SYF12" s="1008"/>
      <c r="SYG12" s="1396"/>
      <c r="SYH12" s="416"/>
      <c r="SYI12" s="416"/>
      <c r="SYJ12" s="416"/>
      <c r="SYK12" s="416"/>
      <c r="SYL12" s="416"/>
      <c r="SYM12" s="416"/>
      <c r="SYN12" s="416"/>
      <c r="SYO12" s="416"/>
      <c r="SYP12" s="416"/>
      <c r="SYQ12" s="416"/>
      <c r="SYR12" s="1008"/>
      <c r="SYS12" s="1396"/>
      <c r="SYT12" s="416"/>
      <c r="SYU12" s="416"/>
      <c r="SYV12" s="416"/>
      <c r="SYW12" s="416"/>
      <c r="SYX12" s="416"/>
      <c r="SYY12" s="416"/>
      <c r="SYZ12" s="416"/>
      <c r="SZA12" s="416"/>
      <c r="SZB12" s="416"/>
      <c r="SZC12" s="416"/>
      <c r="SZD12" s="1008"/>
      <c r="SZE12" s="1396"/>
      <c r="SZF12" s="416"/>
      <c r="SZG12" s="416"/>
      <c r="SZH12" s="416"/>
      <c r="SZI12" s="416"/>
      <c r="SZJ12" s="416"/>
      <c r="SZK12" s="416"/>
      <c r="SZL12" s="416"/>
      <c r="SZM12" s="416"/>
      <c r="SZN12" s="416"/>
      <c r="SZO12" s="416"/>
      <c r="SZP12" s="1008"/>
      <c r="SZQ12" s="1396"/>
      <c r="SZR12" s="416"/>
      <c r="SZS12" s="416"/>
      <c r="SZT12" s="416"/>
      <c r="SZU12" s="416"/>
      <c r="SZV12" s="416"/>
      <c r="SZW12" s="416"/>
      <c r="SZX12" s="416"/>
      <c r="SZY12" s="416"/>
      <c r="SZZ12" s="416"/>
      <c r="TAA12" s="416"/>
      <c r="TAB12" s="1008"/>
      <c r="TAC12" s="1396"/>
      <c r="TAD12" s="416"/>
      <c r="TAE12" s="416"/>
      <c r="TAF12" s="416"/>
      <c r="TAG12" s="416"/>
      <c r="TAH12" s="416"/>
      <c r="TAI12" s="416"/>
      <c r="TAJ12" s="416"/>
      <c r="TAK12" s="416"/>
      <c r="TAL12" s="416"/>
      <c r="TAM12" s="416"/>
      <c r="TAN12" s="1008"/>
      <c r="TAO12" s="1396"/>
      <c r="TAP12" s="416"/>
      <c r="TAQ12" s="416"/>
      <c r="TAR12" s="416"/>
      <c r="TAS12" s="416"/>
      <c r="TAT12" s="416"/>
      <c r="TAU12" s="416"/>
      <c r="TAV12" s="416"/>
      <c r="TAW12" s="416"/>
      <c r="TAX12" s="416"/>
      <c r="TAY12" s="416"/>
      <c r="TAZ12" s="1008"/>
      <c r="TBA12" s="1396"/>
      <c r="TBB12" s="416"/>
      <c r="TBC12" s="416"/>
      <c r="TBD12" s="416"/>
      <c r="TBE12" s="416"/>
      <c r="TBF12" s="416"/>
      <c r="TBG12" s="416"/>
      <c r="TBH12" s="416"/>
      <c r="TBI12" s="416"/>
      <c r="TBJ12" s="416"/>
      <c r="TBK12" s="416"/>
      <c r="TBL12" s="1008"/>
      <c r="TBM12" s="1396"/>
      <c r="TBN12" s="416"/>
      <c r="TBO12" s="416"/>
      <c r="TBP12" s="416"/>
      <c r="TBQ12" s="416"/>
      <c r="TBR12" s="416"/>
      <c r="TBS12" s="416"/>
      <c r="TBT12" s="416"/>
      <c r="TBU12" s="416"/>
      <c r="TBV12" s="416"/>
      <c r="TBW12" s="416"/>
      <c r="TBX12" s="1008"/>
      <c r="TBY12" s="1396"/>
      <c r="TBZ12" s="416"/>
      <c r="TCA12" s="416"/>
      <c r="TCB12" s="416"/>
      <c r="TCC12" s="416"/>
      <c r="TCD12" s="416"/>
      <c r="TCE12" s="416"/>
      <c r="TCF12" s="416"/>
      <c r="TCG12" s="416"/>
      <c r="TCH12" s="416"/>
      <c r="TCI12" s="416"/>
      <c r="TCJ12" s="1008"/>
      <c r="TCK12" s="1396"/>
      <c r="TCL12" s="416"/>
      <c r="TCM12" s="416"/>
      <c r="TCN12" s="416"/>
      <c r="TCO12" s="416"/>
      <c r="TCP12" s="416"/>
      <c r="TCQ12" s="416"/>
      <c r="TCR12" s="416"/>
      <c r="TCS12" s="416"/>
      <c r="TCT12" s="416"/>
      <c r="TCU12" s="416"/>
      <c r="TCV12" s="1008"/>
      <c r="TCW12" s="1396"/>
      <c r="TCX12" s="416"/>
      <c r="TCY12" s="416"/>
      <c r="TCZ12" s="416"/>
      <c r="TDA12" s="416"/>
      <c r="TDB12" s="416"/>
      <c r="TDC12" s="416"/>
      <c r="TDD12" s="416"/>
      <c r="TDE12" s="416"/>
      <c r="TDF12" s="416"/>
      <c r="TDG12" s="416"/>
      <c r="TDH12" s="1008"/>
      <c r="TDI12" s="1396"/>
      <c r="TDJ12" s="416"/>
      <c r="TDK12" s="416"/>
      <c r="TDL12" s="416"/>
      <c r="TDM12" s="416"/>
      <c r="TDN12" s="416"/>
      <c r="TDO12" s="416"/>
      <c r="TDP12" s="416"/>
      <c r="TDQ12" s="416"/>
      <c r="TDR12" s="416"/>
      <c r="TDS12" s="416"/>
      <c r="TDT12" s="1008"/>
      <c r="TDU12" s="1396"/>
      <c r="TDV12" s="416"/>
      <c r="TDW12" s="416"/>
      <c r="TDX12" s="416"/>
      <c r="TDY12" s="416"/>
      <c r="TDZ12" s="416"/>
      <c r="TEA12" s="416"/>
      <c r="TEB12" s="416"/>
      <c r="TEC12" s="416"/>
      <c r="TED12" s="416"/>
      <c r="TEE12" s="416"/>
      <c r="TEF12" s="1008"/>
      <c r="TEG12" s="1396"/>
      <c r="TEH12" s="416"/>
      <c r="TEI12" s="416"/>
      <c r="TEJ12" s="416"/>
      <c r="TEK12" s="416"/>
      <c r="TEL12" s="416"/>
      <c r="TEM12" s="416"/>
      <c r="TEN12" s="416"/>
      <c r="TEO12" s="416"/>
      <c r="TEP12" s="416"/>
      <c r="TEQ12" s="416"/>
      <c r="TER12" s="1008"/>
      <c r="TES12" s="1396"/>
      <c r="TET12" s="416"/>
      <c r="TEU12" s="416"/>
      <c r="TEV12" s="416"/>
      <c r="TEW12" s="416"/>
      <c r="TEX12" s="416"/>
      <c r="TEY12" s="416"/>
      <c r="TEZ12" s="416"/>
      <c r="TFA12" s="416"/>
      <c r="TFB12" s="416"/>
      <c r="TFC12" s="416"/>
      <c r="TFD12" s="1008"/>
      <c r="TFE12" s="1396"/>
      <c r="TFF12" s="416"/>
      <c r="TFG12" s="416"/>
      <c r="TFH12" s="416"/>
      <c r="TFI12" s="416"/>
      <c r="TFJ12" s="416"/>
      <c r="TFK12" s="416"/>
      <c r="TFL12" s="416"/>
      <c r="TFM12" s="416"/>
      <c r="TFN12" s="416"/>
      <c r="TFO12" s="416"/>
      <c r="TFP12" s="1008"/>
      <c r="TFQ12" s="1396"/>
      <c r="TFR12" s="416"/>
      <c r="TFS12" s="416"/>
      <c r="TFT12" s="416"/>
      <c r="TFU12" s="416"/>
      <c r="TFV12" s="416"/>
      <c r="TFW12" s="416"/>
      <c r="TFX12" s="416"/>
      <c r="TFY12" s="416"/>
      <c r="TFZ12" s="416"/>
      <c r="TGA12" s="416"/>
      <c r="TGB12" s="1008"/>
      <c r="TGC12" s="1396"/>
      <c r="TGD12" s="416"/>
      <c r="TGE12" s="416"/>
      <c r="TGF12" s="416"/>
      <c r="TGG12" s="416"/>
      <c r="TGH12" s="416"/>
      <c r="TGI12" s="416"/>
      <c r="TGJ12" s="416"/>
      <c r="TGK12" s="416"/>
      <c r="TGL12" s="416"/>
      <c r="TGM12" s="416"/>
      <c r="TGN12" s="1008"/>
      <c r="TGO12" s="1396"/>
      <c r="TGP12" s="416"/>
      <c r="TGQ12" s="416"/>
      <c r="TGR12" s="416"/>
      <c r="TGS12" s="416"/>
      <c r="TGT12" s="416"/>
      <c r="TGU12" s="416"/>
      <c r="TGV12" s="416"/>
      <c r="TGW12" s="416"/>
      <c r="TGX12" s="416"/>
      <c r="TGY12" s="416"/>
      <c r="TGZ12" s="1008"/>
      <c r="THA12" s="1396"/>
      <c r="THB12" s="416"/>
      <c r="THC12" s="416"/>
      <c r="THD12" s="416"/>
      <c r="THE12" s="416"/>
      <c r="THF12" s="416"/>
      <c r="THG12" s="416"/>
      <c r="THH12" s="416"/>
      <c r="THI12" s="416"/>
      <c r="THJ12" s="416"/>
      <c r="THK12" s="416"/>
      <c r="THL12" s="1008"/>
      <c r="THM12" s="1396"/>
      <c r="THN12" s="416"/>
      <c r="THO12" s="416"/>
      <c r="THP12" s="416"/>
      <c r="THQ12" s="416"/>
      <c r="THR12" s="416"/>
      <c r="THS12" s="416"/>
      <c r="THT12" s="416"/>
      <c r="THU12" s="416"/>
      <c r="THV12" s="416"/>
      <c r="THW12" s="416"/>
      <c r="THX12" s="1008"/>
      <c r="THY12" s="1396"/>
      <c r="THZ12" s="416"/>
      <c r="TIA12" s="416"/>
      <c r="TIB12" s="416"/>
      <c r="TIC12" s="416"/>
      <c r="TID12" s="416"/>
      <c r="TIE12" s="416"/>
      <c r="TIF12" s="416"/>
      <c r="TIG12" s="416"/>
      <c r="TIH12" s="416"/>
      <c r="TII12" s="416"/>
      <c r="TIJ12" s="1008"/>
      <c r="TIK12" s="1396"/>
      <c r="TIL12" s="416"/>
      <c r="TIM12" s="416"/>
      <c r="TIN12" s="416"/>
      <c r="TIO12" s="416"/>
      <c r="TIP12" s="416"/>
      <c r="TIQ12" s="416"/>
      <c r="TIR12" s="416"/>
      <c r="TIS12" s="416"/>
      <c r="TIT12" s="416"/>
      <c r="TIU12" s="416"/>
      <c r="TIV12" s="1008"/>
      <c r="TIW12" s="1396"/>
      <c r="TIX12" s="416"/>
      <c r="TIY12" s="416"/>
      <c r="TIZ12" s="416"/>
      <c r="TJA12" s="416"/>
      <c r="TJB12" s="416"/>
      <c r="TJC12" s="416"/>
      <c r="TJD12" s="416"/>
      <c r="TJE12" s="416"/>
      <c r="TJF12" s="416"/>
      <c r="TJG12" s="416"/>
      <c r="TJH12" s="1008"/>
      <c r="TJI12" s="1396"/>
      <c r="TJJ12" s="416"/>
      <c r="TJK12" s="416"/>
      <c r="TJL12" s="416"/>
      <c r="TJM12" s="416"/>
      <c r="TJN12" s="416"/>
      <c r="TJO12" s="416"/>
      <c r="TJP12" s="416"/>
      <c r="TJQ12" s="416"/>
      <c r="TJR12" s="416"/>
      <c r="TJS12" s="416"/>
      <c r="TJT12" s="1008"/>
      <c r="TJU12" s="1396"/>
      <c r="TJV12" s="416"/>
      <c r="TJW12" s="416"/>
      <c r="TJX12" s="416"/>
      <c r="TJY12" s="416"/>
      <c r="TJZ12" s="416"/>
      <c r="TKA12" s="416"/>
      <c r="TKB12" s="416"/>
      <c r="TKC12" s="416"/>
      <c r="TKD12" s="416"/>
      <c r="TKE12" s="416"/>
      <c r="TKF12" s="1008"/>
      <c r="TKG12" s="1396"/>
      <c r="TKH12" s="416"/>
      <c r="TKI12" s="416"/>
      <c r="TKJ12" s="416"/>
      <c r="TKK12" s="416"/>
      <c r="TKL12" s="416"/>
      <c r="TKM12" s="416"/>
      <c r="TKN12" s="416"/>
      <c r="TKO12" s="416"/>
      <c r="TKP12" s="416"/>
      <c r="TKQ12" s="416"/>
      <c r="TKR12" s="1008"/>
      <c r="TKS12" s="1396"/>
      <c r="TKT12" s="416"/>
      <c r="TKU12" s="416"/>
      <c r="TKV12" s="416"/>
      <c r="TKW12" s="416"/>
      <c r="TKX12" s="416"/>
      <c r="TKY12" s="416"/>
      <c r="TKZ12" s="416"/>
      <c r="TLA12" s="416"/>
      <c r="TLB12" s="416"/>
      <c r="TLC12" s="416"/>
      <c r="TLD12" s="1008"/>
      <c r="TLE12" s="1396"/>
      <c r="TLF12" s="416"/>
      <c r="TLG12" s="416"/>
      <c r="TLH12" s="416"/>
      <c r="TLI12" s="416"/>
      <c r="TLJ12" s="416"/>
      <c r="TLK12" s="416"/>
      <c r="TLL12" s="416"/>
      <c r="TLM12" s="416"/>
      <c r="TLN12" s="416"/>
      <c r="TLO12" s="416"/>
      <c r="TLP12" s="1008"/>
      <c r="TLQ12" s="1396"/>
      <c r="TLR12" s="416"/>
      <c r="TLS12" s="416"/>
      <c r="TLT12" s="416"/>
      <c r="TLU12" s="416"/>
      <c r="TLV12" s="416"/>
      <c r="TLW12" s="416"/>
      <c r="TLX12" s="416"/>
      <c r="TLY12" s="416"/>
      <c r="TLZ12" s="416"/>
      <c r="TMA12" s="416"/>
      <c r="TMB12" s="1008"/>
      <c r="TMC12" s="1396"/>
      <c r="TMD12" s="416"/>
      <c r="TME12" s="416"/>
      <c r="TMF12" s="416"/>
      <c r="TMG12" s="416"/>
      <c r="TMH12" s="416"/>
      <c r="TMI12" s="416"/>
      <c r="TMJ12" s="416"/>
      <c r="TMK12" s="416"/>
      <c r="TML12" s="416"/>
      <c r="TMM12" s="416"/>
      <c r="TMN12" s="1008"/>
      <c r="TMO12" s="1396"/>
      <c r="TMP12" s="416"/>
      <c r="TMQ12" s="416"/>
      <c r="TMR12" s="416"/>
      <c r="TMS12" s="416"/>
      <c r="TMT12" s="416"/>
      <c r="TMU12" s="416"/>
      <c r="TMV12" s="416"/>
      <c r="TMW12" s="416"/>
      <c r="TMX12" s="416"/>
      <c r="TMY12" s="416"/>
      <c r="TMZ12" s="1008"/>
      <c r="TNA12" s="1396"/>
      <c r="TNB12" s="416"/>
      <c r="TNC12" s="416"/>
      <c r="TND12" s="416"/>
      <c r="TNE12" s="416"/>
      <c r="TNF12" s="416"/>
      <c r="TNG12" s="416"/>
      <c r="TNH12" s="416"/>
      <c r="TNI12" s="416"/>
      <c r="TNJ12" s="416"/>
      <c r="TNK12" s="416"/>
      <c r="TNL12" s="1008"/>
      <c r="TNM12" s="1396"/>
      <c r="TNN12" s="416"/>
      <c r="TNO12" s="416"/>
      <c r="TNP12" s="416"/>
      <c r="TNQ12" s="416"/>
      <c r="TNR12" s="416"/>
      <c r="TNS12" s="416"/>
      <c r="TNT12" s="416"/>
      <c r="TNU12" s="416"/>
      <c r="TNV12" s="416"/>
      <c r="TNW12" s="416"/>
      <c r="TNX12" s="1008"/>
      <c r="TNY12" s="1396"/>
      <c r="TNZ12" s="416"/>
      <c r="TOA12" s="416"/>
      <c r="TOB12" s="416"/>
      <c r="TOC12" s="416"/>
      <c r="TOD12" s="416"/>
      <c r="TOE12" s="416"/>
      <c r="TOF12" s="416"/>
      <c r="TOG12" s="416"/>
      <c r="TOH12" s="416"/>
      <c r="TOI12" s="416"/>
      <c r="TOJ12" s="1008"/>
      <c r="TOK12" s="1396"/>
      <c r="TOL12" s="416"/>
      <c r="TOM12" s="416"/>
      <c r="TON12" s="416"/>
      <c r="TOO12" s="416"/>
      <c r="TOP12" s="416"/>
      <c r="TOQ12" s="416"/>
      <c r="TOR12" s="416"/>
      <c r="TOS12" s="416"/>
      <c r="TOT12" s="416"/>
      <c r="TOU12" s="416"/>
      <c r="TOV12" s="1008"/>
      <c r="TOW12" s="1396"/>
      <c r="TOX12" s="416"/>
      <c r="TOY12" s="416"/>
      <c r="TOZ12" s="416"/>
      <c r="TPA12" s="416"/>
      <c r="TPB12" s="416"/>
      <c r="TPC12" s="416"/>
      <c r="TPD12" s="416"/>
      <c r="TPE12" s="416"/>
      <c r="TPF12" s="416"/>
      <c r="TPG12" s="416"/>
      <c r="TPH12" s="1008"/>
      <c r="TPI12" s="1396"/>
      <c r="TPJ12" s="416"/>
      <c r="TPK12" s="416"/>
      <c r="TPL12" s="416"/>
      <c r="TPM12" s="416"/>
      <c r="TPN12" s="416"/>
      <c r="TPO12" s="416"/>
      <c r="TPP12" s="416"/>
      <c r="TPQ12" s="416"/>
      <c r="TPR12" s="416"/>
      <c r="TPS12" s="416"/>
      <c r="TPT12" s="1008"/>
      <c r="TPU12" s="1396"/>
      <c r="TPV12" s="416"/>
      <c r="TPW12" s="416"/>
      <c r="TPX12" s="416"/>
      <c r="TPY12" s="416"/>
      <c r="TPZ12" s="416"/>
      <c r="TQA12" s="416"/>
      <c r="TQB12" s="416"/>
      <c r="TQC12" s="416"/>
      <c r="TQD12" s="416"/>
      <c r="TQE12" s="416"/>
      <c r="TQF12" s="1008"/>
      <c r="TQG12" s="1396"/>
      <c r="TQH12" s="416"/>
      <c r="TQI12" s="416"/>
      <c r="TQJ12" s="416"/>
      <c r="TQK12" s="416"/>
      <c r="TQL12" s="416"/>
      <c r="TQM12" s="416"/>
      <c r="TQN12" s="416"/>
      <c r="TQO12" s="416"/>
      <c r="TQP12" s="416"/>
      <c r="TQQ12" s="416"/>
      <c r="TQR12" s="1008"/>
      <c r="TQS12" s="1396"/>
      <c r="TQT12" s="416"/>
      <c r="TQU12" s="416"/>
      <c r="TQV12" s="416"/>
      <c r="TQW12" s="416"/>
      <c r="TQX12" s="416"/>
      <c r="TQY12" s="416"/>
      <c r="TQZ12" s="416"/>
      <c r="TRA12" s="416"/>
      <c r="TRB12" s="416"/>
      <c r="TRC12" s="416"/>
      <c r="TRD12" s="1008"/>
      <c r="TRE12" s="1396"/>
      <c r="TRF12" s="416"/>
      <c r="TRG12" s="416"/>
      <c r="TRH12" s="416"/>
      <c r="TRI12" s="416"/>
      <c r="TRJ12" s="416"/>
      <c r="TRK12" s="416"/>
      <c r="TRL12" s="416"/>
      <c r="TRM12" s="416"/>
      <c r="TRN12" s="416"/>
      <c r="TRO12" s="416"/>
      <c r="TRP12" s="1008"/>
      <c r="TRQ12" s="1396"/>
      <c r="TRR12" s="416"/>
      <c r="TRS12" s="416"/>
      <c r="TRT12" s="416"/>
      <c r="TRU12" s="416"/>
      <c r="TRV12" s="416"/>
      <c r="TRW12" s="416"/>
      <c r="TRX12" s="416"/>
      <c r="TRY12" s="416"/>
      <c r="TRZ12" s="416"/>
      <c r="TSA12" s="416"/>
      <c r="TSB12" s="1008"/>
      <c r="TSC12" s="1396"/>
      <c r="TSD12" s="416"/>
      <c r="TSE12" s="416"/>
      <c r="TSF12" s="416"/>
      <c r="TSG12" s="416"/>
      <c r="TSH12" s="416"/>
      <c r="TSI12" s="416"/>
      <c r="TSJ12" s="416"/>
      <c r="TSK12" s="416"/>
      <c r="TSL12" s="416"/>
      <c r="TSM12" s="416"/>
      <c r="TSN12" s="1008"/>
      <c r="TSO12" s="1396"/>
      <c r="TSP12" s="416"/>
      <c r="TSQ12" s="416"/>
      <c r="TSR12" s="416"/>
      <c r="TSS12" s="416"/>
      <c r="TST12" s="416"/>
      <c r="TSU12" s="416"/>
      <c r="TSV12" s="416"/>
      <c r="TSW12" s="416"/>
      <c r="TSX12" s="416"/>
      <c r="TSY12" s="416"/>
      <c r="TSZ12" s="1008"/>
      <c r="TTA12" s="1396"/>
      <c r="TTB12" s="416"/>
      <c r="TTC12" s="416"/>
      <c r="TTD12" s="416"/>
      <c r="TTE12" s="416"/>
      <c r="TTF12" s="416"/>
      <c r="TTG12" s="416"/>
      <c r="TTH12" s="416"/>
      <c r="TTI12" s="416"/>
      <c r="TTJ12" s="416"/>
      <c r="TTK12" s="416"/>
      <c r="TTL12" s="1008"/>
      <c r="TTM12" s="1396"/>
      <c r="TTN12" s="416"/>
      <c r="TTO12" s="416"/>
      <c r="TTP12" s="416"/>
      <c r="TTQ12" s="416"/>
      <c r="TTR12" s="416"/>
      <c r="TTS12" s="416"/>
      <c r="TTT12" s="416"/>
      <c r="TTU12" s="416"/>
      <c r="TTV12" s="416"/>
      <c r="TTW12" s="416"/>
      <c r="TTX12" s="1008"/>
      <c r="TTY12" s="1396"/>
      <c r="TTZ12" s="416"/>
      <c r="TUA12" s="416"/>
      <c r="TUB12" s="416"/>
      <c r="TUC12" s="416"/>
      <c r="TUD12" s="416"/>
      <c r="TUE12" s="416"/>
      <c r="TUF12" s="416"/>
      <c r="TUG12" s="416"/>
      <c r="TUH12" s="416"/>
      <c r="TUI12" s="416"/>
      <c r="TUJ12" s="1008"/>
      <c r="TUK12" s="1396"/>
      <c r="TUL12" s="416"/>
      <c r="TUM12" s="416"/>
      <c r="TUN12" s="416"/>
      <c r="TUO12" s="416"/>
      <c r="TUP12" s="416"/>
      <c r="TUQ12" s="416"/>
      <c r="TUR12" s="416"/>
      <c r="TUS12" s="416"/>
      <c r="TUT12" s="416"/>
      <c r="TUU12" s="416"/>
      <c r="TUV12" s="1008"/>
      <c r="TUW12" s="1396"/>
      <c r="TUX12" s="416"/>
      <c r="TUY12" s="416"/>
      <c r="TUZ12" s="416"/>
      <c r="TVA12" s="416"/>
      <c r="TVB12" s="416"/>
      <c r="TVC12" s="416"/>
      <c r="TVD12" s="416"/>
      <c r="TVE12" s="416"/>
      <c r="TVF12" s="416"/>
      <c r="TVG12" s="416"/>
      <c r="TVH12" s="1008"/>
      <c r="TVI12" s="1396"/>
      <c r="TVJ12" s="416"/>
      <c r="TVK12" s="416"/>
      <c r="TVL12" s="416"/>
      <c r="TVM12" s="416"/>
      <c r="TVN12" s="416"/>
      <c r="TVO12" s="416"/>
      <c r="TVP12" s="416"/>
      <c r="TVQ12" s="416"/>
      <c r="TVR12" s="416"/>
      <c r="TVS12" s="416"/>
      <c r="TVT12" s="1008"/>
      <c r="TVU12" s="1396"/>
      <c r="TVV12" s="416"/>
      <c r="TVW12" s="416"/>
      <c r="TVX12" s="416"/>
      <c r="TVY12" s="416"/>
      <c r="TVZ12" s="416"/>
      <c r="TWA12" s="416"/>
      <c r="TWB12" s="416"/>
      <c r="TWC12" s="416"/>
      <c r="TWD12" s="416"/>
      <c r="TWE12" s="416"/>
      <c r="TWF12" s="1008"/>
      <c r="TWG12" s="1396"/>
      <c r="TWH12" s="416"/>
      <c r="TWI12" s="416"/>
      <c r="TWJ12" s="416"/>
      <c r="TWK12" s="416"/>
      <c r="TWL12" s="416"/>
      <c r="TWM12" s="416"/>
      <c r="TWN12" s="416"/>
      <c r="TWO12" s="416"/>
      <c r="TWP12" s="416"/>
      <c r="TWQ12" s="416"/>
      <c r="TWR12" s="1008"/>
      <c r="TWS12" s="1396"/>
      <c r="TWT12" s="416"/>
      <c r="TWU12" s="416"/>
      <c r="TWV12" s="416"/>
      <c r="TWW12" s="416"/>
      <c r="TWX12" s="416"/>
      <c r="TWY12" s="416"/>
      <c r="TWZ12" s="416"/>
      <c r="TXA12" s="416"/>
      <c r="TXB12" s="416"/>
      <c r="TXC12" s="416"/>
      <c r="TXD12" s="1008"/>
      <c r="TXE12" s="1396"/>
      <c r="TXF12" s="416"/>
      <c r="TXG12" s="416"/>
      <c r="TXH12" s="416"/>
      <c r="TXI12" s="416"/>
      <c r="TXJ12" s="416"/>
      <c r="TXK12" s="416"/>
      <c r="TXL12" s="416"/>
      <c r="TXM12" s="416"/>
      <c r="TXN12" s="416"/>
      <c r="TXO12" s="416"/>
      <c r="TXP12" s="1008"/>
      <c r="TXQ12" s="1396"/>
      <c r="TXR12" s="416"/>
      <c r="TXS12" s="416"/>
      <c r="TXT12" s="416"/>
      <c r="TXU12" s="416"/>
      <c r="TXV12" s="416"/>
      <c r="TXW12" s="416"/>
      <c r="TXX12" s="416"/>
      <c r="TXY12" s="416"/>
      <c r="TXZ12" s="416"/>
      <c r="TYA12" s="416"/>
      <c r="TYB12" s="1008"/>
      <c r="TYC12" s="1396"/>
      <c r="TYD12" s="416"/>
      <c r="TYE12" s="416"/>
      <c r="TYF12" s="416"/>
      <c r="TYG12" s="416"/>
      <c r="TYH12" s="416"/>
      <c r="TYI12" s="416"/>
      <c r="TYJ12" s="416"/>
      <c r="TYK12" s="416"/>
      <c r="TYL12" s="416"/>
      <c r="TYM12" s="416"/>
      <c r="TYN12" s="1008"/>
      <c r="TYO12" s="1396"/>
      <c r="TYP12" s="416"/>
      <c r="TYQ12" s="416"/>
      <c r="TYR12" s="416"/>
      <c r="TYS12" s="416"/>
      <c r="TYT12" s="416"/>
      <c r="TYU12" s="416"/>
      <c r="TYV12" s="416"/>
      <c r="TYW12" s="416"/>
      <c r="TYX12" s="416"/>
      <c r="TYY12" s="416"/>
      <c r="TYZ12" s="1008"/>
      <c r="TZA12" s="1396"/>
      <c r="TZB12" s="416"/>
      <c r="TZC12" s="416"/>
      <c r="TZD12" s="416"/>
      <c r="TZE12" s="416"/>
      <c r="TZF12" s="416"/>
      <c r="TZG12" s="416"/>
      <c r="TZH12" s="416"/>
      <c r="TZI12" s="416"/>
      <c r="TZJ12" s="416"/>
      <c r="TZK12" s="416"/>
      <c r="TZL12" s="1008"/>
      <c r="TZM12" s="1396"/>
      <c r="TZN12" s="416"/>
      <c r="TZO12" s="416"/>
      <c r="TZP12" s="416"/>
      <c r="TZQ12" s="416"/>
      <c r="TZR12" s="416"/>
      <c r="TZS12" s="416"/>
      <c r="TZT12" s="416"/>
      <c r="TZU12" s="416"/>
      <c r="TZV12" s="416"/>
      <c r="TZW12" s="416"/>
      <c r="TZX12" s="1008"/>
      <c r="TZY12" s="1396"/>
      <c r="TZZ12" s="416"/>
      <c r="UAA12" s="416"/>
      <c r="UAB12" s="416"/>
      <c r="UAC12" s="416"/>
      <c r="UAD12" s="416"/>
      <c r="UAE12" s="416"/>
      <c r="UAF12" s="416"/>
      <c r="UAG12" s="416"/>
      <c r="UAH12" s="416"/>
      <c r="UAI12" s="416"/>
      <c r="UAJ12" s="1008"/>
      <c r="UAK12" s="1396"/>
      <c r="UAL12" s="416"/>
      <c r="UAM12" s="416"/>
      <c r="UAN12" s="416"/>
      <c r="UAO12" s="416"/>
      <c r="UAP12" s="416"/>
      <c r="UAQ12" s="416"/>
      <c r="UAR12" s="416"/>
      <c r="UAS12" s="416"/>
      <c r="UAT12" s="416"/>
      <c r="UAU12" s="416"/>
      <c r="UAV12" s="1008"/>
      <c r="UAW12" s="1396"/>
      <c r="UAX12" s="416"/>
      <c r="UAY12" s="416"/>
      <c r="UAZ12" s="416"/>
      <c r="UBA12" s="416"/>
      <c r="UBB12" s="416"/>
      <c r="UBC12" s="416"/>
      <c r="UBD12" s="416"/>
      <c r="UBE12" s="416"/>
      <c r="UBF12" s="416"/>
      <c r="UBG12" s="416"/>
      <c r="UBH12" s="1008"/>
      <c r="UBI12" s="1396"/>
      <c r="UBJ12" s="416"/>
      <c r="UBK12" s="416"/>
      <c r="UBL12" s="416"/>
      <c r="UBM12" s="416"/>
      <c r="UBN12" s="416"/>
      <c r="UBO12" s="416"/>
      <c r="UBP12" s="416"/>
      <c r="UBQ12" s="416"/>
      <c r="UBR12" s="416"/>
      <c r="UBS12" s="416"/>
      <c r="UBT12" s="1008"/>
      <c r="UBU12" s="1396"/>
      <c r="UBV12" s="416"/>
      <c r="UBW12" s="416"/>
      <c r="UBX12" s="416"/>
      <c r="UBY12" s="416"/>
      <c r="UBZ12" s="416"/>
      <c r="UCA12" s="416"/>
      <c r="UCB12" s="416"/>
      <c r="UCC12" s="416"/>
      <c r="UCD12" s="416"/>
      <c r="UCE12" s="416"/>
      <c r="UCF12" s="1008"/>
      <c r="UCG12" s="1396"/>
      <c r="UCH12" s="416"/>
      <c r="UCI12" s="416"/>
      <c r="UCJ12" s="416"/>
      <c r="UCK12" s="416"/>
      <c r="UCL12" s="416"/>
      <c r="UCM12" s="416"/>
      <c r="UCN12" s="416"/>
      <c r="UCO12" s="416"/>
      <c r="UCP12" s="416"/>
      <c r="UCQ12" s="416"/>
      <c r="UCR12" s="1008"/>
      <c r="UCS12" s="1396"/>
      <c r="UCT12" s="416"/>
      <c r="UCU12" s="416"/>
      <c r="UCV12" s="416"/>
      <c r="UCW12" s="416"/>
      <c r="UCX12" s="416"/>
      <c r="UCY12" s="416"/>
      <c r="UCZ12" s="416"/>
      <c r="UDA12" s="416"/>
      <c r="UDB12" s="416"/>
      <c r="UDC12" s="416"/>
      <c r="UDD12" s="1008"/>
      <c r="UDE12" s="1396"/>
      <c r="UDF12" s="416"/>
      <c r="UDG12" s="416"/>
      <c r="UDH12" s="416"/>
      <c r="UDI12" s="416"/>
      <c r="UDJ12" s="416"/>
      <c r="UDK12" s="416"/>
      <c r="UDL12" s="416"/>
      <c r="UDM12" s="416"/>
      <c r="UDN12" s="416"/>
      <c r="UDO12" s="416"/>
      <c r="UDP12" s="1008"/>
      <c r="UDQ12" s="1396"/>
      <c r="UDR12" s="416"/>
      <c r="UDS12" s="416"/>
      <c r="UDT12" s="416"/>
      <c r="UDU12" s="416"/>
      <c r="UDV12" s="416"/>
      <c r="UDW12" s="416"/>
      <c r="UDX12" s="416"/>
      <c r="UDY12" s="416"/>
      <c r="UDZ12" s="416"/>
      <c r="UEA12" s="416"/>
      <c r="UEB12" s="1008"/>
      <c r="UEC12" s="1396"/>
      <c r="UED12" s="416"/>
      <c r="UEE12" s="416"/>
      <c r="UEF12" s="416"/>
      <c r="UEG12" s="416"/>
      <c r="UEH12" s="416"/>
      <c r="UEI12" s="416"/>
      <c r="UEJ12" s="416"/>
      <c r="UEK12" s="416"/>
      <c r="UEL12" s="416"/>
      <c r="UEM12" s="416"/>
      <c r="UEN12" s="1008"/>
      <c r="UEO12" s="1396"/>
      <c r="UEP12" s="416"/>
      <c r="UEQ12" s="416"/>
      <c r="UER12" s="416"/>
      <c r="UES12" s="416"/>
      <c r="UET12" s="416"/>
      <c r="UEU12" s="416"/>
      <c r="UEV12" s="416"/>
      <c r="UEW12" s="416"/>
      <c r="UEX12" s="416"/>
      <c r="UEY12" s="416"/>
      <c r="UEZ12" s="1008"/>
      <c r="UFA12" s="1396"/>
      <c r="UFB12" s="416"/>
      <c r="UFC12" s="416"/>
      <c r="UFD12" s="416"/>
      <c r="UFE12" s="416"/>
      <c r="UFF12" s="416"/>
      <c r="UFG12" s="416"/>
      <c r="UFH12" s="416"/>
      <c r="UFI12" s="416"/>
      <c r="UFJ12" s="416"/>
      <c r="UFK12" s="416"/>
      <c r="UFL12" s="1008"/>
      <c r="UFM12" s="1396"/>
      <c r="UFN12" s="416"/>
      <c r="UFO12" s="416"/>
      <c r="UFP12" s="416"/>
      <c r="UFQ12" s="416"/>
      <c r="UFR12" s="416"/>
      <c r="UFS12" s="416"/>
      <c r="UFT12" s="416"/>
      <c r="UFU12" s="416"/>
      <c r="UFV12" s="416"/>
      <c r="UFW12" s="416"/>
      <c r="UFX12" s="1008"/>
      <c r="UFY12" s="1396"/>
      <c r="UFZ12" s="416"/>
      <c r="UGA12" s="416"/>
      <c r="UGB12" s="416"/>
      <c r="UGC12" s="416"/>
      <c r="UGD12" s="416"/>
      <c r="UGE12" s="416"/>
      <c r="UGF12" s="416"/>
      <c r="UGG12" s="416"/>
      <c r="UGH12" s="416"/>
      <c r="UGI12" s="416"/>
      <c r="UGJ12" s="1008"/>
      <c r="UGK12" s="1396"/>
      <c r="UGL12" s="416"/>
      <c r="UGM12" s="416"/>
      <c r="UGN12" s="416"/>
      <c r="UGO12" s="416"/>
      <c r="UGP12" s="416"/>
      <c r="UGQ12" s="416"/>
      <c r="UGR12" s="416"/>
      <c r="UGS12" s="416"/>
      <c r="UGT12" s="416"/>
      <c r="UGU12" s="416"/>
      <c r="UGV12" s="1008"/>
      <c r="UGW12" s="1396"/>
      <c r="UGX12" s="416"/>
      <c r="UGY12" s="416"/>
      <c r="UGZ12" s="416"/>
      <c r="UHA12" s="416"/>
      <c r="UHB12" s="416"/>
      <c r="UHC12" s="416"/>
      <c r="UHD12" s="416"/>
      <c r="UHE12" s="416"/>
      <c r="UHF12" s="416"/>
      <c r="UHG12" s="416"/>
      <c r="UHH12" s="1008"/>
      <c r="UHI12" s="1396"/>
      <c r="UHJ12" s="416"/>
      <c r="UHK12" s="416"/>
      <c r="UHL12" s="416"/>
      <c r="UHM12" s="416"/>
      <c r="UHN12" s="416"/>
      <c r="UHO12" s="416"/>
      <c r="UHP12" s="416"/>
      <c r="UHQ12" s="416"/>
      <c r="UHR12" s="416"/>
      <c r="UHS12" s="416"/>
      <c r="UHT12" s="1008"/>
      <c r="UHU12" s="1396"/>
      <c r="UHV12" s="416"/>
      <c r="UHW12" s="416"/>
      <c r="UHX12" s="416"/>
      <c r="UHY12" s="416"/>
      <c r="UHZ12" s="416"/>
      <c r="UIA12" s="416"/>
      <c r="UIB12" s="416"/>
      <c r="UIC12" s="416"/>
      <c r="UID12" s="416"/>
      <c r="UIE12" s="416"/>
      <c r="UIF12" s="1008"/>
      <c r="UIG12" s="1396"/>
      <c r="UIH12" s="416"/>
      <c r="UII12" s="416"/>
      <c r="UIJ12" s="416"/>
      <c r="UIK12" s="416"/>
      <c r="UIL12" s="416"/>
      <c r="UIM12" s="416"/>
      <c r="UIN12" s="416"/>
      <c r="UIO12" s="416"/>
      <c r="UIP12" s="416"/>
      <c r="UIQ12" s="416"/>
      <c r="UIR12" s="1008"/>
      <c r="UIS12" s="1396"/>
      <c r="UIT12" s="416"/>
      <c r="UIU12" s="416"/>
      <c r="UIV12" s="416"/>
      <c r="UIW12" s="416"/>
      <c r="UIX12" s="416"/>
      <c r="UIY12" s="416"/>
      <c r="UIZ12" s="416"/>
      <c r="UJA12" s="416"/>
      <c r="UJB12" s="416"/>
      <c r="UJC12" s="416"/>
      <c r="UJD12" s="1008"/>
      <c r="UJE12" s="1396"/>
      <c r="UJF12" s="416"/>
      <c r="UJG12" s="416"/>
      <c r="UJH12" s="416"/>
      <c r="UJI12" s="416"/>
      <c r="UJJ12" s="416"/>
      <c r="UJK12" s="416"/>
      <c r="UJL12" s="416"/>
      <c r="UJM12" s="416"/>
      <c r="UJN12" s="416"/>
      <c r="UJO12" s="416"/>
      <c r="UJP12" s="1008"/>
      <c r="UJQ12" s="1396"/>
      <c r="UJR12" s="416"/>
      <c r="UJS12" s="416"/>
      <c r="UJT12" s="416"/>
      <c r="UJU12" s="416"/>
      <c r="UJV12" s="416"/>
      <c r="UJW12" s="416"/>
      <c r="UJX12" s="416"/>
      <c r="UJY12" s="416"/>
      <c r="UJZ12" s="416"/>
      <c r="UKA12" s="416"/>
      <c r="UKB12" s="1008"/>
      <c r="UKC12" s="1396"/>
      <c r="UKD12" s="416"/>
      <c r="UKE12" s="416"/>
      <c r="UKF12" s="416"/>
      <c r="UKG12" s="416"/>
      <c r="UKH12" s="416"/>
      <c r="UKI12" s="416"/>
      <c r="UKJ12" s="416"/>
      <c r="UKK12" s="416"/>
      <c r="UKL12" s="416"/>
      <c r="UKM12" s="416"/>
      <c r="UKN12" s="1008"/>
      <c r="UKO12" s="1396"/>
      <c r="UKP12" s="416"/>
      <c r="UKQ12" s="416"/>
      <c r="UKR12" s="416"/>
      <c r="UKS12" s="416"/>
      <c r="UKT12" s="416"/>
      <c r="UKU12" s="416"/>
      <c r="UKV12" s="416"/>
      <c r="UKW12" s="416"/>
      <c r="UKX12" s="416"/>
      <c r="UKY12" s="416"/>
      <c r="UKZ12" s="1008"/>
      <c r="ULA12" s="1396"/>
      <c r="ULB12" s="416"/>
      <c r="ULC12" s="416"/>
      <c r="ULD12" s="416"/>
      <c r="ULE12" s="416"/>
      <c r="ULF12" s="416"/>
      <c r="ULG12" s="416"/>
      <c r="ULH12" s="416"/>
      <c r="ULI12" s="416"/>
      <c r="ULJ12" s="416"/>
      <c r="ULK12" s="416"/>
      <c r="ULL12" s="1008"/>
      <c r="ULM12" s="1396"/>
      <c r="ULN12" s="416"/>
      <c r="ULO12" s="416"/>
      <c r="ULP12" s="416"/>
      <c r="ULQ12" s="416"/>
      <c r="ULR12" s="416"/>
      <c r="ULS12" s="416"/>
      <c r="ULT12" s="416"/>
      <c r="ULU12" s="416"/>
      <c r="ULV12" s="416"/>
      <c r="ULW12" s="416"/>
      <c r="ULX12" s="1008"/>
      <c r="ULY12" s="1396"/>
      <c r="ULZ12" s="416"/>
      <c r="UMA12" s="416"/>
      <c r="UMB12" s="416"/>
      <c r="UMC12" s="416"/>
      <c r="UMD12" s="416"/>
      <c r="UME12" s="416"/>
      <c r="UMF12" s="416"/>
      <c r="UMG12" s="416"/>
      <c r="UMH12" s="416"/>
      <c r="UMI12" s="416"/>
      <c r="UMJ12" s="1008"/>
      <c r="UMK12" s="1396"/>
      <c r="UML12" s="416"/>
      <c r="UMM12" s="416"/>
      <c r="UMN12" s="416"/>
      <c r="UMO12" s="416"/>
      <c r="UMP12" s="416"/>
      <c r="UMQ12" s="416"/>
      <c r="UMR12" s="416"/>
      <c r="UMS12" s="416"/>
      <c r="UMT12" s="416"/>
      <c r="UMU12" s="416"/>
      <c r="UMV12" s="1008"/>
      <c r="UMW12" s="1396"/>
      <c r="UMX12" s="416"/>
      <c r="UMY12" s="416"/>
      <c r="UMZ12" s="416"/>
      <c r="UNA12" s="416"/>
      <c r="UNB12" s="416"/>
      <c r="UNC12" s="416"/>
      <c r="UND12" s="416"/>
      <c r="UNE12" s="416"/>
      <c r="UNF12" s="416"/>
      <c r="UNG12" s="416"/>
      <c r="UNH12" s="1008"/>
      <c r="UNI12" s="1396"/>
      <c r="UNJ12" s="416"/>
      <c r="UNK12" s="416"/>
      <c r="UNL12" s="416"/>
      <c r="UNM12" s="416"/>
      <c r="UNN12" s="416"/>
      <c r="UNO12" s="416"/>
      <c r="UNP12" s="416"/>
      <c r="UNQ12" s="416"/>
      <c r="UNR12" s="416"/>
      <c r="UNS12" s="416"/>
      <c r="UNT12" s="1008"/>
      <c r="UNU12" s="1396"/>
      <c r="UNV12" s="416"/>
      <c r="UNW12" s="416"/>
      <c r="UNX12" s="416"/>
      <c r="UNY12" s="416"/>
      <c r="UNZ12" s="416"/>
      <c r="UOA12" s="416"/>
      <c r="UOB12" s="416"/>
      <c r="UOC12" s="416"/>
      <c r="UOD12" s="416"/>
      <c r="UOE12" s="416"/>
      <c r="UOF12" s="1008"/>
      <c r="UOG12" s="1396"/>
      <c r="UOH12" s="416"/>
      <c r="UOI12" s="416"/>
      <c r="UOJ12" s="416"/>
      <c r="UOK12" s="416"/>
      <c r="UOL12" s="416"/>
      <c r="UOM12" s="416"/>
      <c r="UON12" s="416"/>
      <c r="UOO12" s="416"/>
      <c r="UOP12" s="416"/>
      <c r="UOQ12" s="416"/>
      <c r="UOR12" s="1008"/>
      <c r="UOS12" s="1396"/>
      <c r="UOT12" s="416"/>
      <c r="UOU12" s="416"/>
      <c r="UOV12" s="416"/>
      <c r="UOW12" s="416"/>
      <c r="UOX12" s="416"/>
      <c r="UOY12" s="416"/>
      <c r="UOZ12" s="416"/>
      <c r="UPA12" s="416"/>
      <c r="UPB12" s="416"/>
      <c r="UPC12" s="416"/>
      <c r="UPD12" s="1008"/>
      <c r="UPE12" s="1396"/>
      <c r="UPF12" s="416"/>
      <c r="UPG12" s="416"/>
      <c r="UPH12" s="416"/>
      <c r="UPI12" s="416"/>
      <c r="UPJ12" s="416"/>
      <c r="UPK12" s="416"/>
      <c r="UPL12" s="416"/>
      <c r="UPM12" s="416"/>
      <c r="UPN12" s="416"/>
      <c r="UPO12" s="416"/>
      <c r="UPP12" s="1008"/>
      <c r="UPQ12" s="1396"/>
      <c r="UPR12" s="416"/>
      <c r="UPS12" s="416"/>
      <c r="UPT12" s="416"/>
      <c r="UPU12" s="416"/>
      <c r="UPV12" s="416"/>
      <c r="UPW12" s="416"/>
      <c r="UPX12" s="416"/>
      <c r="UPY12" s="416"/>
      <c r="UPZ12" s="416"/>
      <c r="UQA12" s="416"/>
      <c r="UQB12" s="1008"/>
      <c r="UQC12" s="1396"/>
      <c r="UQD12" s="416"/>
      <c r="UQE12" s="416"/>
      <c r="UQF12" s="416"/>
      <c r="UQG12" s="416"/>
      <c r="UQH12" s="416"/>
      <c r="UQI12" s="416"/>
      <c r="UQJ12" s="416"/>
      <c r="UQK12" s="416"/>
      <c r="UQL12" s="416"/>
      <c r="UQM12" s="416"/>
      <c r="UQN12" s="1008"/>
      <c r="UQO12" s="1396"/>
      <c r="UQP12" s="416"/>
      <c r="UQQ12" s="416"/>
      <c r="UQR12" s="416"/>
      <c r="UQS12" s="416"/>
      <c r="UQT12" s="416"/>
      <c r="UQU12" s="416"/>
      <c r="UQV12" s="416"/>
      <c r="UQW12" s="416"/>
      <c r="UQX12" s="416"/>
      <c r="UQY12" s="416"/>
      <c r="UQZ12" s="1008"/>
      <c r="URA12" s="1396"/>
      <c r="URB12" s="416"/>
      <c r="URC12" s="416"/>
      <c r="URD12" s="416"/>
      <c r="URE12" s="416"/>
      <c r="URF12" s="416"/>
      <c r="URG12" s="416"/>
      <c r="URH12" s="416"/>
      <c r="URI12" s="416"/>
      <c r="URJ12" s="416"/>
      <c r="URK12" s="416"/>
      <c r="URL12" s="1008"/>
      <c r="URM12" s="1396"/>
      <c r="URN12" s="416"/>
      <c r="URO12" s="416"/>
      <c r="URP12" s="416"/>
      <c r="URQ12" s="416"/>
      <c r="URR12" s="416"/>
      <c r="URS12" s="416"/>
      <c r="URT12" s="416"/>
      <c r="URU12" s="416"/>
      <c r="URV12" s="416"/>
      <c r="URW12" s="416"/>
      <c r="URX12" s="1008"/>
      <c r="URY12" s="1396"/>
      <c r="URZ12" s="416"/>
      <c r="USA12" s="416"/>
      <c r="USB12" s="416"/>
      <c r="USC12" s="416"/>
      <c r="USD12" s="416"/>
      <c r="USE12" s="416"/>
      <c r="USF12" s="416"/>
      <c r="USG12" s="416"/>
      <c r="USH12" s="416"/>
      <c r="USI12" s="416"/>
      <c r="USJ12" s="1008"/>
      <c r="USK12" s="1396"/>
      <c r="USL12" s="416"/>
      <c r="USM12" s="416"/>
      <c r="USN12" s="416"/>
      <c r="USO12" s="416"/>
      <c r="USP12" s="416"/>
      <c r="USQ12" s="416"/>
      <c r="USR12" s="416"/>
      <c r="USS12" s="416"/>
      <c r="UST12" s="416"/>
      <c r="USU12" s="416"/>
      <c r="USV12" s="1008"/>
      <c r="USW12" s="1396"/>
      <c r="USX12" s="416"/>
      <c r="USY12" s="416"/>
      <c r="USZ12" s="416"/>
      <c r="UTA12" s="416"/>
      <c r="UTB12" s="416"/>
      <c r="UTC12" s="416"/>
      <c r="UTD12" s="416"/>
      <c r="UTE12" s="416"/>
      <c r="UTF12" s="416"/>
      <c r="UTG12" s="416"/>
      <c r="UTH12" s="1008"/>
      <c r="UTI12" s="1396"/>
      <c r="UTJ12" s="416"/>
      <c r="UTK12" s="416"/>
      <c r="UTL12" s="416"/>
      <c r="UTM12" s="416"/>
      <c r="UTN12" s="416"/>
      <c r="UTO12" s="416"/>
      <c r="UTP12" s="416"/>
      <c r="UTQ12" s="416"/>
      <c r="UTR12" s="416"/>
      <c r="UTS12" s="416"/>
      <c r="UTT12" s="1008"/>
      <c r="UTU12" s="1396"/>
      <c r="UTV12" s="416"/>
      <c r="UTW12" s="416"/>
      <c r="UTX12" s="416"/>
      <c r="UTY12" s="416"/>
      <c r="UTZ12" s="416"/>
      <c r="UUA12" s="416"/>
      <c r="UUB12" s="416"/>
      <c r="UUC12" s="416"/>
      <c r="UUD12" s="416"/>
      <c r="UUE12" s="416"/>
      <c r="UUF12" s="1008"/>
      <c r="UUG12" s="1396"/>
      <c r="UUH12" s="416"/>
      <c r="UUI12" s="416"/>
      <c r="UUJ12" s="416"/>
      <c r="UUK12" s="416"/>
      <c r="UUL12" s="416"/>
      <c r="UUM12" s="416"/>
      <c r="UUN12" s="416"/>
      <c r="UUO12" s="416"/>
      <c r="UUP12" s="416"/>
      <c r="UUQ12" s="416"/>
      <c r="UUR12" s="1008"/>
      <c r="UUS12" s="1396"/>
      <c r="UUT12" s="416"/>
      <c r="UUU12" s="416"/>
      <c r="UUV12" s="416"/>
      <c r="UUW12" s="416"/>
      <c r="UUX12" s="416"/>
      <c r="UUY12" s="416"/>
      <c r="UUZ12" s="416"/>
      <c r="UVA12" s="416"/>
      <c r="UVB12" s="416"/>
      <c r="UVC12" s="416"/>
      <c r="UVD12" s="1008"/>
      <c r="UVE12" s="1396"/>
      <c r="UVF12" s="416"/>
      <c r="UVG12" s="416"/>
      <c r="UVH12" s="416"/>
      <c r="UVI12" s="416"/>
      <c r="UVJ12" s="416"/>
      <c r="UVK12" s="416"/>
      <c r="UVL12" s="416"/>
      <c r="UVM12" s="416"/>
      <c r="UVN12" s="416"/>
      <c r="UVO12" s="416"/>
      <c r="UVP12" s="1008"/>
      <c r="UVQ12" s="1396"/>
      <c r="UVR12" s="416"/>
      <c r="UVS12" s="416"/>
      <c r="UVT12" s="416"/>
      <c r="UVU12" s="416"/>
      <c r="UVV12" s="416"/>
      <c r="UVW12" s="416"/>
      <c r="UVX12" s="416"/>
      <c r="UVY12" s="416"/>
      <c r="UVZ12" s="416"/>
      <c r="UWA12" s="416"/>
      <c r="UWB12" s="1008"/>
      <c r="UWC12" s="1396"/>
      <c r="UWD12" s="416"/>
      <c r="UWE12" s="416"/>
      <c r="UWF12" s="416"/>
      <c r="UWG12" s="416"/>
      <c r="UWH12" s="416"/>
      <c r="UWI12" s="416"/>
      <c r="UWJ12" s="416"/>
      <c r="UWK12" s="416"/>
      <c r="UWL12" s="416"/>
      <c r="UWM12" s="416"/>
      <c r="UWN12" s="1008"/>
      <c r="UWO12" s="1396"/>
      <c r="UWP12" s="416"/>
      <c r="UWQ12" s="416"/>
      <c r="UWR12" s="416"/>
      <c r="UWS12" s="416"/>
      <c r="UWT12" s="416"/>
      <c r="UWU12" s="416"/>
      <c r="UWV12" s="416"/>
      <c r="UWW12" s="416"/>
      <c r="UWX12" s="416"/>
      <c r="UWY12" s="416"/>
      <c r="UWZ12" s="1008"/>
      <c r="UXA12" s="1396"/>
      <c r="UXB12" s="416"/>
      <c r="UXC12" s="416"/>
      <c r="UXD12" s="416"/>
      <c r="UXE12" s="416"/>
      <c r="UXF12" s="416"/>
      <c r="UXG12" s="416"/>
      <c r="UXH12" s="416"/>
      <c r="UXI12" s="416"/>
      <c r="UXJ12" s="416"/>
      <c r="UXK12" s="416"/>
      <c r="UXL12" s="1008"/>
      <c r="UXM12" s="1396"/>
      <c r="UXN12" s="416"/>
      <c r="UXO12" s="416"/>
      <c r="UXP12" s="416"/>
      <c r="UXQ12" s="416"/>
      <c r="UXR12" s="416"/>
      <c r="UXS12" s="416"/>
      <c r="UXT12" s="416"/>
      <c r="UXU12" s="416"/>
      <c r="UXV12" s="416"/>
      <c r="UXW12" s="416"/>
      <c r="UXX12" s="1008"/>
      <c r="UXY12" s="1396"/>
      <c r="UXZ12" s="416"/>
      <c r="UYA12" s="416"/>
      <c r="UYB12" s="416"/>
      <c r="UYC12" s="416"/>
      <c r="UYD12" s="416"/>
      <c r="UYE12" s="416"/>
      <c r="UYF12" s="416"/>
      <c r="UYG12" s="416"/>
      <c r="UYH12" s="416"/>
      <c r="UYI12" s="416"/>
      <c r="UYJ12" s="1008"/>
      <c r="UYK12" s="1396"/>
      <c r="UYL12" s="416"/>
      <c r="UYM12" s="416"/>
      <c r="UYN12" s="416"/>
      <c r="UYO12" s="416"/>
      <c r="UYP12" s="416"/>
      <c r="UYQ12" s="416"/>
      <c r="UYR12" s="416"/>
      <c r="UYS12" s="416"/>
      <c r="UYT12" s="416"/>
      <c r="UYU12" s="416"/>
      <c r="UYV12" s="1008"/>
      <c r="UYW12" s="1396"/>
      <c r="UYX12" s="416"/>
      <c r="UYY12" s="416"/>
      <c r="UYZ12" s="416"/>
      <c r="UZA12" s="416"/>
      <c r="UZB12" s="416"/>
      <c r="UZC12" s="416"/>
      <c r="UZD12" s="416"/>
      <c r="UZE12" s="416"/>
      <c r="UZF12" s="416"/>
      <c r="UZG12" s="416"/>
      <c r="UZH12" s="1008"/>
      <c r="UZI12" s="1396"/>
      <c r="UZJ12" s="416"/>
      <c r="UZK12" s="416"/>
      <c r="UZL12" s="416"/>
      <c r="UZM12" s="416"/>
      <c r="UZN12" s="416"/>
      <c r="UZO12" s="416"/>
      <c r="UZP12" s="416"/>
      <c r="UZQ12" s="416"/>
      <c r="UZR12" s="416"/>
      <c r="UZS12" s="416"/>
      <c r="UZT12" s="1008"/>
      <c r="UZU12" s="1396"/>
      <c r="UZV12" s="416"/>
      <c r="UZW12" s="416"/>
      <c r="UZX12" s="416"/>
      <c r="UZY12" s="416"/>
      <c r="UZZ12" s="416"/>
      <c r="VAA12" s="416"/>
      <c r="VAB12" s="416"/>
      <c r="VAC12" s="416"/>
      <c r="VAD12" s="416"/>
      <c r="VAE12" s="416"/>
      <c r="VAF12" s="1008"/>
      <c r="VAG12" s="1396"/>
      <c r="VAH12" s="416"/>
      <c r="VAI12" s="416"/>
      <c r="VAJ12" s="416"/>
      <c r="VAK12" s="416"/>
      <c r="VAL12" s="416"/>
      <c r="VAM12" s="416"/>
      <c r="VAN12" s="416"/>
      <c r="VAO12" s="416"/>
      <c r="VAP12" s="416"/>
      <c r="VAQ12" s="416"/>
      <c r="VAR12" s="1008"/>
      <c r="VAS12" s="1396"/>
      <c r="VAT12" s="416"/>
      <c r="VAU12" s="416"/>
      <c r="VAV12" s="416"/>
      <c r="VAW12" s="416"/>
      <c r="VAX12" s="416"/>
      <c r="VAY12" s="416"/>
      <c r="VAZ12" s="416"/>
      <c r="VBA12" s="416"/>
      <c r="VBB12" s="416"/>
      <c r="VBC12" s="416"/>
      <c r="VBD12" s="1008"/>
      <c r="VBE12" s="1396"/>
      <c r="VBF12" s="416"/>
      <c r="VBG12" s="416"/>
      <c r="VBH12" s="416"/>
      <c r="VBI12" s="416"/>
      <c r="VBJ12" s="416"/>
      <c r="VBK12" s="416"/>
      <c r="VBL12" s="416"/>
      <c r="VBM12" s="416"/>
      <c r="VBN12" s="416"/>
      <c r="VBO12" s="416"/>
      <c r="VBP12" s="1008"/>
      <c r="VBQ12" s="1396"/>
      <c r="VBR12" s="416"/>
      <c r="VBS12" s="416"/>
      <c r="VBT12" s="416"/>
      <c r="VBU12" s="416"/>
      <c r="VBV12" s="416"/>
      <c r="VBW12" s="416"/>
      <c r="VBX12" s="416"/>
      <c r="VBY12" s="416"/>
      <c r="VBZ12" s="416"/>
      <c r="VCA12" s="416"/>
      <c r="VCB12" s="1008"/>
      <c r="VCC12" s="1396"/>
      <c r="VCD12" s="416"/>
      <c r="VCE12" s="416"/>
      <c r="VCF12" s="416"/>
      <c r="VCG12" s="416"/>
      <c r="VCH12" s="416"/>
      <c r="VCI12" s="416"/>
      <c r="VCJ12" s="416"/>
      <c r="VCK12" s="416"/>
      <c r="VCL12" s="416"/>
      <c r="VCM12" s="416"/>
      <c r="VCN12" s="1008"/>
      <c r="VCO12" s="1396"/>
      <c r="VCP12" s="416"/>
      <c r="VCQ12" s="416"/>
      <c r="VCR12" s="416"/>
      <c r="VCS12" s="416"/>
      <c r="VCT12" s="416"/>
      <c r="VCU12" s="416"/>
      <c r="VCV12" s="416"/>
      <c r="VCW12" s="416"/>
      <c r="VCX12" s="416"/>
      <c r="VCY12" s="416"/>
      <c r="VCZ12" s="1008"/>
      <c r="VDA12" s="1396"/>
      <c r="VDB12" s="416"/>
      <c r="VDC12" s="416"/>
      <c r="VDD12" s="416"/>
      <c r="VDE12" s="416"/>
      <c r="VDF12" s="416"/>
      <c r="VDG12" s="416"/>
      <c r="VDH12" s="416"/>
      <c r="VDI12" s="416"/>
      <c r="VDJ12" s="416"/>
      <c r="VDK12" s="416"/>
      <c r="VDL12" s="1008"/>
      <c r="VDM12" s="1396"/>
      <c r="VDN12" s="416"/>
      <c r="VDO12" s="416"/>
      <c r="VDP12" s="416"/>
      <c r="VDQ12" s="416"/>
      <c r="VDR12" s="416"/>
      <c r="VDS12" s="416"/>
      <c r="VDT12" s="416"/>
      <c r="VDU12" s="416"/>
      <c r="VDV12" s="416"/>
      <c r="VDW12" s="416"/>
      <c r="VDX12" s="1008"/>
      <c r="VDY12" s="1396"/>
      <c r="VDZ12" s="416"/>
      <c r="VEA12" s="416"/>
      <c r="VEB12" s="416"/>
      <c r="VEC12" s="416"/>
      <c r="VED12" s="416"/>
      <c r="VEE12" s="416"/>
      <c r="VEF12" s="416"/>
      <c r="VEG12" s="416"/>
      <c r="VEH12" s="416"/>
      <c r="VEI12" s="416"/>
      <c r="VEJ12" s="1008"/>
      <c r="VEK12" s="1396"/>
      <c r="VEL12" s="416"/>
      <c r="VEM12" s="416"/>
      <c r="VEN12" s="416"/>
      <c r="VEO12" s="416"/>
      <c r="VEP12" s="416"/>
      <c r="VEQ12" s="416"/>
      <c r="VER12" s="416"/>
      <c r="VES12" s="416"/>
      <c r="VET12" s="416"/>
      <c r="VEU12" s="416"/>
      <c r="VEV12" s="1008"/>
      <c r="VEW12" s="1396"/>
      <c r="VEX12" s="416"/>
      <c r="VEY12" s="416"/>
      <c r="VEZ12" s="416"/>
      <c r="VFA12" s="416"/>
      <c r="VFB12" s="416"/>
      <c r="VFC12" s="416"/>
      <c r="VFD12" s="416"/>
      <c r="VFE12" s="416"/>
      <c r="VFF12" s="416"/>
      <c r="VFG12" s="416"/>
      <c r="VFH12" s="1008"/>
      <c r="VFI12" s="1396"/>
      <c r="VFJ12" s="416"/>
      <c r="VFK12" s="416"/>
      <c r="VFL12" s="416"/>
      <c r="VFM12" s="416"/>
      <c r="VFN12" s="416"/>
      <c r="VFO12" s="416"/>
      <c r="VFP12" s="416"/>
      <c r="VFQ12" s="416"/>
      <c r="VFR12" s="416"/>
      <c r="VFS12" s="416"/>
      <c r="VFT12" s="1008"/>
      <c r="VFU12" s="1396"/>
      <c r="VFV12" s="416"/>
      <c r="VFW12" s="416"/>
      <c r="VFX12" s="416"/>
      <c r="VFY12" s="416"/>
      <c r="VFZ12" s="416"/>
      <c r="VGA12" s="416"/>
      <c r="VGB12" s="416"/>
      <c r="VGC12" s="416"/>
      <c r="VGD12" s="416"/>
      <c r="VGE12" s="416"/>
      <c r="VGF12" s="1008"/>
      <c r="VGG12" s="1396"/>
      <c r="VGH12" s="416"/>
      <c r="VGI12" s="416"/>
      <c r="VGJ12" s="416"/>
      <c r="VGK12" s="416"/>
      <c r="VGL12" s="416"/>
      <c r="VGM12" s="416"/>
      <c r="VGN12" s="416"/>
      <c r="VGO12" s="416"/>
      <c r="VGP12" s="416"/>
      <c r="VGQ12" s="416"/>
      <c r="VGR12" s="1008"/>
      <c r="VGS12" s="1396"/>
      <c r="VGT12" s="416"/>
      <c r="VGU12" s="416"/>
      <c r="VGV12" s="416"/>
      <c r="VGW12" s="416"/>
      <c r="VGX12" s="416"/>
      <c r="VGY12" s="416"/>
      <c r="VGZ12" s="416"/>
      <c r="VHA12" s="416"/>
      <c r="VHB12" s="416"/>
      <c r="VHC12" s="416"/>
      <c r="VHD12" s="1008"/>
      <c r="VHE12" s="1396"/>
      <c r="VHF12" s="416"/>
      <c r="VHG12" s="416"/>
      <c r="VHH12" s="416"/>
      <c r="VHI12" s="416"/>
      <c r="VHJ12" s="416"/>
      <c r="VHK12" s="416"/>
      <c r="VHL12" s="416"/>
      <c r="VHM12" s="416"/>
      <c r="VHN12" s="416"/>
      <c r="VHO12" s="416"/>
      <c r="VHP12" s="1008"/>
      <c r="VHQ12" s="1396"/>
      <c r="VHR12" s="416"/>
      <c r="VHS12" s="416"/>
      <c r="VHT12" s="416"/>
      <c r="VHU12" s="416"/>
      <c r="VHV12" s="416"/>
      <c r="VHW12" s="416"/>
      <c r="VHX12" s="416"/>
      <c r="VHY12" s="416"/>
      <c r="VHZ12" s="416"/>
      <c r="VIA12" s="416"/>
      <c r="VIB12" s="1008"/>
      <c r="VIC12" s="1396"/>
      <c r="VID12" s="416"/>
      <c r="VIE12" s="416"/>
      <c r="VIF12" s="416"/>
      <c r="VIG12" s="416"/>
      <c r="VIH12" s="416"/>
      <c r="VII12" s="416"/>
      <c r="VIJ12" s="416"/>
      <c r="VIK12" s="416"/>
      <c r="VIL12" s="416"/>
      <c r="VIM12" s="416"/>
      <c r="VIN12" s="1008"/>
      <c r="VIO12" s="1396"/>
      <c r="VIP12" s="416"/>
      <c r="VIQ12" s="416"/>
      <c r="VIR12" s="416"/>
      <c r="VIS12" s="416"/>
      <c r="VIT12" s="416"/>
      <c r="VIU12" s="416"/>
      <c r="VIV12" s="416"/>
      <c r="VIW12" s="416"/>
      <c r="VIX12" s="416"/>
      <c r="VIY12" s="416"/>
      <c r="VIZ12" s="1008"/>
      <c r="VJA12" s="1396"/>
      <c r="VJB12" s="416"/>
      <c r="VJC12" s="416"/>
      <c r="VJD12" s="416"/>
      <c r="VJE12" s="416"/>
      <c r="VJF12" s="416"/>
      <c r="VJG12" s="416"/>
      <c r="VJH12" s="416"/>
      <c r="VJI12" s="416"/>
      <c r="VJJ12" s="416"/>
      <c r="VJK12" s="416"/>
      <c r="VJL12" s="1008"/>
      <c r="VJM12" s="1396"/>
      <c r="VJN12" s="416"/>
      <c r="VJO12" s="416"/>
      <c r="VJP12" s="416"/>
      <c r="VJQ12" s="416"/>
      <c r="VJR12" s="416"/>
      <c r="VJS12" s="416"/>
      <c r="VJT12" s="416"/>
      <c r="VJU12" s="416"/>
      <c r="VJV12" s="416"/>
      <c r="VJW12" s="416"/>
      <c r="VJX12" s="1008"/>
      <c r="VJY12" s="1396"/>
      <c r="VJZ12" s="416"/>
      <c r="VKA12" s="416"/>
      <c r="VKB12" s="416"/>
      <c r="VKC12" s="416"/>
      <c r="VKD12" s="416"/>
      <c r="VKE12" s="416"/>
      <c r="VKF12" s="416"/>
      <c r="VKG12" s="416"/>
      <c r="VKH12" s="416"/>
      <c r="VKI12" s="416"/>
      <c r="VKJ12" s="1008"/>
      <c r="VKK12" s="1396"/>
      <c r="VKL12" s="416"/>
      <c r="VKM12" s="416"/>
      <c r="VKN12" s="416"/>
      <c r="VKO12" s="416"/>
      <c r="VKP12" s="416"/>
      <c r="VKQ12" s="416"/>
      <c r="VKR12" s="416"/>
      <c r="VKS12" s="416"/>
      <c r="VKT12" s="416"/>
      <c r="VKU12" s="416"/>
      <c r="VKV12" s="1008"/>
      <c r="VKW12" s="1396"/>
      <c r="VKX12" s="416"/>
      <c r="VKY12" s="416"/>
      <c r="VKZ12" s="416"/>
      <c r="VLA12" s="416"/>
      <c r="VLB12" s="416"/>
      <c r="VLC12" s="416"/>
      <c r="VLD12" s="416"/>
      <c r="VLE12" s="416"/>
      <c r="VLF12" s="416"/>
      <c r="VLG12" s="416"/>
      <c r="VLH12" s="1008"/>
      <c r="VLI12" s="1396"/>
      <c r="VLJ12" s="416"/>
      <c r="VLK12" s="416"/>
      <c r="VLL12" s="416"/>
      <c r="VLM12" s="416"/>
      <c r="VLN12" s="416"/>
      <c r="VLO12" s="416"/>
      <c r="VLP12" s="416"/>
      <c r="VLQ12" s="416"/>
      <c r="VLR12" s="416"/>
      <c r="VLS12" s="416"/>
      <c r="VLT12" s="1008"/>
      <c r="VLU12" s="1396"/>
      <c r="VLV12" s="416"/>
      <c r="VLW12" s="416"/>
      <c r="VLX12" s="416"/>
      <c r="VLY12" s="416"/>
      <c r="VLZ12" s="416"/>
      <c r="VMA12" s="416"/>
      <c r="VMB12" s="416"/>
      <c r="VMC12" s="416"/>
      <c r="VMD12" s="416"/>
      <c r="VME12" s="416"/>
      <c r="VMF12" s="1008"/>
      <c r="VMG12" s="1396"/>
      <c r="VMH12" s="416"/>
      <c r="VMI12" s="416"/>
      <c r="VMJ12" s="416"/>
      <c r="VMK12" s="416"/>
      <c r="VML12" s="416"/>
      <c r="VMM12" s="416"/>
      <c r="VMN12" s="416"/>
      <c r="VMO12" s="416"/>
      <c r="VMP12" s="416"/>
      <c r="VMQ12" s="416"/>
      <c r="VMR12" s="1008"/>
      <c r="VMS12" s="1396"/>
      <c r="VMT12" s="416"/>
      <c r="VMU12" s="416"/>
      <c r="VMV12" s="416"/>
      <c r="VMW12" s="416"/>
      <c r="VMX12" s="416"/>
      <c r="VMY12" s="416"/>
      <c r="VMZ12" s="416"/>
      <c r="VNA12" s="416"/>
      <c r="VNB12" s="416"/>
      <c r="VNC12" s="416"/>
      <c r="VND12" s="1008"/>
      <c r="VNE12" s="1396"/>
      <c r="VNF12" s="416"/>
      <c r="VNG12" s="416"/>
      <c r="VNH12" s="416"/>
      <c r="VNI12" s="416"/>
      <c r="VNJ12" s="416"/>
      <c r="VNK12" s="416"/>
      <c r="VNL12" s="416"/>
      <c r="VNM12" s="416"/>
      <c r="VNN12" s="416"/>
      <c r="VNO12" s="416"/>
      <c r="VNP12" s="1008"/>
      <c r="VNQ12" s="1396"/>
      <c r="VNR12" s="416"/>
      <c r="VNS12" s="416"/>
      <c r="VNT12" s="416"/>
      <c r="VNU12" s="416"/>
      <c r="VNV12" s="416"/>
      <c r="VNW12" s="416"/>
      <c r="VNX12" s="416"/>
      <c r="VNY12" s="416"/>
      <c r="VNZ12" s="416"/>
      <c r="VOA12" s="416"/>
      <c r="VOB12" s="1008"/>
      <c r="VOC12" s="1396"/>
      <c r="VOD12" s="416"/>
      <c r="VOE12" s="416"/>
      <c r="VOF12" s="416"/>
      <c r="VOG12" s="416"/>
      <c r="VOH12" s="416"/>
      <c r="VOI12" s="416"/>
      <c r="VOJ12" s="416"/>
      <c r="VOK12" s="416"/>
      <c r="VOL12" s="416"/>
      <c r="VOM12" s="416"/>
      <c r="VON12" s="1008"/>
      <c r="VOO12" s="1396"/>
      <c r="VOP12" s="416"/>
      <c r="VOQ12" s="416"/>
      <c r="VOR12" s="416"/>
      <c r="VOS12" s="416"/>
      <c r="VOT12" s="416"/>
      <c r="VOU12" s="416"/>
      <c r="VOV12" s="416"/>
      <c r="VOW12" s="416"/>
      <c r="VOX12" s="416"/>
      <c r="VOY12" s="416"/>
      <c r="VOZ12" s="1008"/>
      <c r="VPA12" s="1396"/>
      <c r="VPB12" s="416"/>
      <c r="VPC12" s="416"/>
      <c r="VPD12" s="416"/>
      <c r="VPE12" s="416"/>
      <c r="VPF12" s="416"/>
      <c r="VPG12" s="416"/>
      <c r="VPH12" s="416"/>
      <c r="VPI12" s="416"/>
      <c r="VPJ12" s="416"/>
      <c r="VPK12" s="416"/>
      <c r="VPL12" s="1008"/>
      <c r="VPM12" s="1396"/>
      <c r="VPN12" s="416"/>
      <c r="VPO12" s="416"/>
      <c r="VPP12" s="416"/>
      <c r="VPQ12" s="416"/>
      <c r="VPR12" s="416"/>
      <c r="VPS12" s="416"/>
      <c r="VPT12" s="416"/>
      <c r="VPU12" s="416"/>
      <c r="VPV12" s="416"/>
      <c r="VPW12" s="416"/>
      <c r="VPX12" s="1008"/>
      <c r="VPY12" s="1396"/>
      <c r="VPZ12" s="416"/>
      <c r="VQA12" s="416"/>
      <c r="VQB12" s="416"/>
      <c r="VQC12" s="416"/>
      <c r="VQD12" s="416"/>
      <c r="VQE12" s="416"/>
      <c r="VQF12" s="416"/>
      <c r="VQG12" s="416"/>
      <c r="VQH12" s="416"/>
      <c r="VQI12" s="416"/>
      <c r="VQJ12" s="1008"/>
      <c r="VQK12" s="1396"/>
      <c r="VQL12" s="416"/>
      <c r="VQM12" s="416"/>
      <c r="VQN12" s="416"/>
      <c r="VQO12" s="416"/>
      <c r="VQP12" s="416"/>
      <c r="VQQ12" s="416"/>
      <c r="VQR12" s="416"/>
      <c r="VQS12" s="416"/>
      <c r="VQT12" s="416"/>
      <c r="VQU12" s="416"/>
      <c r="VQV12" s="1008"/>
      <c r="VQW12" s="1396"/>
      <c r="VQX12" s="416"/>
      <c r="VQY12" s="416"/>
      <c r="VQZ12" s="416"/>
      <c r="VRA12" s="416"/>
      <c r="VRB12" s="416"/>
      <c r="VRC12" s="416"/>
      <c r="VRD12" s="416"/>
      <c r="VRE12" s="416"/>
      <c r="VRF12" s="416"/>
      <c r="VRG12" s="416"/>
      <c r="VRH12" s="1008"/>
      <c r="VRI12" s="1396"/>
      <c r="VRJ12" s="416"/>
      <c r="VRK12" s="416"/>
      <c r="VRL12" s="416"/>
      <c r="VRM12" s="416"/>
      <c r="VRN12" s="416"/>
      <c r="VRO12" s="416"/>
      <c r="VRP12" s="416"/>
      <c r="VRQ12" s="416"/>
      <c r="VRR12" s="416"/>
      <c r="VRS12" s="416"/>
      <c r="VRT12" s="1008"/>
      <c r="VRU12" s="1396"/>
      <c r="VRV12" s="416"/>
      <c r="VRW12" s="416"/>
      <c r="VRX12" s="416"/>
      <c r="VRY12" s="416"/>
      <c r="VRZ12" s="416"/>
      <c r="VSA12" s="416"/>
      <c r="VSB12" s="416"/>
      <c r="VSC12" s="416"/>
      <c r="VSD12" s="416"/>
      <c r="VSE12" s="416"/>
      <c r="VSF12" s="1008"/>
      <c r="VSG12" s="1396"/>
      <c r="VSH12" s="416"/>
      <c r="VSI12" s="416"/>
      <c r="VSJ12" s="416"/>
      <c r="VSK12" s="416"/>
      <c r="VSL12" s="416"/>
      <c r="VSM12" s="416"/>
      <c r="VSN12" s="416"/>
      <c r="VSO12" s="416"/>
      <c r="VSP12" s="416"/>
      <c r="VSQ12" s="416"/>
      <c r="VSR12" s="1008"/>
      <c r="VSS12" s="1396"/>
      <c r="VST12" s="416"/>
      <c r="VSU12" s="416"/>
      <c r="VSV12" s="416"/>
      <c r="VSW12" s="416"/>
      <c r="VSX12" s="416"/>
      <c r="VSY12" s="416"/>
      <c r="VSZ12" s="416"/>
      <c r="VTA12" s="416"/>
      <c r="VTB12" s="416"/>
      <c r="VTC12" s="416"/>
      <c r="VTD12" s="1008"/>
      <c r="VTE12" s="1396"/>
      <c r="VTF12" s="416"/>
      <c r="VTG12" s="416"/>
      <c r="VTH12" s="416"/>
      <c r="VTI12" s="416"/>
      <c r="VTJ12" s="416"/>
      <c r="VTK12" s="416"/>
      <c r="VTL12" s="416"/>
      <c r="VTM12" s="416"/>
      <c r="VTN12" s="416"/>
      <c r="VTO12" s="416"/>
      <c r="VTP12" s="1008"/>
      <c r="VTQ12" s="1396"/>
      <c r="VTR12" s="416"/>
      <c r="VTS12" s="416"/>
      <c r="VTT12" s="416"/>
      <c r="VTU12" s="416"/>
      <c r="VTV12" s="416"/>
      <c r="VTW12" s="416"/>
      <c r="VTX12" s="416"/>
      <c r="VTY12" s="416"/>
      <c r="VTZ12" s="416"/>
      <c r="VUA12" s="416"/>
      <c r="VUB12" s="1008"/>
      <c r="VUC12" s="1396"/>
      <c r="VUD12" s="416"/>
      <c r="VUE12" s="416"/>
      <c r="VUF12" s="416"/>
      <c r="VUG12" s="416"/>
      <c r="VUH12" s="416"/>
      <c r="VUI12" s="416"/>
      <c r="VUJ12" s="416"/>
      <c r="VUK12" s="416"/>
      <c r="VUL12" s="416"/>
      <c r="VUM12" s="416"/>
      <c r="VUN12" s="1008"/>
      <c r="VUO12" s="1396"/>
      <c r="VUP12" s="416"/>
      <c r="VUQ12" s="416"/>
      <c r="VUR12" s="416"/>
      <c r="VUS12" s="416"/>
      <c r="VUT12" s="416"/>
      <c r="VUU12" s="416"/>
      <c r="VUV12" s="416"/>
      <c r="VUW12" s="416"/>
      <c r="VUX12" s="416"/>
      <c r="VUY12" s="416"/>
      <c r="VUZ12" s="1008"/>
      <c r="VVA12" s="1396"/>
      <c r="VVB12" s="416"/>
      <c r="VVC12" s="416"/>
      <c r="VVD12" s="416"/>
      <c r="VVE12" s="416"/>
      <c r="VVF12" s="416"/>
      <c r="VVG12" s="416"/>
      <c r="VVH12" s="416"/>
      <c r="VVI12" s="416"/>
      <c r="VVJ12" s="416"/>
      <c r="VVK12" s="416"/>
      <c r="VVL12" s="1008"/>
      <c r="VVM12" s="1396"/>
      <c r="VVN12" s="416"/>
      <c r="VVO12" s="416"/>
      <c r="VVP12" s="416"/>
      <c r="VVQ12" s="416"/>
      <c r="VVR12" s="416"/>
      <c r="VVS12" s="416"/>
      <c r="VVT12" s="416"/>
      <c r="VVU12" s="416"/>
      <c r="VVV12" s="416"/>
      <c r="VVW12" s="416"/>
      <c r="VVX12" s="1008"/>
      <c r="VVY12" s="1396"/>
      <c r="VVZ12" s="416"/>
      <c r="VWA12" s="416"/>
      <c r="VWB12" s="416"/>
      <c r="VWC12" s="416"/>
      <c r="VWD12" s="416"/>
      <c r="VWE12" s="416"/>
      <c r="VWF12" s="416"/>
      <c r="VWG12" s="416"/>
      <c r="VWH12" s="416"/>
      <c r="VWI12" s="416"/>
      <c r="VWJ12" s="1008"/>
      <c r="VWK12" s="1396"/>
      <c r="VWL12" s="416"/>
      <c r="VWM12" s="416"/>
      <c r="VWN12" s="416"/>
      <c r="VWO12" s="416"/>
      <c r="VWP12" s="416"/>
      <c r="VWQ12" s="416"/>
      <c r="VWR12" s="416"/>
      <c r="VWS12" s="416"/>
      <c r="VWT12" s="416"/>
      <c r="VWU12" s="416"/>
      <c r="VWV12" s="1008"/>
      <c r="VWW12" s="1396"/>
      <c r="VWX12" s="416"/>
      <c r="VWY12" s="416"/>
      <c r="VWZ12" s="416"/>
      <c r="VXA12" s="416"/>
      <c r="VXB12" s="416"/>
      <c r="VXC12" s="416"/>
      <c r="VXD12" s="416"/>
      <c r="VXE12" s="416"/>
      <c r="VXF12" s="416"/>
      <c r="VXG12" s="416"/>
      <c r="VXH12" s="1008"/>
      <c r="VXI12" s="1396"/>
      <c r="VXJ12" s="416"/>
      <c r="VXK12" s="416"/>
      <c r="VXL12" s="416"/>
      <c r="VXM12" s="416"/>
      <c r="VXN12" s="416"/>
      <c r="VXO12" s="416"/>
      <c r="VXP12" s="416"/>
      <c r="VXQ12" s="416"/>
      <c r="VXR12" s="416"/>
      <c r="VXS12" s="416"/>
      <c r="VXT12" s="1008"/>
      <c r="VXU12" s="1396"/>
      <c r="VXV12" s="416"/>
      <c r="VXW12" s="416"/>
      <c r="VXX12" s="416"/>
      <c r="VXY12" s="416"/>
      <c r="VXZ12" s="416"/>
      <c r="VYA12" s="416"/>
      <c r="VYB12" s="416"/>
      <c r="VYC12" s="416"/>
      <c r="VYD12" s="416"/>
      <c r="VYE12" s="416"/>
      <c r="VYF12" s="1008"/>
      <c r="VYG12" s="1396"/>
      <c r="VYH12" s="416"/>
      <c r="VYI12" s="416"/>
      <c r="VYJ12" s="416"/>
      <c r="VYK12" s="416"/>
      <c r="VYL12" s="416"/>
      <c r="VYM12" s="416"/>
      <c r="VYN12" s="416"/>
      <c r="VYO12" s="416"/>
      <c r="VYP12" s="416"/>
      <c r="VYQ12" s="416"/>
      <c r="VYR12" s="1008"/>
      <c r="VYS12" s="1396"/>
      <c r="VYT12" s="416"/>
      <c r="VYU12" s="416"/>
      <c r="VYV12" s="416"/>
      <c r="VYW12" s="416"/>
      <c r="VYX12" s="416"/>
      <c r="VYY12" s="416"/>
      <c r="VYZ12" s="416"/>
      <c r="VZA12" s="416"/>
      <c r="VZB12" s="416"/>
      <c r="VZC12" s="416"/>
      <c r="VZD12" s="1008"/>
      <c r="VZE12" s="1396"/>
      <c r="VZF12" s="416"/>
      <c r="VZG12" s="416"/>
      <c r="VZH12" s="416"/>
      <c r="VZI12" s="416"/>
      <c r="VZJ12" s="416"/>
      <c r="VZK12" s="416"/>
      <c r="VZL12" s="416"/>
      <c r="VZM12" s="416"/>
      <c r="VZN12" s="416"/>
      <c r="VZO12" s="416"/>
      <c r="VZP12" s="1008"/>
      <c r="VZQ12" s="1396"/>
      <c r="VZR12" s="416"/>
      <c r="VZS12" s="416"/>
      <c r="VZT12" s="416"/>
      <c r="VZU12" s="416"/>
      <c r="VZV12" s="416"/>
      <c r="VZW12" s="416"/>
      <c r="VZX12" s="416"/>
      <c r="VZY12" s="416"/>
      <c r="VZZ12" s="416"/>
      <c r="WAA12" s="416"/>
      <c r="WAB12" s="1008"/>
      <c r="WAC12" s="1396"/>
      <c r="WAD12" s="416"/>
      <c r="WAE12" s="416"/>
      <c r="WAF12" s="416"/>
      <c r="WAG12" s="416"/>
      <c r="WAH12" s="416"/>
      <c r="WAI12" s="416"/>
      <c r="WAJ12" s="416"/>
      <c r="WAK12" s="416"/>
      <c r="WAL12" s="416"/>
      <c r="WAM12" s="416"/>
      <c r="WAN12" s="1008"/>
      <c r="WAO12" s="1396"/>
      <c r="WAP12" s="416"/>
      <c r="WAQ12" s="416"/>
      <c r="WAR12" s="416"/>
      <c r="WAS12" s="416"/>
      <c r="WAT12" s="416"/>
      <c r="WAU12" s="416"/>
      <c r="WAV12" s="416"/>
      <c r="WAW12" s="416"/>
      <c r="WAX12" s="416"/>
      <c r="WAY12" s="416"/>
      <c r="WAZ12" s="1008"/>
      <c r="WBA12" s="1396"/>
      <c r="WBB12" s="416"/>
      <c r="WBC12" s="416"/>
      <c r="WBD12" s="416"/>
      <c r="WBE12" s="416"/>
      <c r="WBF12" s="416"/>
      <c r="WBG12" s="416"/>
      <c r="WBH12" s="416"/>
      <c r="WBI12" s="416"/>
      <c r="WBJ12" s="416"/>
      <c r="WBK12" s="416"/>
      <c r="WBL12" s="1008"/>
      <c r="WBM12" s="1396"/>
      <c r="WBN12" s="416"/>
      <c r="WBO12" s="416"/>
      <c r="WBP12" s="416"/>
      <c r="WBQ12" s="416"/>
      <c r="WBR12" s="416"/>
      <c r="WBS12" s="416"/>
      <c r="WBT12" s="416"/>
      <c r="WBU12" s="416"/>
      <c r="WBV12" s="416"/>
      <c r="WBW12" s="416"/>
      <c r="WBX12" s="1008"/>
      <c r="WBY12" s="1396"/>
      <c r="WBZ12" s="416"/>
      <c r="WCA12" s="416"/>
      <c r="WCB12" s="416"/>
      <c r="WCC12" s="416"/>
      <c r="WCD12" s="416"/>
      <c r="WCE12" s="416"/>
      <c r="WCF12" s="416"/>
      <c r="WCG12" s="416"/>
      <c r="WCH12" s="416"/>
      <c r="WCI12" s="416"/>
      <c r="WCJ12" s="1008"/>
      <c r="WCK12" s="1396"/>
      <c r="WCL12" s="416"/>
      <c r="WCM12" s="416"/>
      <c r="WCN12" s="416"/>
      <c r="WCO12" s="416"/>
      <c r="WCP12" s="416"/>
      <c r="WCQ12" s="416"/>
      <c r="WCR12" s="416"/>
      <c r="WCS12" s="416"/>
      <c r="WCT12" s="416"/>
      <c r="WCU12" s="416"/>
      <c r="WCV12" s="1008"/>
      <c r="WCW12" s="1396"/>
      <c r="WCX12" s="416"/>
      <c r="WCY12" s="416"/>
      <c r="WCZ12" s="416"/>
      <c r="WDA12" s="416"/>
      <c r="WDB12" s="416"/>
      <c r="WDC12" s="416"/>
      <c r="WDD12" s="416"/>
      <c r="WDE12" s="416"/>
      <c r="WDF12" s="416"/>
      <c r="WDG12" s="416"/>
      <c r="WDH12" s="1008"/>
      <c r="WDI12" s="1396"/>
      <c r="WDJ12" s="416"/>
      <c r="WDK12" s="416"/>
      <c r="WDL12" s="416"/>
      <c r="WDM12" s="416"/>
      <c r="WDN12" s="416"/>
      <c r="WDO12" s="416"/>
      <c r="WDP12" s="416"/>
      <c r="WDQ12" s="416"/>
      <c r="WDR12" s="416"/>
      <c r="WDS12" s="416"/>
      <c r="WDT12" s="1008"/>
      <c r="WDU12" s="1396"/>
      <c r="WDV12" s="416"/>
      <c r="WDW12" s="416"/>
      <c r="WDX12" s="416"/>
      <c r="WDY12" s="416"/>
      <c r="WDZ12" s="416"/>
      <c r="WEA12" s="416"/>
      <c r="WEB12" s="416"/>
      <c r="WEC12" s="416"/>
      <c r="WED12" s="416"/>
      <c r="WEE12" s="416"/>
      <c r="WEF12" s="1008"/>
      <c r="WEG12" s="1396"/>
      <c r="WEH12" s="416"/>
      <c r="WEI12" s="416"/>
      <c r="WEJ12" s="416"/>
      <c r="WEK12" s="416"/>
      <c r="WEL12" s="416"/>
      <c r="WEM12" s="416"/>
      <c r="WEN12" s="416"/>
      <c r="WEO12" s="416"/>
      <c r="WEP12" s="416"/>
      <c r="WEQ12" s="416"/>
      <c r="WER12" s="1008"/>
      <c r="WES12" s="1396"/>
      <c r="WET12" s="416"/>
      <c r="WEU12" s="416"/>
      <c r="WEV12" s="416"/>
      <c r="WEW12" s="416"/>
      <c r="WEX12" s="416"/>
      <c r="WEY12" s="416"/>
      <c r="WEZ12" s="416"/>
      <c r="WFA12" s="416"/>
      <c r="WFB12" s="416"/>
      <c r="WFC12" s="416"/>
      <c r="WFD12" s="1008"/>
      <c r="WFE12" s="1396"/>
      <c r="WFF12" s="416"/>
      <c r="WFG12" s="416"/>
      <c r="WFH12" s="416"/>
      <c r="WFI12" s="416"/>
      <c r="WFJ12" s="416"/>
      <c r="WFK12" s="416"/>
      <c r="WFL12" s="416"/>
      <c r="WFM12" s="416"/>
      <c r="WFN12" s="416"/>
      <c r="WFO12" s="416"/>
      <c r="WFP12" s="1008"/>
      <c r="WFQ12" s="1396"/>
      <c r="WFR12" s="416"/>
      <c r="WFS12" s="416"/>
      <c r="WFT12" s="416"/>
      <c r="WFU12" s="416"/>
      <c r="WFV12" s="416"/>
      <c r="WFW12" s="416"/>
      <c r="WFX12" s="416"/>
      <c r="WFY12" s="416"/>
      <c r="WFZ12" s="416"/>
      <c r="WGA12" s="416"/>
      <c r="WGB12" s="1008"/>
      <c r="WGC12" s="1396"/>
      <c r="WGD12" s="416"/>
      <c r="WGE12" s="416"/>
      <c r="WGF12" s="416"/>
      <c r="WGG12" s="416"/>
      <c r="WGH12" s="416"/>
      <c r="WGI12" s="416"/>
      <c r="WGJ12" s="416"/>
      <c r="WGK12" s="416"/>
      <c r="WGL12" s="416"/>
      <c r="WGM12" s="416"/>
      <c r="WGN12" s="1008"/>
      <c r="WGO12" s="1396"/>
      <c r="WGP12" s="416"/>
      <c r="WGQ12" s="416"/>
      <c r="WGR12" s="416"/>
      <c r="WGS12" s="416"/>
      <c r="WGT12" s="416"/>
      <c r="WGU12" s="416"/>
      <c r="WGV12" s="416"/>
      <c r="WGW12" s="416"/>
      <c r="WGX12" s="416"/>
      <c r="WGY12" s="416"/>
      <c r="WGZ12" s="1008"/>
      <c r="WHA12" s="1396"/>
      <c r="WHB12" s="416"/>
      <c r="WHC12" s="416"/>
      <c r="WHD12" s="416"/>
      <c r="WHE12" s="416"/>
      <c r="WHF12" s="416"/>
      <c r="WHG12" s="416"/>
      <c r="WHH12" s="416"/>
      <c r="WHI12" s="416"/>
      <c r="WHJ12" s="416"/>
      <c r="WHK12" s="416"/>
      <c r="WHL12" s="1008"/>
      <c r="WHM12" s="1396"/>
      <c r="WHN12" s="416"/>
      <c r="WHO12" s="416"/>
      <c r="WHP12" s="416"/>
      <c r="WHQ12" s="416"/>
      <c r="WHR12" s="416"/>
      <c r="WHS12" s="416"/>
      <c r="WHT12" s="416"/>
      <c r="WHU12" s="416"/>
      <c r="WHV12" s="416"/>
      <c r="WHW12" s="416"/>
      <c r="WHX12" s="1008"/>
      <c r="WHY12" s="1396"/>
      <c r="WHZ12" s="416"/>
      <c r="WIA12" s="416"/>
      <c r="WIB12" s="416"/>
      <c r="WIC12" s="416"/>
      <c r="WID12" s="416"/>
      <c r="WIE12" s="416"/>
      <c r="WIF12" s="416"/>
      <c r="WIG12" s="416"/>
      <c r="WIH12" s="416"/>
      <c r="WII12" s="416"/>
      <c r="WIJ12" s="1008"/>
      <c r="WIK12" s="1396"/>
      <c r="WIL12" s="416"/>
      <c r="WIM12" s="416"/>
      <c r="WIN12" s="416"/>
      <c r="WIO12" s="416"/>
      <c r="WIP12" s="416"/>
      <c r="WIQ12" s="416"/>
      <c r="WIR12" s="416"/>
      <c r="WIS12" s="416"/>
      <c r="WIT12" s="416"/>
      <c r="WIU12" s="416"/>
      <c r="WIV12" s="1008"/>
      <c r="WIW12" s="1396"/>
      <c r="WIX12" s="416"/>
      <c r="WIY12" s="416"/>
      <c r="WIZ12" s="416"/>
      <c r="WJA12" s="416"/>
      <c r="WJB12" s="416"/>
      <c r="WJC12" s="416"/>
      <c r="WJD12" s="416"/>
      <c r="WJE12" s="416"/>
      <c r="WJF12" s="416"/>
      <c r="WJG12" s="416"/>
      <c r="WJH12" s="1008"/>
      <c r="WJI12" s="1396"/>
      <c r="WJJ12" s="416"/>
      <c r="WJK12" s="416"/>
      <c r="WJL12" s="416"/>
      <c r="WJM12" s="416"/>
      <c r="WJN12" s="416"/>
      <c r="WJO12" s="416"/>
      <c r="WJP12" s="416"/>
      <c r="WJQ12" s="416"/>
      <c r="WJR12" s="416"/>
      <c r="WJS12" s="416"/>
      <c r="WJT12" s="1008"/>
      <c r="WJU12" s="1396"/>
      <c r="WJV12" s="416"/>
      <c r="WJW12" s="416"/>
      <c r="WJX12" s="416"/>
      <c r="WJY12" s="416"/>
      <c r="WJZ12" s="416"/>
      <c r="WKA12" s="416"/>
      <c r="WKB12" s="416"/>
      <c r="WKC12" s="416"/>
      <c r="WKD12" s="416"/>
      <c r="WKE12" s="416"/>
      <c r="WKF12" s="1008"/>
      <c r="WKG12" s="1396"/>
      <c r="WKH12" s="416"/>
      <c r="WKI12" s="416"/>
      <c r="WKJ12" s="416"/>
      <c r="WKK12" s="416"/>
      <c r="WKL12" s="416"/>
      <c r="WKM12" s="416"/>
      <c r="WKN12" s="416"/>
      <c r="WKO12" s="416"/>
      <c r="WKP12" s="416"/>
      <c r="WKQ12" s="416"/>
      <c r="WKR12" s="1008"/>
      <c r="WKS12" s="1396"/>
      <c r="WKT12" s="416"/>
      <c r="WKU12" s="416"/>
      <c r="WKV12" s="416"/>
      <c r="WKW12" s="416"/>
      <c r="WKX12" s="416"/>
      <c r="WKY12" s="416"/>
      <c r="WKZ12" s="416"/>
      <c r="WLA12" s="416"/>
      <c r="WLB12" s="416"/>
      <c r="WLC12" s="416"/>
      <c r="WLD12" s="1008"/>
      <c r="WLE12" s="1396"/>
      <c r="WLF12" s="416"/>
      <c r="WLG12" s="416"/>
      <c r="WLH12" s="416"/>
      <c r="WLI12" s="416"/>
      <c r="WLJ12" s="416"/>
      <c r="WLK12" s="416"/>
      <c r="WLL12" s="416"/>
      <c r="WLM12" s="416"/>
      <c r="WLN12" s="416"/>
      <c r="WLO12" s="416"/>
      <c r="WLP12" s="1008"/>
      <c r="WLQ12" s="1396"/>
      <c r="WLR12" s="416"/>
      <c r="WLS12" s="416"/>
      <c r="WLT12" s="416"/>
      <c r="WLU12" s="416"/>
      <c r="WLV12" s="416"/>
      <c r="WLW12" s="416"/>
      <c r="WLX12" s="416"/>
      <c r="WLY12" s="416"/>
      <c r="WLZ12" s="416"/>
      <c r="WMA12" s="416"/>
      <c r="WMB12" s="1008"/>
      <c r="WMC12" s="1396"/>
      <c r="WMD12" s="416"/>
      <c r="WME12" s="416"/>
      <c r="WMF12" s="416"/>
      <c r="WMG12" s="416"/>
      <c r="WMH12" s="416"/>
      <c r="WMI12" s="416"/>
      <c r="WMJ12" s="416"/>
      <c r="WMK12" s="416"/>
      <c r="WML12" s="416"/>
      <c r="WMM12" s="416"/>
      <c r="WMN12" s="1008"/>
      <c r="WMO12" s="1396"/>
      <c r="WMP12" s="416"/>
      <c r="WMQ12" s="416"/>
      <c r="WMR12" s="416"/>
      <c r="WMS12" s="416"/>
      <c r="WMT12" s="416"/>
      <c r="WMU12" s="416"/>
      <c r="WMV12" s="416"/>
      <c r="WMW12" s="416"/>
      <c r="WMX12" s="416"/>
      <c r="WMY12" s="416"/>
      <c r="WMZ12" s="1008"/>
      <c r="WNA12" s="1396"/>
      <c r="WNB12" s="416"/>
      <c r="WNC12" s="416"/>
      <c r="WND12" s="416"/>
      <c r="WNE12" s="416"/>
      <c r="WNF12" s="416"/>
      <c r="WNG12" s="416"/>
      <c r="WNH12" s="416"/>
      <c r="WNI12" s="416"/>
      <c r="WNJ12" s="416"/>
      <c r="WNK12" s="416"/>
      <c r="WNL12" s="1008"/>
      <c r="WNM12" s="1396"/>
      <c r="WNN12" s="416"/>
      <c r="WNO12" s="416"/>
      <c r="WNP12" s="416"/>
      <c r="WNQ12" s="416"/>
      <c r="WNR12" s="416"/>
      <c r="WNS12" s="416"/>
      <c r="WNT12" s="416"/>
      <c r="WNU12" s="416"/>
      <c r="WNV12" s="416"/>
      <c r="WNW12" s="416"/>
      <c r="WNX12" s="1008"/>
      <c r="WNY12" s="1396"/>
      <c r="WNZ12" s="416"/>
      <c r="WOA12" s="416"/>
      <c r="WOB12" s="416"/>
      <c r="WOC12" s="416"/>
      <c r="WOD12" s="416"/>
      <c r="WOE12" s="416"/>
      <c r="WOF12" s="416"/>
      <c r="WOG12" s="416"/>
      <c r="WOH12" s="416"/>
      <c r="WOI12" s="416"/>
      <c r="WOJ12" s="1008"/>
      <c r="WOK12" s="1396"/>
      <c r="WOL12" s="416"/>
      <c r="WOM12" s="416"/>
      <c r="WON12" s="416"/>
      <c r="WOO12" s="416"/>
      <c r="WOP12" s="416"/>
      <c r="WOQ12" s="416"/>
      <c r="WOR12" s="416"/>
      <c r="WOS12" s="416"/>
      <c r="WOT12" s="416"/>
      <c r="WOU12" s="416"/>
      <c r="WOV12" s="1008"/>
      <c r="WOW12" s="1396"/>
      <c r="WOX12" s="416"/>
      <c r="WOY12" s="416"/>
      <c r="WOZ12" s="416"/>
      <c r="WPA12" s="416"/>
      <c r="WPB12" s="416"/>
      <c r="WPC12" s="416"/>
      <c r="WPD12" s="416"/>
      <c r="WPE12" s="416"/>
      <c r="WPF12" s="416"/>
      <c r="WPG12" s="416"/>
      <c r="WPH12" s="1008"/>
      <c r="WPI12" s="1396"/>
      <c r="WPJ12" s="416"/>
      <c r="WPK12" s="416"/>
      <c r="WPL12" s="416"/>
      <c r="WPM12" s="416"/>
      <c r="WPN12" s="416"/>
      <c r="WPO12" s="416"/>
      <c r="WPP12" s="416"/>
      <c r="WPQ12" s="416"/>
      <c r="WPR12" s="416"/>
      <c r="WPS12" s="416"/>
      <c r="WPT12" s="1008"/>
      <c r="WPU12" s="1396"/>
      <c r="WPV12" s="416"/>
      <c r="WPW12" s="416"/>
      <c r="WPX12" s="416"/>
      <c r="WPY12" s="416"/>
      <c r="WPZ12" s="416"/>
      <c r="WQA12" s="416"/>
      <c r="WQB12" s="416"/>
      <c r="WQC12" s="416"/>
      <c r="WQD12" s="416"/>
      <c r="WQE12" s="416"/>
      <c r="WQF12" s="1008"/>
      <c r="WQG12" s="1396"/>
      <c r="WQH12" s="416"/>
      <c r="WQI12" s="416"/>
      <c r="WQJ12" s="416"/>
      <c r="WQK12" s="416"/>
      <c r="WQL12" s="416"/>
      <c r="WQM12" s="416"/>
      <c r="WQN12" s="416"/>
      <c r="WQO12" s="416"/>
      <c r="WQP12" s="416"/>
      <c r="WQQ12" s="416"/>
      <c r="WQR12" s="1008"/>
      <c r="WQS12" s="1396"/>
      <c r="WQT12" s="416"/>
      <c r="WQU12" s="416"/>
      <c r="WQV12" s="416"/>
      <c r="WQW12" s="416"/>
      <c r="WQX12" s="416"/>
      <c r="WQY12" s="416"/>
      <c r="WQZ12" s="416"/>
      <c r="WRA12" s="416"/>
      <c r="WRB12" s="416"/>
      <c r="WRC12" s="416"/>
      <c r="WRD12" s="1008"/>
      <c r="WRE12" s="1396"/>
      <c r="WRF12" s="416"/>
      <c r="WRG12" s="416"/>
      <c r="WRH12" s="416"/>
      <c r="WRI12" s="416"/>
      <c r="WRJ12" s="416"/>
      <c r="WRK12" s="416"/>
      <c r="WRL12" s="416"/>
      <c r="WRM12" s="416"/>
      <c r="WRN12" s="416"/>
      <c r="WRO12" s="416"/>
      <c r="WRP12" s="1008"/>
      <c r="WRQ12" s="1396"/>
      <c r="WRR12" s="416"/>
      <c r="WRS12" s="416"/>
      <c r="WRT12" s="416"/>
      <c r="WRU12" s="416"/>
      <c r="WRV12" s="416"/>
      <c r="WRW12" s="416"/>
      <c r="WRX12" s="416"/>
      <c r="WRY12" s="416"/>
      <c r="WRZ12" s="416"/>
      <c r="WSA12" s="416"/>
      <c r="WSB12" s="1008"/>
      <c r="WSC12" s="1396"/>
      <c r="WSD12" s="416"/>
      <c r="WSE12" s="416"/>
      <c r="WSF12" s="416"/>
      <c r="WSG12" s="416"/>
      <c r="WSH12" s="416"/>
      <c r="WSI12" s="416"/>
      <c r="WSJ12" s="416"/>
      <c r="WSK12" s="416"/>
      <c r="WSL12" s="416"/>
      <c r="WSM12" s="416"/>
      <c r="WSN12" s="1008"/>
      <c r="WSO12" s="1396"/>
      <c r="WSP12" s="416"/>
      <c r="WSQ12" s="416"/>
      <c r="WSR12" s="416"/>
      <c r="WSS12" s="416"/>
      <c r="WST12" s="416"/>
      <c r="WSU12" s="416"/>
      <c r="WSV12" s="416"/>
      <c r="WSW12" s="416"/>
      <c r="WSX12" s="416"/>
      <c r="WSY12" s="416"/>
      <c r="WSZ12" s="1008"/>
      <c r="WTA12" s="1396"/>
      <c r="WTB12" s="416"/>
      <c r="WTC12" s="416"/>
      <c r="WTD12" s="416"/>
      <c r="WTE12" s="416"/>
      <c r="WTF12" s="416"/>
      <c r="WTG12" s="416"/>
      <c r="WTH12" s="416"/>
      <c r="WTI12" s="416"/>
      <c r="WTJ12" s="416"/>
      <c r="WTK12" s="416"/>
      <c r="WTL12" s="1008"/>
      <c r="WTM12" s="1396"/>
      <c r="WTN12" s="416"/>
      <c r="WTO12" s="416"/>
      <c r="WTP12" s="416"/>
      <c r="WTQ12" s="416"/>
      <c r="WTR12" s="416"/>
      <c r="WTS12" s="416"/>
      <c r="WTT12" s="416"/>
      <c r="WTU12" s="416"/>
      <c r="WTV12" s="416"/>
      <c r="WTW12" s="416"/>
      <c r="WTX12" s="1008"/>
      <c r="WTY12" s="1396"/>
      <c r="WTZ12" s="416"/>
      <c r="WUA12" s="416"/>
      <c r="WUB12" s="416"/>
      <c r="WUC12" s="416"/>
      <c r="WUD12" s="416"/>
      <c r="WUE12" s="416"/>
      <c r="WUF12" s="416"/>
      <c r="WUG12" s="416"/>
      <c r="WUH12" s="416"/>
      <c r="WUI12" s="416"/>
      <c r="WUJ12" s="1008"/>
      <c r="WUK12" s="1396"/>
      <c r="WUL12" s="416"/>
      <c r="WUM12" s="416"/>
      <c r="WUN12" s="416"/>
      <c r="WUO12" s="416"/>
      <c r="WUP12" s="416"/>
      <c r="WUQ12" s="416"/>
      <c r="WUR12" s="416"/>
      <c r="WUS12" s="416"/>
      <c r="WUT12" s="416"/>
      <c r="WUU12" s="416"/>
      <c r="WUV12" s="1008"/>
      <c r="WUW12" s="1396"/>
      <c r="WUX12" s="416"/>
      <c r="WUY12" s="416"/>
      <c r="WUZ12" s="416"/>
      <c r="WVA12" s="416"/>
      <c r="WVB12" s="416"/>
      <c r="WVC12" s="416"/>
      <c r="WVD12" s="416"/>
      <c r="WVE12" s="416"/>
      <c r="WVF12" s="416"/>
      <c r="WVG12" s="416"/>
      <c r="WVH12" s="1008"/>
      <c r="WVI12" s="1396"/>
      <c r="WVJ12" s="416"/>
      <c r="WVK12" s="416"/>
      <c r="WVL12" s="416"/>
      <c r="WVM12" s="416"/>
      <c r="WVN12" s="416"/>
      <c r="WVO12" s="416"/>
      <c r="WVP12" s="416"/>
      <c r="WVQ12" s="416"/>
      <c r="WVR12" s="416"/>
      <c r="WVS12" s="416"/>
      <c r="WVT12" s="1008"/>
      <c r="WVU12" s="1396"/>
      <c r="WVV12" s="416"/>
      <c r="WVW12" s="416"/>
      <c r="WVX12" s="416"/>
      <c r="WVY12" s="416"/>
      <c r="WVZ12" s="416"/>
      <c r="WWA12" s="416"/>
      <c r="WWB12" s="416"/>
      <c r="WWC12" s="416"/>
      <c r="WWD12" s="416"/>
      <c r="WWE12" s="416"/>
      <c r="WWF12" s="1008"/>
      <c r="WWG12" s="1396"/>
      <c r="WWH12" s="416"/>
      <c r="WWI12" s="416"/>
      <c r="WWJ12" s="416"/>
      <c r="WWK12" s="416"/>
      <c r="WWL12" s="416"/>
      <c r="WWM12" s="416"/>
      <c r="WWN12" s="416"/>
      <c r="WWO12" s="416"/>
      <c r="WWP12" s="416"/>
      <c r="WWQ12" s="416"/>
      <c r="WWR12" s="1008"/>
      <c r="WWS12" s="1396"/>
      <c r="WWT12" s="416"/>
      <c r="WWU12" s="416"/>
      <c r="WWV12" s="416"/>
      <c r="WWW12" s="416"/>
      <c r="WWX12" s="416"/>
      <c r="WWY12" s="416"/>
      <c r="WWZ12" s="416"/>
      <c r="WXA12" s="416"/>
      <c r="WXB12" s="416"/>
      <c r="WXC12" s="416"/>
      <c r="WXD12" s="1008"/>
      <c r="WXE12" s="1396"/>
      <c r="WXF12" s="416"/>
      <c r="WXG12" s="416"/>
      <c r="WXH12" s="416"/>
      <c r="WXI12" s="416"/>
      <c r="WXJ12" s="416"/>
      <c r="WXK12" s="416"/>
      <c r="WXL12" s="416"/>
      <c r="WXM12" s="416"/>
      <c r="WXN12" s="416"/>
      <c r="WXO12" s="416"/>
      <c r="WXP12" s="1008"/>
      <c r="WXQ12" s="1396"/>
      <c r="WXR12" s="416"/>
      <c r="WXS12" s="416"/>
      <c r="WXT12" s="416"/>
      <c r="WXU12" s="416"/>
      <c r="WXV12" s="416"/>
      <c r="WXW12" s="416"/>
      <c r="WXX12" s="416"/>
      <c r="WXY12" s="416"/>
      <c r="WXZ12" s="416"/>
      <c r="WYA12" s="416"/>
      <c r="WYB12" s="1008"/>
      <c r="WYC12" s="1396"/>
      <c r="WYD12" s="416"/>
      <c r="WYE12" s="416"/>
      <c r="WYF12" s="416"/>
      <c r="WYG12" s="416"/>
      <c r="WYH12" s="416"/>
      <c r="WYI12" s="416"/>
      <c r="WYJ12" s="416"/>
      <c r="WYK12" s="416"/>
      <c r="WYL12" s="416"/>
      <c r="WYM12" s="416"/>
      <c r="WYN12" s="1008"/>
      <c r="WYO12" s="1396"/>
      <c r="WYP12" s="416"/>
      <c r="WYQ12" s="416"/>
      <c r="WYR12" s="416"/>
      <c r="WYS12" s="416"/>
      <c r="WYT12" s="416"/>
      <c r="WYU12" s="416"/>
      <c r="WYV12" s="416"/>
      <c r="WYW12" s="416"/>
      <c r="WYX12" s="416"/>
      <c r="WYY12" s="416"/>
      <c r="WYZ12" s="1008"/>
      <c r="WZA12" s="1396"/>
      <c r="WZB12" s="416"/>
      <c r="WZC12" s="416"/>
      <c r="WZD12" s="416"/>
      <c r="WZE12" s="416"/>
      <c r="WZF12" s="416"/>
      <c r="WZG12" s="416"/>
      <c r="WZH12" s="416"/>
      <c r="WZI12" s="416"/>
      <c r="WZJ12" s="416"/>
      <c r="WZK12" s="416"/>
      <c r="WZL12" s="1008"/>
      <c r="WZM12" s="1396"/>
      <c r="WZN12" s="416"/>
      <c r="WZO12" s="416"/>
      <c r="WZP12" s="416"/>
      <c r="WZQ12" s="416"/>
      <c r="WZR12" s="416"/>
      <c r="WZS12" s="416"/>
      <c r="WZT12" s="416"/>
      <c r="WZU12" s="416"/>
      <c r="WZV12" s="416"/>
      <c r="WZW12" s="416"/>
      <c r="WZX12" s="1008"/>
      <c r="WZY12" s="1396"/>
      <c r="WZZ12" s="416"/>
      <c r="XAA12" s="416"/>
      <c r="XAB12" s="416"/>
      <c r="XAC12" s="416"/>
      <c r="XAD12" s="416"/>
      <c r="XAE12" s="416"/>
      <c r="XAF12" s="416"/>
      <c r="XAG12" s="416"/>
      <c r="XAH12" s="416"/>
      <c r="XAI12" s="416"/>
      <c r="XAJ12" s="1008"/>
      <c r="XAK12" s="1396"/>
      <c r="XAL12" s="416"/>
      <c r="XAM12" s="416"/>
      <c r="XAN12" s="416"/>
      <c r="XAO12" s="416"/>
      <c r="XAP12" s="416"/>
      <c r="XAQ12" s="416"/>
      <c r="XAR12" s="416"/>
      <c r="XAS12" s="416"/>
      <c r="XAT12" s="416"/>
      <c r="XAU12" s="416"/>
      <c r="XAV12" s="1008"/>
      <c r="XAW12" s="1396"/>
      <c r="XAX12" s="416"/>
      <c r="XAY12" s="416"/>
      <c r="XAZ12" s="416"/>
      <c r="XBA12" s="416"/>
      <c r="XBB12" s="416"/>
      <c r="XBC12" s="416"/>
      <c r="XBD12" s="416"/>
      <c r="XBE12" s="416"/>
      <c r="XBF12" s="416"/>
      <c r="XBG12" s="416"/>
      <c r="XBH12" s="1008"/>
      <c r="XBI12" s="1396"/>
      <c r="XBJ12" s="416"/>
      <c r="XBK12" s="416"/>
      <c r="XBL12" s="416"/>
      <c r="XBM12" s="416"/>
      <c r="XBN12" s="416"/>
      <c r="XBO12" s="416"/>
      <c r="XBP12" s="416"/>
      <c r="XBQ12" s="416"/>
      <c r="XBR12" s="416"/>
      <c r="XBS12" s="416"/>
      <c r="XBT12" s="1008"/>
      <c r="XBU12" s="1396"/>
      <c r="XBV12" s="416"/>
      <c r="XBW12" s="416"/>
      <c r="XBX12" s="416"/>
      <c r="XBY12" s="416"/>
      <c r="XBZ12" s="416"/>
      <c r="XCA12" s="416"/>
      <c r="XCB12" s="416"/>
      <c r="XCC12" s="416"/>
      <c r="XCD12" s="416"/>
      <c r="XCE12" s="416"/>
      <c r="XCF12" s="1008"/>
      <c r="XCG12" s="1396"/>
      <c r="XCH12" s="416"/>
      <c r="XCI12" s="416"/>
      <c r="XCJ12" s="416"/>
      <c r="XCK12" s="416"/>
      <c r="XCL12" s="416"/>
      <c r="XCM12" s="416"/>
      <c r="XCN12" s="416"/>
      <c r="XCO12" s="416"/>
      <c r="XCP12" s="416"/>
      <c r="XCQ12" s="416"/>
      <c r="XCR12" s="1008"/>
      <c r="XCS12" s="1396"/>
      <c r="XCT12" s="416"/>
      <c r="XCU12" s="416"/>
      <c r="XCV12" s="416"/>
      <c r="XCW12" s="416"/>
      <c r="XCX12" s="416"/>
      <c r="XCY12" s="416"/>
      <c r="XCZ12" s="416"/>
      <c r="XDA12" s="416"/>
      <c r="XDB12" s="416"/>
      <c r="XDC12" s="416"/>
      <c r="XDD12" s="1008"/>
      <c r="XDE12" s="1396"/>
      <c r="XDF12" s="416"/>
      <c r="XDG12" s="416"/>
      <c r="XDH12" s="416"/>
      <c r="XDI12" s="416"/>
      <c r="XDJ12" s="416"/>
      <c r="XDK12" s="416"/>
      <c r="XDL12" s="416"/>
      <c r="XDM12" s="416"/>
      <c r="XDN12" s="416"/>
      <c r="XDO12" s="416"/>
      <c r="XDP12" s="1008"/>
      <c r="XDQ12" s="1396"/>
      <c r="XDR12" s="416"/>
      <c r="XDS12" s="416"/>
      <c r="XDT12" s="416"/>
      <c r="XDU12" s="416"/>
      <c r="XDV12" s="416"/>
      <c r="XDW12" s="416"/>
      <c r="XDX12" s="416"/>
      <c r="XDY12" s="416"/>
      <c r="XDZ12" s="416"/>
      <c r="XEA12" s="416"/>
      <c r="XEB12" s="1008"/>
      <c r="XEC12" s="1396"/>
      <c r="XED12" s="416"/>
      <c r="XEE12" s="416"/>
      <c r="XEF12" s="416"/>
      <c r="XEG12" s="416"/>
      <c r="XEH12" s="416"/>
      <c r="XEI12" s="416"/>
      <c r="XEJ12" s="416"/>
      <c r="XEK12" s="416"/>
      <c r="XEL12" s="416"/>
      <c r="XEM12" s="416"/>
      <c r="XEN12" s="1008"/>
      <c r="XEO12" s="1396"/>
      <c r="XEP12" s="416"/>
      <c r="XEQ12" s="416"/>
      <c r="XER12" s="416"/>
      <c r="XES12" s="416"/>
      <c r="XET12" s="416"/>
      <c r="XEU12" s="416"/>
      <c r="XEV12" s="416"/>
      <c r="XEW12" s="416"/>
      <c r="XEX12" s="416"/>
      <c r="XEY12" s="416"/>
      <c r="XEZ12" s="1008"/>
      <c r="XFA12" s="1396"/>
      <c r="XFB12" s="416"/>
      <c r="XFC12" s="416"/>
      <c r="XFD12" s="416"/>
    </row>
    <row r="13" spans="1:16384" s="430" customFormat="1" ht="11.1" customHeight="1">
      <c r="A13" s="763" t="s">
        <v>2056</v>
      </c>
      <c r="B13" s="490">
        <v>387349.911103677</v>
      </c>
      <c r="C13" s="490">
        <v>0</v>
      </c>
      <c r="D13" s="490">
        <v>11966.745926049949</v>
      </c>
      <c r="E13" s="490">
        <v>51026.618835131594</v>
      </c>
      <c r="F13" s="490">
        <v>62993.36476118154</v>
      </c>
      <c r="G13" s="490">
        <v>33197.991050672099</v>
      </c>
      <c r="H13" s="490">
        <v>1188220.97403525</v>
      </c>
      <c r="I13" s="490">
        <v>1221418.965085922</v>
      </c>
      <c r="J13" s="490">
        <v>255180.05278878909</v>
      </c>
      <c r="K13" s="490">
        <v>1926942.2937395696</v>
      </c>
      <c r="L13" s="1460" t="s">
        <v>2056</v>
      </c>
      <c r="M13" s="477"/>
      <c r="N13" s="155"/>
      <c r="O13" s="155"/>
      <c r="P13" s="155"/>
      <c r="Q13" s="155"/>
    </row>
    <row r="14" spans="1:16384" s="430" customFormat="1" ht="11.1" customHeight="1">
      <c r="A14" s="1447" t="s">
        <v>2188</v>
      </c>
      <c r="B14" s="492">
        <f>B26</f>
        <v>424877.09532937198</v>
      </c>
      <c r="C14" s="492">
        <f t="shared" ref="C14:K14" si="0">C26</f>
        <v>0</v>
      </c>
      <c r="D14" s="492">
        <f t="shared" si="0"/>
        <v>11890.595936132791</v>
      </c>
      <c r="E14" s="492">
        <f t="shared" si="0"/>
        <v>48991.827955407753</v>
      </c>
      <c r="F14" s="492">
        <f t="shared" si="0"/>
        <v>60882.423891540544</v>
      </c>
      <c r="G14" s="492">
        <f t="shared" si="0"/>
        <v>37521.745157030498</v>
      </c>
      <c r="H14" s="492">
        <f t="shared" si="0"/>
        <v>1318438.81654796</v>
      </c>
      <c r="I14" s="492">
        <f t="shared" si="0"/>
        <v>1355960.5617049905</v>
      </c>
      <c r="J14" s="492">
        <f t="shared" si="0"/>
        <v>273815.60125618597</v>
      </c>
      <c r="K14" s="492">
        <f t="shared" si="0"/>
        <v>2115535.682182089</v>
      </c>
      <c r="L14" s="318" t="s">
        <v>2188</v>
      </c>
      <c r="M14" s="477"/>
      <c r="N14" s="155"/>
      <c r="O14" s="155"/>
      <c r="P14" s="160"/>
      <c r="Q14" s="160"/>
    </row>
    <row r="15" spans="1:16384" s="430" customFormat="1" ht="11.1" customHeight="1">
      <c r="A15" s="209" t="s">
        <v>559</v>
      </c>
      <c r="B15" s="416">
        <v>389687.28394171601</v>
      </c>
      <c r="C15" s="416">
        <v>0</v>
      </c>
      <c r="D15" s="416">
        <v>11910.534197309789</v>
      </c>
      <c r="E15" s="416">
        <v>49577.653250548712</v>
      </c>
      <c r="F15" s="416">
        <f t="shared" ref="F15:F26" si="1">D15+E15</f>
        <v>61488.187447858501</v>
      </c>
      <c r="G15" s="416">
        <v>33126.846834725198</v>
      </c>
      <c r="H15" s="416">
        <v>1180486.14235387</v>
      </c>
      <c r="I15" s="416">
        <f t="shared" ref="I15:I26" si="2">G15+H15</f>
        <v>1213612.9891885952</v>
      </c>
      <c r="J15" s="416">
        <v>255381.65278330777</v>
      </c>
      <c r="K15" s="416">
        <f t="shared" ref="K15:K54" si="3">B15+C15+F15+I15+J15</f>
        <v>1920170.1133614774</v>
      </c>
      <c r="L15" s="357" t="s">
        <v>559</v>
      </c>
      <c r="M15" s="477"/>
      <c r="N15" s="1174"/>
      <c r="O15" s="155"/>
      <c r="P15" s="456"/>
      <c r="Q15" s="456"/>
    </row>
    <row r="16" spans="1:16384" s="430" customFormat="1" ht="11.1" customHeight="1">
      <c r="A16" s="248" t="s">
        <v>560</v>
      </c>
      <c r="B16" s="411">
        <v>381879.67969403096</v>
      </c>
      <c r="C16" s="411">
        <v>0</v>
      </c>
      <c r="D16" s="411">
        <v>11921.57240212581</v>
      </c>
      <c r="E16" s="411">
        <v>49671.787030780404</v>
      </c>
      <c r="F16" s="411">
        <f t="shared" si="1"/>
        <v>61593.359432906218</v>
      </c>
      <c r="G16" s="411">
        <v>33509.826089229202</v>
      </c>
      <c r="H16" s="411">
        <v>1189217.02651275</v>
      </c>
      <c r="I16" s="411">
        <f t="shared" si="2"/>
        <v>1222726.8526019792</v>
      </c>
      <c r="J16" s="411">
        <v>256367.9068834926</v>
      </c>
      <c r="K16" s="411">
        <f t="shared" si="3"/>
        <v>1922567.7986124088</v>
      </c>
      <c r="L16" s="335" t="s">
        <v>560</v>
      </c>
      <c r="M16" s="477"/>
      <c r="N16" s="1174"/>
      <c r="O16" s="155"/>
      <c r="P16" s="456"/>
      <c r="Q16" s="456"/>
    </row>
    <row r="17" spans="1:17" s="430" customFormat="1" ht="11.1" customHeight="1">
      <c r="A17" s="209" t="s">
        <v>554</v>
      </c>
      <c r="B17" s="416">
        <v>370920.86295667797</v>
      </c>
      <c r="C17" s="416">
        <v>0</v>
      </c>
      <c r="D17" s="416">
        <v>12147.02353727566</v>
      </c>
      <c r="E17" s="416">
        <v>49372.62355946374</v>
      </c>
      <c r="F17" s="416">
        <f t="shared" si="1"/>
        <v>61519.647096739398</v>
      </c>
      <c r="G17" s="416">
        <v>34448.876896518297</v>
      </c>
      <c r="H17" s="416">
        <v>1204785.87550411</v>
      </c>
      <c r="I17" s="416">
        <f t="shared" si="2"/>
        <v>1239234.7524006283</v>
      </c>
      <c r="J17" s="416">
        <v>258895.41962939667</v>
      </c>
      <c r="K17" s="416">
        <f t="shared" si="3"/>
        <v>1930570.6820834423</v>
      </c>
      <c r="L17" s="357" t="s">
        <v>554</v>
      </c>
      <c r="M17" s="477"/>
      <c r="N17" s="1174"/>
      <c r="O17" s="155"/>
      <c r="P17" s="456"/>
      <c r="Q17" s="456"/>
    </row>
    <row r="18" spans="1:17" s="430" customFormat="1" ht="11.1" customHeight="1">
      <c r="A18" s="1005" t="s">
        <v>561</v>
      </c>
      <c r="B18" s="416">
        <v>368316.82358425792</v>
      </c>
      <c r="C18" s="416">
        <v>0</v>
      </c>
      <c r="D18" s="416">
        <v>12105.158731354408</v>
      </c>
      <c r="E18" s="416">
        <v>51253.013293146476</v>
      </c>
      <c r="F18" s="451">
        <f t="shared" si="1"/>
        <v>63358.172024500884</v>
      </c>
      <c r="G18" s="416">
        <v>34692.154468140601</v>
      </c>
      <c r="H18" s="416">
        <v>1216032.37986813</v>
      </c>
      <c r="I18" s="451">
        <f t="shared" si="2"/>
        <v>1250724.5343362705</v>
      </c>
      <c r="J18" s="416">
        <v>262034.42992121307</v>
      </c>
      <c r="K18" s="451">
        <f t="shared" si="3"/>
        <v>1944433.9598662425</v>
      </c>
      <c r="L18" s="1006" t="s">
        <v>561</v>
      </c>
      <c r="M18" s="477"/>
      <c r="N18" s="1174"/>
      <c r="O18" s="155"/>
      <c r="P18" s="456"/>
      <c r="Q18" s="456"/>
    </row>
    <row r="19" spans="1:17" s="430" customFormat="1" ht="11.1" customHeight="1">
      <c r="A19" s="209" t="s">
        <v>562</v>
      </c>
      <c r="B19" s="416">
        <v>363992.393540702</v>
      </c>
      <c r="C19" s="416">
        <v>0</v>
      </c>
      <c r="D19" s="416">
        <v>12088.233217185669</v>
      </c>
      <c r="E19" s="416">
        <v>49665.013519367756</v>
      </c>
      <c r="F19" s="416">
        <f t="shared" si="1"/>
        <v>61753.246736553425</v>
      </c>
      <c r="G19" s="416">
        <v>35574.022050983302</v>
      </c>
      <c r="H19" s="416">
        <v>1232112.6463347501</v>
      </c>
      <c r="I19" s="416">
        <f t="shared" si="2"/>
        <v>1267686.6683857334</v>
      </c>
      <c r="J19" s="416">
        <v>264163.52412446716</v>
      </c>
      <c r="K19" s="416">
        <f t="shared" si="3"/>
        <v>1957595.832787456</v>
      </c>
      <c r="L19" s="357" t="s">
        <v>562</v>
      </c>
      <c r="M19" s="477"/>
      <c r="N19" s="1174"/>
      <c r="O19" s="155"/>
      <c r="P19" s="456"/>
      <c r="Q19" s="456"/>
    </row>
    <row r="20" spans="1:17" s="430" customFormat="1" ht="11.1" customHeight="1">
      <c r="A20" s="248" t="s">
        <v>555</v>
      </c>
      <c r="B20" s="411">
        <v>351658.47598173399</v>
      </c>
      <c r="C20" s="411">
        <v>0</v>
      </c>
      <c r="D20" s="411">
        <v>12133.050382563908</v>
      </c>
      <c r="E20" s="411">
        <v>51366.289833245326</v>
      </c>
      <c r="F20" s="411">
        <f t="shared" si="1"/>
        <v>63499.340215809236</v>
      </c>
      <c r="G20" s="411">
        <v>36760.4980922861</v>
      </c>
      <c r="H20" s="411">
        <v>1252094.70495044</v>
      </c>
      <c r="I20" s="411">
        <f t="shared" si="2"/>
        <v>1288855.203042726</v>
      </c>
      <c r="J20" s="411">
        <v>267209.28757012321</v>
      </c>
      <c r="K20" s="411">
        <f t="shared" si="3"/>
        <v>1971222.3068103925</v>
      </c>
      <c r="L20" s="335" t="s">
        <v>555</v>
      </c>
      <c r="M20" s="477"/>
      <c r="N20" s="1174"/>
      <c r="O20" s="155"/>
      <c r="P20" s="456"/>
      <c r="Q20" s="456"/>
    </row>
    <row r="21" spans="1:17" s="430" customFormat="1" ht="11.1" customHeight="1">
      <c r="A21" s="209" t="s">
        <v>563</v>
      </c>
      <c r="B21" s="416">
        <v>367743.58913535002</v>
      </c>
      <c r="C21" s="416">
        <v>0</v>
      </c>
      <c r="D21" s="416">
        <v>11903.736123565519</v>
      </c>
      <c r="E21" s="416">
        <v>49464.589368787718</v>
      </c>
      <c r="F21" s="416">
        <f t="shared" si="1"/>
        <v>61368.325492353237</v>
      </c>
      <c r="G21" s="416">
        <v>35837.766969653501</v>
      </c>
      <c r="H21" s="416">
        <v>1250053.35425565</v>
      </c>
      <c r="I21" s="416">
        <f t="shared" si="2"/>
        <v>1285891.1212253035</v>
      </c>
      <c r="J21" s="416">
        <v>268425.22815749433</v>
      </c>
      <c r="K21" s="416">
        <f t="shared" si="3"/>
        <v>1983428.2640105011</v>
      </c>
      <c r="L21" s="357" t="s">
        <v>563</v>
      </c>
      <c r="M21" s="477"/>
      <c r="N21" s="1174"/>
      <c r="O21" s="155"/>
      <c r="P21" s="456"/>
      <c r="Q21" s="456"/>
    </row>
    <row r="22" spans="1:17" s="430" customFormat="1" ht="11.1" customHeight="1">
      <c r="A22" s="354" t="s">
        <v>564</v>
      </c>
      <c r="B22" s="411">
        <v>379502.40834228299</v>
      </c>
      <c r="C22" s="411">
        <v>0</v>
      </c>
      <c r="D22" s="411">
        <v>11927.416482014718</v>
      </c>
      <c r="E22" s="411">
        <v>50130.43704858308</v>
      </c>
      <c r="F22" s="411">
        <f t="shared" si="1"/>
        <v>62057.8535305978</v>
      </c>
      <c r="G22" s="411">
        <v>35742.516716537299</v>
      </c>
      <c r="H22" s="411">
        <v>1257326.8242699599</v>
      </c>
      <c r="I22" s="411">
        <f t="shared" si="2"/>
        <v>1293069.3409864972</v>
      </c>
      <c r="J22" s="411">
        <f>269457.360362273+21.8</f>
        <v>269479.16036227299</v>
      </c>
      <c r="K22" s="411">
        <f t="shared" si="3"/>
        <v>2004108.7632216511</v>
      </c>
      <c r="L22" s="1007" t="s">
        <v>564</v>
      </c>
      <c r="M22" s="477"/>
      <c r="N22" s="1174"/>
      <c r="O22" s="155"/>
      <c r="P22" s="456"/>
      <c r="Q22" s="456"/>
    </row>
    <row r="23" spans="1:17" s="430" customFormat="1" ht="11.1" customHeight="1">
      <c r="A23" s="209" t="s">
        <v>556</v>
      </c>
      <c r="B23" s="416">
        <v>390401.51422571199</v>
      </c>
      <c r="C23" s="416">
        <v>0</v>
      </c>
      <c r="D23" s="416">
        <v>11900.201629262228</v>
      </c>
      <c r="E23" s="416">
        <v>50171.788310738862</v>
      </c>
      <c r="F23" s="416">
        <f t="shared" si="1"/>
        <v>62071.989940001091</v>
      </c>
      <c r="G23" s="416">
        <v>35617.491424214801</v>
      </c>
      <c r="H23" s="416">
        <v>1277299.6966204201</v>
      </c>
      <c r="I23" s="416">
        <f t="shared" si="2"/>
        <v>1312917.1880446349</v>
      </c>
      <c r="J23" s="416">
        <f>271058.364218717-0.2</f>
        <v>271058.16421871696</v>
      </c>
      <c r="K23" s="416">
        <f t="shared" si="3"/>
        <v>2036448.8564290649</v>
      </c>
      <c r="L23" s="357" t="s">
        <v>556</v>
      </c>
      <c r="M23" s="477"/>
      <c r="N23" s="1174"/>
      <c r="O23" s="155"/>
      <c r="P23" s="456"/>
      <c r="Q23" s="456"/>
    </row>
    <row r="24" spans="1:17" s="430" customFormat="1" ht="11.1" customHeight="1">
      <c r="A24" s="1005" t="s">
        <v>565</v>
      </c>
      <c r="B24" s="416">
        <v>415153.228863617</v>
      </c>
      <c r="C24" s="416">
        <v>0</v>
      </c>
      <c r="D24" s="416">
        <v>11891.80381711778</v>
      </c>
      <c r="E24" s="416">
        <v>50236.433194270881</v>
      </c>
      <c r="F24" s="451">
        <f t="shared" si="1"/>
        <v>62128.237011388657</v>
      </c>
      <c r="G24" s="416">
        <v>35950.4627507642</v>
      </c>
      <c r="H24" s="416">
        <v>1281027.1183630801</v>
      </c>
      <c r="I24" s="451">
        <f t="shared" si="2"/>
        <v>1316977.5811138442</v>
      </c>
      <c r="J24" s="416">
        <v>270377.6343131992</v>
      </c>
      <c r="K24" s="451">
        <f t="shared" si="3"/>
        <v>2064636.681302049</v>
      </c>
      <c r="L24" s="1006" t="s">
        <v>565</v>
      </c>
      <c r="M24" s="477"/>
      <c r="N24" s="1174"/>
      <c r="O24" s="155"/>
      <c r="P24" s="456"/>
      <c r="Q24" s="456"/>
    </row>
    <row r="25" spans="1:17" s="430" customFormat="1" ht="11.1" customHeight="1">
      <c r="A25" s="209" t="s">
        <v>566</v>
      </c>
      <c r="B25" s="416">
        <v>424509.09622190893</v>
      </c>
      <c r="C25" s="416">
        <v>0</v>
      </c>
      <c r="D25" s="416">
        <v>11864.27767494621</v>
      </c>
      <c r="E25" s="416">
        <v>50157.478528535685</v>
      </c>
      <c r="F25" s="416">
        <f t="shared" si="1"/>
        <v>62021.756203481898</v>
      </c>
      <c r="G25" s="416">
        <v>36474.266254824397</v>
      </c>
      <c r="H25" s="416">
        <v>1300582.0584970701</v>
      </c>
      <c r="I25" s="416">
        <f t="shared" si="2"/>
        <v>1337056.3247518945</v>
      </c>
      <c r="J25" s="416">
        <f>271726.875892086+7.7</f>
        <v>271734.57589208602</v>
      </c>
      <c r="K25" s="416">
        <f t="shared" si="3"/>
        <v>2095321.7530693715</v>
      </c>
      <c r="L25" s="357" t="s">
        <v>566</v>
      </c>
      <c r="M25" s="477"/>
      <c r="N25" s="1174"/>
      <c r="O25" s="155"/>
      <c r="P25" s="456"/>
      <c r="Q25" s="456"/>
    </row>
    <row r="26" spans="1:17" s="430" customFormat="1" ht="11.1" customHeight="1">
      <c r="A26" s="248" t="s">
        <v>557</v>
      </c>
      <c r="B26" s="411">
        <v>424877.09532937198</v>
      </c>
      <c r="C26" s="411">
        <v>0</v>
      </c>
      <c r="D26" s="411">
        <v>11890.595936132791</v>
      </c>
      <c r="E26" s="411">
        <v>48991.827955407753</v>
      </c>
      <c r="F26" s="411">
        <f t="shared" si="1"/>
        <v>60882.423891540544</v>
      </c>
      <c r="G26" s="411">
        <v>37521.745157030498</v>
      </c>
      <c r="H26" s="411">
        <v>1318438.81654796</v>
      </c>
      <c r="I26" s="411">
        <f t="shared" si="2"/>
        <v>1355960.5617049905</v>
      </c>
      <c r="J26" s="411">
        <f>274085.301256186-269.7</f>
        <v>273815.60125618597</v>
      </c>
      <c r="K26" s="411">
        <f t="shared" si="3"/>
        <v>2115535.682182089</v>
      </c>
      <c r="L26" s="335" t="s">
        <v>557</v>
      </c>
      <c r="M26" s="477"/>
      <c r="N26" s="1174"/>
      <c r="O26" s="155"/>
      <c r="P26" s="456"/>
      <c r="Q26" s="456"/>
    </row>
    <row r="27" spans="1:17" s="430" customFormat="1" ht="11.1" customHeight="1">
      <c r="A27" s="763" t="s">
        <v>2439</v>
      </c>
      <c r="B27" s="490">
        <f>B39</f>
        <v>488177.8</v>
      </c>
      <c r="C27" s="490">
        <f t="shared" ref="C27:K27" si="4">C39</f>
        <v>0</v>
      </c>
      <c r="D27" s="490">
        <f t="shared" si="4"/>
        <v>13191.6274734</v>
      </c>
      <c r="E27" s="490">
        <f t="shared" si="4"/>
        <v>47536.437717918001</v>
      </c>
      <c r="F27" s="490">
        <f t="shared" si="4"/>
        <v>60728.065191318005</v>
      </c>
      <c r="G27" s="490">
        <f t="shared" si="4"/>
        <v>34099.373419062998</v>
      </c>
      <c r="H27" s="490">
        <f t="shared" si="4"/>
        <v>1410635.9409771289</v>
      </c>
      <c r="I27" s="490">
        <f t="shared" si="4"/>
        <v>1444735.3143961919</v>
      </c>
      <c r="J27" s="490">
        <f t="shared" si="4"/>
        <v>290711.84000000003</v>
      </c>
      <c r="K27" s="490">
        <f t="shared" si="4"/>
        <v>2284353.0195875098</v>
      </c>
      <c r="L27" s="319" t="s">
        <v>2439</v>
      </c>
      <c r="M27" s="477"/>
      <c r="N27" s="1174"/>
      <c r="O27" s="155"/>
      <c r="P27" s="456"/>
      <c r="Q27" s="456"/>
    </row>
    <row r="28" spans="1:17" s="430" customFormat="1" ht="11.1" customHeight="1">
      <c r="A28" s="248" t="s">
        <v>559</v>
      </c>
      <c r="B28" s="411">
        <v>437588.4</v>
      </c>
      <c r="C28" s="411">
        <v>0</v>
      </c>
      <c r="D28" s="411">
        <v>11857.95672689749</v>
      </c>
      <c r="E28" s="411">
        <v>47335.794166000946</v>
      </c>
      <c r="F28" s="411">
        <f>D28+E28</f>
        <v>59193.750892898432</v>
      </c>
      <c r="G28" s="411">
        <v>38078.604244230497</v>
      </c>
      <c r="H28" s="411">
        <v>1315083.18055424</v>
      </c>
      <c r="I28" s="411">
        <f>G28+H28</f>
        <v>1353161.7847984706</v>
      </c>
      <c r="J28" s="411">
        <f>273500.493638335-3.7</f>
        <v>273496.79363833502</v>
      </c>
      <c r="K28" s="411">
        <f t="shared" si="3"/>
        <v>2123440.7293297038</v>
      </c>
      <c r="L28" s="335" t="s">
        <v>559</v>
      </c>
      <c r="M28" s="477"/>
      <c r="N28" s="1174"/>
      <c r="O28" s="155"/>
      <c r="P28" s="1290"/>
      <c r="Q28" s="456"/>
    </row>
    <row r="29" spans="1:17" s="430" customFormat="1" ht="11.1" customHeight="1">
      <c r="A29" s="209" t="s">
        <v>560</v>
      </c>
      <c r="B29" s="416">
        <v>426233.30000000005</v>
      </c>
      <c r="C29" s="416">
        <v>0</v>
      </c>
      <c r="D29" s="416">
        <v>11575.72768230689</v>
      </c>
      <c r="E29" s="416">
        <v>45853.575569051718</v>
      </c>
      <c r="F29" s="416">
        <f>D29+E29</f>
        <v>57429.303251358608</v>
      </c>
      <c r="G29" s="416">
        <v>37298.5438206611</v>
      </c>
      <c r="H29" s="416">
        <v>1326002.75470919</v>
      </c>
      <c r="I29" s="416">
        <f>G29+H29</f>
        <v>1363301.298529851</v>
      </c>
      <c r="J29" s="416">
        <f>270848.131982447-1.8</f>
        <v>270846.33198244701</v>
      </c>
      <c r="K29" s="416">
        <f t="shared" si="3"/>
        <v>2117810.2337636566</v>
      </c>
      <c r="L29" s="357" t="s">
        <v>560</v>
      </c>
      <c r="M29" s="477"/>
      <c r="N29" s="1174"/>
      <c r="O29" s="155"/>
      <c r="P29" s="1290"/>
      <c r="Q29" s="456"/>
    </row>
    <row r="30" spans="1:17" s="430" customFormat="1" ht="11.1" customHeight="1">
      <c r="A30" s="1005" t="s">
        <v>554</v>
      </c>
      <c r="B30" s="416">
        <v>406813.8</v>
      </c>
      <c r="C30" s="416">
        <v>0</v>
      </c>
      <c r="D30" s="416">
        <v>11549.587880485842</v>
      </c>
      <c r="E30" s="416">
        <v>45796.306443994581</v>
      </c>
      <c r="F30" s="451">
        <f>D30+E30</f>
        <v>57345.894324480425</v>
      </c>
      <c r="G30" s="416">
        <v>35692.385308061203</v>
      </c>
      <c r="H30" s="416">
        <v>1335370.52681484</v>
      </c>
      <c r="I30" s="451">
        <f>G30+H30</f>
        <v>1371062.9121229013</v>
      </c>
      <c r="J30" s="416">
        <v>271077.25015322788</v>
      </c>
      <c r="K30" s="451">
        <f t="shared" si="3"/>
        <v>2106299.8566006096</v>
      </c>
      <c r="L30" s="1006" t="s">
        <v>554</v>
      </c>
      <c r="M30" s="477"/>
      <c r="N30" s="1174"/>
      <c r="O30" s="155"/>
      <c r="P30" s="1290"/>
      <c r="Q30" s="456"/>
    </row>
    <row r="31" spans="1:17" s="430" customFormat="1" ht="11.1" customHeight="1">
      <c r="A31" s="209" t="s">
        <v>561</v>
      </c>
      <c r="B31" s="416">
        <v>427272.30000000005</v>
      </c>
      <c r="C31" s="416">
        <v>0</v>
      </c>
      <c r="D31" s="416">
        <v>11558.217495670769</v>
      </c>
      <c r="E31" s="416">
        <v>44928.680773037238</v>
      </c>
      <c r="F31" s="416">
        <f>D31+E31</f>
        <v>56486.898268708006</v>
      </c>
      <c r="G31" s="416">
        <v>35915.934583464201</v>
      </c>
      <c r="H31" s="416">
        <v>1339843.2003567701</v>
      </c>
      <c r="I31" s="416">
        <f>G31+H31</f>
        <v>1375759.1349402342</v>
      </c>
      <c r="J31" s="416">
        <f>271460.487308523+0.1</f>
        <v>271460.58730852295</v>
      </c>
      <c r="K31" s="416">
        <f t="shared" si="3"/>
        <v>2130978.9205174651</v>
      </c>
      <c r="L31" s="357" t="s">
        <v>561</v>
      </c>
      <c r="M31" s="477"/>
      <c r="N31" s="1174"/>
      <c r="O31" s="155"/>
      <c r="P31" s="1290"/>
      <c r="Q31" s="456"/>
    </row>
    <row r="32" spans="1:17" s="430" customFormat="1" ht="11.1" customHeight="1">
      <c r="A32" s="248" t="s">
        <v>562</v>
      </c>
      <c r="B32" s="411">
        <v>438647.5</v>
      </c>
      <c r="C32" s="411">
        <v>0</v>
      </c>
      <c r="D32" s="411">
        <v>11601.08528397611</v>
      </c>
      <c r="E32" s="411">
        <v>46290.592684646836</v>
      </c>
      <c r="F32" s="411">
        <f t="shared" ref="F32:F54" si="5">D32+E32</f>
        <v>57891.677968622942</v>
      </c>
      <c r="G32" s="411">
        <v>36260.102035757896</v>
      </c>
      <c r="H32" s="411">
        <v>1345223.7275823399</v>
      </c>
      <c r="I32" s="411">
        <f t="shared" ref="I32:I54" si="6">G32+H32</f>
        <v>1381483.8296180977</v>
      </c>
      <c r="J32" s="411">
        <v>272809.9293938771</v>
      </c>
      <c r="K32" s="411">
        <f t="shared" si="3"/>
        <v>2150832.9369805977</v>
      </c>
      <c r="L32" s="335" t="s">
        <v>562</v>
      </c>
      <c r="M32" s="477"/>
      <c r="N32" s="1174"/>
      <c r="O32" s="155"/>
      <c r="P32" s="1290"/>
      <c r="Q32" s="456"/>
    </row>
    <row r="33" spans="1:20" s="430" customFormat="1" ht="11.1" customHeight="1">
      <c r="A33" s="209" t="s">
        <v>555</v>
      </c>
      <c r="B33" s="416">
        <v>415573.1</v>
      </c>
      <c r="C33" s="416">
        <v>0</v>
      </c>
      <c r="D33" s="416">
        <v>13271.241660037749</v>
      </c>
      <c r="E33" s="416">
        <v>48392.594936996982</v>
      </c>
      <c r="F33" s="416">
        <f t="shared" si="5"/>
        <v>61663.836597034729</v>
      </c>
      <c r="G33" s="416">
        <v>37058.4436529343</v>
      </c>
      <c r="H33" s="416">
        <v>1359000.6607153299</v>
      </c>
      <c r="I33" s="416">
        <f t="shared" si="6"/>
        <v>1396059.1043682643</v>
      </c>
      <c r="J33" s="416">
        <v>277877.92097424256</v>
      </c>
      <c r="K33" s="416">
        <f t="shared" si="3"/>
        <v>2151173.9619395416</v>
      </c>
      <c r="L33" s="357" t="s">
        <v>555</v>
      </c>
      <c r="M33" s="477"/>
      <c r="N33" s="1174"/>
      <c r="O33" s="155"/>
      <c r="P33" s="1290"/>
      <c r="Q33" s="456"/>
    </row>
    <row r="34" spans="1:20" s="430" customFormat="1" ht="11.1" customHeight="1">
      <c r="A34" s="354" t="s">
        <v>563</v>
      </c>
      <c r="B34" s="411">
        <v>434361.3</v>
      </c>
      <c r="C34" s="411">
        <v>0</v>
      </c>
      <c r="D34" s="411">
        <v>13325.103972360248</v>
      </c>
      <c r="E34" s="411">
        <v>47430.495753365416</v>
      </c>
      <c r="F34" s="411">
        <f t="shared" si="5"/>
        <v>60755.599725725668</v>
      </c>
      <c r="G34" s="411">
        <v>36850.950665079698</v>
      </c>
      <c r="H34" s="411">
        <v>1355199.17965489</v>
      </c>
      <c r="I34" s="411">
        <f t="shared" si="6"/>
        <v>1392050.1303199697</v>
      </c>
      <c r="J34" s="411">
        <v>277480.33598505933</v>
      </c>
      <c r="K34" s="411">
        <f t="shared" si="3"/>
        <v>2164647.3660307545</v>
      </c>
      <c r="L34" s="1007" t="s">
        <v>563</v>
      </c>
      <c r="M34" s="477"/>
      <c r="N34" s="1174"/>
      <c r="O34" s="155"/>
      <c r="P34" s="1290"/>
      <c r="Q34" s="456"/>
    </row>
    <row r="35" spans="1:20" s="430" customFormat="1" ht="11.1" customHeight="1">
      <c r="A35" s="209" t="s">
        <v>564</v>
      </c>
      <c r="B35" s="416">
        <v>433891.08584720897</v>
      </c>
      <c r="C35" s="416">
        <v>0</v>
      </c>
      <c r="D35" s="416">
        <v>13351.15815207973</v>
      </c>
      <c r="E35" s="416">
        <v>46893.061961083527</v>
      </c>
      <c r="F35" s="416">
        <f t="shared" si="5"/>
        <v>60244.220113163261</v>
      </c>
      <c r="G35" s="416">
        <v>37134.9347389623</v>
      </c>
      <c r="H35" s="416">
        <v>1358294.2426299099</v>
      </c>
      <c r="I35" s="416">
        <f t="shared" si="6"/>
        <v>1395429.1773688721</v>
      </c>
      <c r="J35" s="416">
        <v>279196.3</v>
      </c>
      <c r="K35" s="416">
        <f t="shared" si="3"/>
        <v>2168760.7833292442</v>
      </c>
      <c r="L35" s="357" t="s">
        <v>564</v>
      </c>
      <c r="M35" s="477"/>
      <c r="N35" s="1174"/>
      <c r="O35" s="155"/>
      <c r="P35" s="1290"/>
      <c r="Q35" s="456"/>
    </row>
    <row r="36" spans="1:20" s="430" customFormat="1" ht="11.1" customHeight="1">
      <c r="A36" s="1005" t="s">
        <v>556</v>
      </c>
      <c r="B36" s="416">
        <v>454188.07431627793</v>
      </c>
      <c r="C36" s="416">
        <v>0</v>
      </c>
      <c r="D36" s="416">
        <v>13168.118332200002</v>
      </c>
      <c r="E36" s="416">
        <v>46815.566507743992</v>
      </c>
      <c r="F36" s="451">
        <f t="shared" si="5"/>
        <v>59983.684839943991</v>
      </c>
      <c r="G36" s="416">
        <v>35810.698797355995</v>
      </c>
      <c r="H36" s="416">
        <v>1386043.311457078</v>
      </c>
      <c r="I36" s="451">
        <f t="shared" si="6"/>
        <v>1421854.0102544341</v>
      </c>
      <c r="J36" s="416">
        <v>287508.34999999998</v>
      </c>
      <c r="K36" s="451">
        <f t="shared" si="3"/>
        <v>2223534.1194106559</v>
      </c>
      <c r="L36" s="1006" t="s">
        <v>556</v>
      </c>
      <c r="M36" s="477"/>
      <c r="N36" s="1174"/>
      <c r="O36" s="155"/>
      <c r="P36" s="1290"/>
      <c r="Q36" s="456"/>
    </row>
    <row r="37" spans="1:20" s="430" customFormat="1" ht="11.1" customHeight="1">
      <c r="A37" s="209" t="s">
        <v>565</v>
      </c>
      <c r="B37" s="416">
        <v>457439.65105781087</v>
      </c>
      <c r="C37" s="416">
        <v>0</v>
      </c>
      <c r="D37" s="416">
        <v>13186.090413</v>
      </c>
      <c r="E37" s="416">
        <v>47180.852935370996</v>
      </c>
      <c r="F37" s="416">
        <f t="shared" si="5"/>
        <v>60366.943348370994</v>
      </c>
      <c r="G37" s="416">
        <v>36514.215810511996</v>
      </c>
      <c r="H37" s="416">
        <v>1386006.876560197</v>
      </c>
      <c r="I37" s="416">
        <f t="shared" si="6"/>
        <v>1422521.0923707089</v>
      </c>
      <c r="J37" s="416">
        <v>290009.90000000002</v>
      </c>
      <c r="K37" s="416">
        <f t="shared" si="3"/>
        <v>2230337.5867768908</v>
      </c>
      <c r="L37" s="357" t="s">
        <v>565</v>
      </c>
      <c r="M37" s="477"/>
      <c r="N37" s="1174"/>
      <c r="O37" s="155"/>
      <c r="P37" s="1290"/>
      <c r="Q37" s="456"/>
    </row>
    <row r="38" spans="1:20" s="430" customFormat="1" ht="11.1" customHeight="1">
      <c r="A38" s="248" t="s">
        <v>566</v>
      </c>
      <c r="B38" s="411">
        <v>470282</v>
      </c>
      <c r="C38" s="411">
        <v>0</v>
      </c>
      <c r="D38" s="411">
        <v>13188.690413</v>
      </c>
      <c r="E38" s="411">
        <v>47601.600679937997</v>
      </c>
      <c r="F38" s="411">
        <f t="shared" si="5"/>
        <v>60790.291092938001</v>
      </c>
      <c r="G38" s="411">
        <v>35927.547907717002</v>
      </c>
      <c r="H38" s="411">
        <v>1396479.7300671472</v>
      </c>
      <c r="I38" s="411">
        <f t="shared" si="6"/>
        <v>1432407.2779748642</v>
      </c>
      <c r="J38" s="411">
        <v>296535.5</v>
      </c>
      <c r="K38" s="411">
        <f t="shared" si="3"/>
        <v>2260015.0690678023</v>
      </c>
      <c r="L38" s="335" t="s">
        <v>566</v>
      </c>
      <c r="M38" s="477"/>
      <c r="N38" s="1174"/>
      <c r="O38" s="155"/>
      <c r="P38" s="1290"/>
      <c r="Q38" s="456"/>
    </row>
    <row r="39" spans="1:20" s="430" customFormat="1" ht="11.1" customHeight="1">
      <c r="A39" s="1670" t="s">
        <v>557</v>
      </c>
      <c r="B39" s="416">
        <v>488177.8</v>
      </c>
      <c r="C39" s="416">
        <v>0</v>
      </c>
      <c r="D39" s="416">
        <v>13191.6274734</v>
      </c>
      <c r="E39" s="416">
        <v>47536.437717918001</v>
      </c>
      <c r="F39" s="416">
        <f t="shared" si="5"/>
        <v>60728.065191318005</v>
      </c>
      <c r="G39" s="416">
        <v>34099.373419062998</v>
      </c>
      <c r="H39" s="416">
        <v>1410635.9409771289</v>
      </c>
      <c r="I39" s="416">
        <f t="shared" si="6"/>
        <v>1444735.3143961919</v>
      </c>
      <c r="J39" s="416">
        <v>290711.84000000003</v>
      </c>
      <c r="K39" s="416">
        <f t="shared" si="3"/>
        <v>2284353.0195875098</v>
      </c>
      <c r="L39" s="1008" t="s">
        <v>557</v>
      </c>
      <c r="M39" s="477"/>
      <c r="N39" s="1174"/>
      <c r="O39" s="155"/>
      <c r="P39" s="1290"/>
      <c r="Q39" s="456"/>
    </row>
    <row r="40" spans="1:20" s="430" customFormat="1" ht="11.1" customHeight="1">
      <c r="A40" s="1906" t="s">
        <v>2664</v>
      </c>
      <c r="B40" s="492">
        <f>B52</f>
        <v>656658.83562432823</v>
      </c>
      <c r="C40" s="492">
        <f t="shared" ref="C40:K40" si="7">C52</f>
        <v>0</v>
      </c>
      <c r="D40" s="492">
        <f t="shared" si="7"/>
        <v>13310.727467324999</v>
      </c>
      <c r="E40" s="492">
        <f t="shared" si="7"/>
        <v>47729.765862310007</v>
      </c>
      <c r="F40" s="492">
        <f t="shared" si="7"/>
        <v>61040.493329635006</v>
      </c>
      <c r="G40" s="492">
        <f t="shared" si="7"/>
        <v>28128.579561913</v>
      </c>
      <c r="H40" s="492">
        <f t="shared" si="7"/>
        <v>1472889.1755688211</v>
      </c>
      <c r="I40" s="492">
        <f t="shared" si="7"/>
        <v>1501017.7551307341</v>
      </c>
      <c r="J40" s="492">
        <f t="shared" si="7"/>
        <v>307213.56630711397</v>
      </c>
      <c r="K40" s="492">
        <f t="shared" si="7"/>
        <v>2525930.650391811</v>
      </c>
      <c r="L40" s="318" t="s">
        <v>2664</v>
      </c>
      <c r="M40" s="477"/>
      <c r="N40" s="1403"/>
      <c r="O40" s="1404"/>
      <c r="P40" s="1405"/>
      <c r="Q40" s="1406"/>
    </row>
    <row r="41" spans="1:20" s="430" customFormat="1" ht="11.1" customHeight="1">
      <c r="A41" s="209" t="s">
        <v>559</v>
      </c>
      <c r="B41" s="416">
        <v>501088.5</v>
      </c>
      <c r="C41" s="416">
        <v>0</v>
      </c>
      <c r="D41" s="416">
        <v>13401.1274734</v>
      </c>
      <c r="E41" s="416">
        <v>47579.388962258003</v>
      </c>
      <c r="F41" s="416">
        <f t="shared" si="5"/>
        <v>60980.516435658006</v>
      </c>
      <c r="G41" s="416">
        <v>34108.599709260001</v>
      </c>
      <c r="H41" s="416">
        <v>1403957.2422556751</v>
      </c>
      <c r="I41" s="416">
        <f t="shared" si="6"/>
        <v>1438065.8419649352</v>
      </c>
      <c r="J41" s="416">
        <v>292331.49000000005</v>
      </c>
      <c r="K41" s="416">
        <f t="shared" si="3"/>
        <v>2292466.3484005933</v>
      </c>
      <c r="L41" s="357" t="s">
        <v>559</v>
      </c>
      <c r="M41" s="477"/>
      <c r="N41" s="1174"/>
      <c r="O41" s="1174"/>
      <c r="P41" s="1290"/>
      <c r="Q41" s="456"/>
    </row>
    <row r="42" spans="1:20" s="430" customFormat="1" ht="11.1" customHeight="1">
      <c r="A42" s="354" t="s">
        <v>560</v>
      </c>
      <c r="B42" s="411">
        <v>496934.30000000005</v>
      </c>
      <c r="C42" s="411">
        <v>0</v>
      </c>
      <c r="D42" s="411">
        <v>13411.5274734</v>
      </c>
      <c r="E42" s="411">
        <v>46948.701219206014</v>
      </c>
      <c r="F42" s="411">
        <f t="shared" si="5"/>
        <v>60360.228692606011</v>
      </c>
      <c r="G42" s="411">
        <v>33637.897776457001</v>
      </c>
      <c r="H42" s="411">
        <v>1410097.4421512538</v>
      </c>
      <c r="I42" s="411">
        <f t="shared" si="6"/>
        <v>1443735.3399277108</v>
      </c>
      <c r="J42" s="411">
        <v>291524.34999999998</v>
      </c>
      <c r="K42" s="411">
        <f t="shared" si="3"/>
        <v>2292554.2186203171</v>
      </c>
      <c r="L42" s="1007" t="s">
        <v>560</v>
      </c>
      <c r="M42" s="477"/>
      <c r="N42" s="1174"/>
      <c r="O42" s="1174"/>
      <c r="P42" s="1290"/>
      <c r="Q42" s="456"/>
    </row>
    <row r="43" spans="1:20" s="430" customFormat="1" ht="11.1" customHeight="1">
      <c r="A43" s="209" t="s">
        <v>554</v>
      </c>
      <c r="B43" s="416">
        <v>517549.22196313686</v>
      </c>
      <c r="C43" s="416">
        <v>0</v>
      </c>
      <c r="D43" s="416">
        <v>13438.118300960001</v>
      </c>
      <c r="E43" s="416">
        <v>48295.497514792994</v>
      </c>
      <c r="F43" s="416">
        <f t="shared" si="5"/>
        <v>61733.615815752994</v>
      </c>
      <c r="G43" s="416">
        <v>32752.659982154997</v>
      </c>
      <c r="H43" s="416">
        <v>1421581.131062818</v>
      </c>
      <c r="I43" s="416">
        <f t="shared" si="6"/>
        <v>1454333.7910449731</v>
      </c>
      <c r="J43" s="416">
        <v>287539.04723478999</v>
      </c>
      <c r="K43" s="416">
        <f t="shared" si="3"/>
        <v>2321155.6760586528</v>
      </c>
      <c r="L43" s="357" t="s">
        <v>554</v>
      </c>
      <c r="M43" s="477"/>
      <c r="N43" s="1174"/>
      <c r="O43" s="1174"/>
      <c r="P43" s="1290"/>
      <c r="Q43" s="1406"/>
    </row>
    <row r="44" spans="1:20" s="430" customFormat="1" ht="11.1" customHeight="1">
      <c r="A44" s="354" t="s">
        <v>561</v>
      </c>
      <c r="B44" s="411">
        <v>530278.87709836487</v>
      </c>
      <c r="C44" s="411">
        <v>0</v>
      </c>
      <c r="D44" s="411">
        <v>12840.01830096</v>
      </c>
      <c r="E44" s="411">
        <v>46686.429858694006</v>
      </c>
      <c r="F44" s="411">
        <f t="shared" si="5"/>
        <v>59526.448159654006</v>
      </c>
      <c r="G44" s="411">
        <v>31902.020695243005</v>
      </c>
      <c r="H44" s="411">
        <v>1419478.5731309869</v>
      </c>
      <c r="I44" s="411">
        <f t="shared" si="6"/>
        <v>1451380.5938262299</v>
      </c>
      <c r="J44" s="411">
        <v>294699.42</v>
      </c>
      <c r="K44" s="411">
        <f t="shared" si="3"/>
        <v>2335885.339084249</v>
      </c>
      <c r="L44" s="1007" t="s">
        <v>561</v>
      </c>
      <c r="M44" s="477"/>
      <c r="N44" s="1174"/>
      <c r="O44" s="1174"/>
      <c r="P44" s="1290"/>
      <c r="Q44" s="456"/>
    </row>
    <row r="45" spans="1:20" s="430" customFormat="1" ht="11.1" customHeight="1">
      <c r="A45" s="1004" t="s">
        <v>562</v>
      </c>
      <c r="B45" s="416">
        <v>553910.38852141192</v>
      </c>
      <c r="C45" s="416">
        <v>0</v>
      </c>
      <c r="D45" s="416">
        <v>12843.31830096</v>
      </c>
      <c r="E45" s="416">
        <v>47473.237364752997</v>
      </c>
      <c r="F45" s="416">
        <f t="shared" si="5"/>
        <v>60316.555665712993</v>
      </c>
      <c r="G45" s="416">
        <v>31238.580960127001</v>
      </c>
      <c r="H45" s="416">
        <v>1426472.4471301932</v>
      </c>
      <c r="I45" s="416">
        <f t="shared" si="6"/>
        <v>1457711.0280903203</v>
      </c>
      <c r="J45" s="416">
        <v>301902.63457539596</v>
      </c>
      <c r="K45" s="416">
        <f t="shared" si="3"/>
        <v>2373840.6068528411</v>
      </c>
      <c r="L45" s="357" t="s">
        <v>562</v>
      </c>
      <c r="N45" s="1174"/>
      <c r="O45" s="1174"/>
      <c r="P45" s="1290"/>
    </row>
    <row r="46" spans="1:20" ht="11.1" customHeight="1">
      <c r="A46" s="1523" t="s">
        <v>555</v>
      </c>
      <c r="B46" s="411">
        <v>549325.70840997493</v>
      </c>
      <c r="C46" s="411">
        <v>0</v>
      </c>
      <c r="D46" s="411">
        <v>12711.874313024999</v>
      </c>
      <c r="E46" s="411">
        <v>58179.856126192994</v>
      </c>
      <c r="F46" s="411">
        <f t="shared" si="5"/>
        <v>70891.730439217994</v>
      </c>
      <c r="G46" s="411">
        <v>33335.136339282006</v>
      </c>
      <c r="H46" s="411">
        <v>1433635.1896237589</v>
      </c>
      <c r="I46" s="411">
        <f t="shared" si="6"/>
        <v>1466970.3259630408</v>
      </c>
      <c r="J46" s="411">
        <v>297779.9351877661</v>
      </c>
      <c r="K46" s="411">
        <f t="shared" si="3"/>
        <v>2384967.7000000002</v>
      </c>
      <c r="L46" s="335" t="s">
        <v>555</v>
      </c>
      <c r="M46" s="472"/>
      <c r="N46" s="1174"/>
      <c r="O46" s="1174"/>
      <c r="P46" s="1290"/>
    </row>
    <row r="47" spans="1:20" ht="11.1" customHeight="1">
      <c r="A47" s="1474" t="s">
        <v>563</v>
      </c>
      <c r="B47" s="1473">
        <v>563193.28031115013</v>
      </c>
      <c r="C47" s="1473">
        <v>0</v>
      </c>
      <c r="D47" s="1473">
        <v>12924.574313024999</v>
      </c>
      <c r="E47" s="1473">
        <v>57511.386736551001</v>
      </c>
      <c r="F47" s="416">
        <f t="shared" si="5"/>
        <v>70435.961049575999</v>
      </c>
      <c r="G47" s="1473">
        <v>33393.469020657001</v>
      </c>
      <c r="H47" s="1473">
        <v>1424901.6164641401</v>
      </c>
      <c r="I47" s="416">
        <f t="shared" si="6"/>
        <v>1458295.0854847971</v>
      </c>
      <c r="J47" s="1473">
        <v>300805.31905564701</v>
      </c>
      <c r="K47" s="416">
        <f t="shared" si="3"/>
        <v>2392729.6459011701</v>
      </c>
      <c r="L47" s="1549" t="s">
        <v>563</v>
      </c>
      <c r="M47" s="472"/>
      <c r="N47" s="1174"/>
      <c r="O47" s="1174"/>
      <c r="P47" s="1290"/>
    </row>
    <row r="48" spans="1:20" ht="11.1" customHeight="1">
      <c r="A48" s="1523" t="s">
        <v>564</v>
      </c>
      <c r="B48" s="411">
        <v>579532.08605937508</v>
      </c>
      <c r="C48" s="411">
        <v>0</v>
      </c>
      <c r="D48" s="411">
        <v>12937.520125625</v>
      </c>
      <c r="E48" s="411">
        <v>57021.660796392993</v>
      </c>
      <c r="F48" s="411">
        <f t="shared" si="5"/>
        <v>69959.180922017986</v>
      </c>
      <c r="G48" s="411">
        <v>33426.423192878006</v>
      </c>
      <c r="H48" s="411">
        <v>1425927.4145376382</v>
      </c>
      <c r="I48" s="411">
        <f t="shared" si="6"/>
        <v>1459353.8377305162</v>
      </c>
      <c r="J48" s="411">
        <v>304924.12721403799</v>
      </c>
      <c r="K48" s="411">
        <f t="shared" si="3"/>
        <v>2413769.2319259471</v>
      </c>
      <c r="L48" s="335" t="s">
        <v>564</v>
      </c>
      <c r="M48" s="472"/>
      <c r="N48" s="1174"/>
      <c r="O48" s="1174"/>
      <c r="P48" s="1290"/>
      <c r="Q48" s="430"/>
      <c r="R48" s="430"/>
      <c r="S48" s="430"/>
      <c r="T48" s="430"/>
    </row>
    <row r="49" spans="1:20" ht="11.1" customHeight="1">
      <c r="A49" s="1004" t="s">
        <v>556</v>
      </c>
      <c r="B49" s="416">
        <v>617232.64960352494</v>
      </c>
      <c r="C49" s="416">
        <v>0</v>
      </c>
      <c r="D49" s="416">
        <v>12974.958612725</v>
      </c>
      <c r="E49" s="416">
        <v>57127.643760352999</v>
      </c>
      <c r="F49" s="416">
        <f t="shared" si="5"/>
        <v>70102.602373078</v>
      </c>
      <c r="G49" s="416">
        <v>31086.332697025995</v>
      </c>
      <c r="H49" s="416">
        <v>1445293.9399448219</v>
      </c>
      <c r="I49" s="416">
        <f t="shared" si="6"/>
        <v>1476380.2726418478</v>
      </c>
      <c r="J49" s="416">
        <v>299925.40155112802</v>
      </c>
      <c r="K49" s="416">
        <f t="shared" si="3"/>
        <v>2463640.9261695785</v>
      </c>
      <c r="L49" s="1613" t="s">
        <v>556</v>
      </c>
      <c r="M49" s="472"/>
      <c r="N49" s="1174"/>
      <c r="O49" s="430"/>
      <c r="P49" s="1290"/>
      <c r="Q49" s="430"/>
      <c r="R49" s="430"/>
      <c r="S49" s="430"/>
      <c r="T49" s="430"/>
    </row>
    <row r="50" spans="1:20" ht="11.1" customHeight="1">
      <c r="A50" s="1523" t="s">
        <v>565</v>
      </c>
      <c r="B50" s="411">
        <v>596360.06176212407</v>
      </c>
      <c r="C50" s="411">
        <v>0</v>
      </c>
      <c r="D50" s="411">
        <v>12977.258612725</v>
      </c>
      <c r="E50" s="411">
        <v>56123.887974715988</v>
      </c>
      <c r="F50" s="411">
        <f t="shared" si="5"/>
        <v>69101.146587440991</v>
      </c>
      <c r="G50" s="411">
        <v>30661.482653550996</v>
      </c>
      <c r="H50" s="411">
        <v>1443916.3678383352</v>
      </c>
      <c r="I50" s="411">
        <f t="shared" si="6"/>
        <v>1474577.8504918863</v>
      </c>
      <c r="J50" s="411">
        <v>305453.40657254803</v>
      </c>
      <c r="K50" s="411">
        <f t="shared" si="3"/>
        <v>2445492.4654139993</v>
      </c>
      <c r="L50" s="1648" t="s">
        <v>565</v>
      </c>
      <c r="M50" s="472"/>
      <c r="N50" s="1174"/>
      <c r="P50" s="1290"/>
    </row>
    <row r="51" spans="1:20" ht="11.1" customHeight="1">
      <c r="A51" s="1004" t="s">
        <v>566</v>
      </c>
      <c r="B51" s="416">
        <v>586011.95944390714</v>
      </c>
      <c r="C51" s="416">
        <v>0</v>
      </c>
      <c r="D51" s="416">
        <v>12980.023031725001</v>
      </c>
      <c r="E51" s="416">
        <v>56489.828190514992</v>
      </c>
      <c r="F51" s="416">
        <f t="shared" si="5"/>
        <v>69469.851222239988</v>
      </c>
      <c r="G51" s="416">
        <v>28508.143927010005</v>
      </c>
      <c r="H51" s="416">
        <v>1459258.7067313241</v>
      </c>
      <c r="I51" s="416">
        <f t="shared" si="6"/>
        <v>1487766.8506583341</v>
      </c>
      <c r="J51" s="416">
        <v>311717.19290033297</v>
      </c>
      <c r="K51" s="416">
        <f t="shared" si="3"/>
        <v>2454965.8542248146</v>
      </c>
      <c r="L51" s="1613" t="s">
        <v>566</v>
      </c>
      <c r="M51" s="472"/>
      <c r="N51" s="1174"/>
      <c r="P51" s="1290"/>
    </row>
    <row r="52" spans="1:20" ht="11.25" customHeight="1">
      <c r="A52" s="1523" t="s">
        <v>557</v>
      </c>
      <c r="B52" s="411">
        <v>656658.83562432823</v>
      </c>
      <c r="C52" s="411">
        <v>0</v>
      </c>
      <c r="D52" s="411">
        <v>13310.727467324999</v>
      </c>
      <c r="E52" s="411">
        <v>47729.765862310007</v>
      </c>
      <c r="F52" s="411">
        <f t="shared" si="5"/>
        <v>61040.493329635006</v>
      </c>
      <c r="G52" s="411">
        <v>28128.579561913</v>
      </c>
      <c r="H52" s="411">
        <v>1472889.1755688211</v>
      </c>
      <c r="I52" s="411">
        <f t="shared" si="6"/>
        <v>1501017.7551307341</v>
      </c>
      <c r="J52" s="411">
        <v>307213.56630711397</v>
      </c>
      <c r="K52" s="411">
        <f t="shared" si="3"/>
        <v>2525930.650391811</v>
      </c>
      <c r="L52" s="1648" t="s">
        <v>557</v>
      </c>
      <c r="M52" s="472"/>
      <c r="N52" s="1174"/>
      <c r="O52" s="472"/>
      <c r="P52" s="1290"/>
    </row>
    <row r="53" spans="1:20" ht="12.75" customHeight="1">
      <c r="A53" s="763" t="s">
        <v>2929</v>
      </c>
      <c r="B53" s="416"/>
      <c r="C53" s="416"/>
      <c r="D53" s="416"/>
      <c r="E53" s="416"/>
      <c r="F53" s="416"/>
      <c r="G53" s="416"/>
      <c r="H53" s="416"/>
      <c r="I53" s="416"/>
      <c r="J53" s="416"/>
      <c r="K53" s="416"/>
      <c r="L53" s="1801" t="s">
        <v>2929</v>
      </c>
      <c r="N53" s="1174"/>
    </row>
    <row r="54" spans="1:20" ht="12" customHeight="1" thickBot="1">
      <c r="A54" s="1881" t="s">
        <v>559</v>
      </c>
      <c r="B54" s="1636">
        <v>671993.1286615018</v>
      </c>
      <c r="C54" s="1636">
        <v>0</v>
      </c>
      <c r="D54" s="1636">
        <v>13259.762133992001</v>
      </c>
      <c r="E54" s="1636">
        <v>47539.284772651998</v>
      </c>
      <c r="F54" s="1636">
        <f t="shared" si="5"/>
        <v>60799.046906643998</v>
      </c>
      <c r="G54" s="1636">
        <v>28313.376036209</v>
      </c>
      <c r="H54" s="1636">
        <v>1466865.7997692449</v>
      </c>
      <c r="I54" s="1636">
        <f t="shared" si="6"/>
        <v>1495179.1758054539</v>
      </c>
      <c r="J54" s="1636">
        <f>291537.204628127+19170</f>
        <v>310707.20462812699</v>
      </c>
      <c r="K54" s="1636">
        <f t="shared" si="3"/>
        <v>2538678.556001727</v>
      </c>
      <c r="L54" s="1898" t="s">
        <v>559</v>
      </c>
      <c r="N54" s="1174"/>
    </row>
    <row r="55" spans="1:20" ht="12" customHeight="1">
      <c r="A55" s="399" t="s">
        <v>1338</v>
      </c>
      <c r="B55" s="2150" t="s">
        <v>1361</v>
      </c>
      <c r="C55" s="2150"/>
      <c r="D55" s="2150"/>
      <c r="E55" s="2150"/>
      <c r="F55" s="2150"/>
      <c r="G55" s="400" t="s">
        <v>195</v>
      </c>
      <c r="H55" s="2151" t="s">
        <v>1205</v>
      </c>
      <c r="I55" s="2151"/>
      <c r="J55" s="2151"/>
      <c r="K55" s="2151"/>
      <c r="L55" s="2151"/>
    </row>
    <row r="56" spans="1:20" ht="12.75" customHeight="1">
      <c r="A56" s="205"/>
      <c r="B56" s="2152" t="s">
        <v>1815</v>
      </c>
      <c r="C56" s="2152"/>
      <c r="D56" s="2152"/>
      <c r="E56" s="994" t="s">
        <v>1296</v>
      </c>
      <c r="F56" s="237"/>
      <c r="G56" s="472"/>
      <c r="H56" s="994"/>
      <c r="I56" s="472"/>
      <c r="J56" s="558"/>
      <c r="K56" s="558"/>
      <c r="L56" s="558"/>
    </row>
    <row r="57" spans="1:20" ht="13.5" customHeight="1">
      <c r="A57" s="430"/>
      <c r="B57" s="430"/>
      <c r="C57" s="477"/>
      <c r="D57" s="472"/>
      <c r="E57" s="477"/>
      <c r="F57" s="1053"/>
      <c r="G57" s="477"/>
      <c r="H57" s="477"/>
      <c r="I57" s="472"/>
      <c r="J57" s="558"/>
      <c r="K57" s="558"/>
      <c r="L57" s="558"/>
    </row>
    <row r="58" spans="1:20" ht="14.25" customHeight="1">
      <c r="B58" s="477"/>
      <c r="C58" s="477"/>
      <c r="D58" s="477"/>
      <c r="E58" s="477"/>
      <c r="F58" s="477"/>
      <c r="G58" s="477"/>
      <c r="H58" s="477"/>
      <c r="I58" s="477"/>
      <c r="J58" s="477"/>
      <c r="K58" s="477"/>
      <c r="L58" s="558"/>
    </row>
    <row r="59" spans="1:20" ht="15" customHeight="1">
      <c r="B59" s="477"/>
      <c r="C59" s="477"/>
      <c r="D59" s="472"/>
      <c r="E59" s="477"/>
      <c r="F59" s="1053"/>
      <c r="G59" s="477"/>
      <c r="H59" s="477"/>
      <c r="I59" s="472"/>
      <c r="J59" s="558"/>
      <c r="K59" s="558"/>
      <c r="L59" s="558"/>
    </row>
    <row r="60" spans="1:20">
      <c r="B60" s="477"/>
      <c r="C60" s="477"/>
      <c r="D60" s="472"/>
      <c r="E60" s="477"/>
      <c r="F60" s="1053"/>
      <c r="G60" s="477"/>
      <c r="H60" s="477"/>
      <c r="I60" s="472"/>
      <c r="J60" s="558"/>
      <c r="K60" s="558"/>
      <c r="L60" s="558"/>
    </row>
    <row r="61" spans="1:20">
      <c r="B61" s="472"/>
      <c r="C61" s="477"/>
      <c r="D61" s="472"/>
      <c r="E61" s="477"/>
      <c r="F61" s="1053"/>
      <c r="G61" s="477"/>
      <c r="H61" s="477"/>
      <c r="I61" s="472"/>
      <c r="J61" s="558"/>
      <c r="K61" s="558"/>
      <c r="L61" s="558"/>
    </row>
    <row r="62" spans="1:20">
      <c r="B62" s="472"/>
      <c r="C62" s="477"/>
      <c r="D62" s="472"/>
      <c r="E62" s="472"/>
      <c r="F62" s="1053"/>
      <c r="G62" s="477"/>
      <c r="H62" s="477"/>
      <c r="I62" s="472"/>
      <c r="J62" s="558"/>
      <c r="K62" s="558"/>
      <c r="L62" s="558"/>
    </row>
    <row r="63" spans="1:20">
      <c r="C63" s="477"/>
      <c r="D63" s="472"/>
      <c r="E63" s="477"/>
      <c r="F63" s="1053"/>
      <c r="G63" s="477"/>
      <c r="H63" s="477"/>
      <c r="I63" s="477"/>
      <c r="J63" s="558"/>
      <c r="K63" s="558"/>
      <c r="L63" s="558"/>
    </row>
    <row r="64" spans="1:20">
      <c r="C64" s="477"/>
      <c r="D64" s="472"/>
      <c r="E64" s="472"/>
      <c r="F64" s="1053"/>
      <c r="G64" s="477"/>
      <c r="H64" s="477"/>
      <c r="I64" s="477"/>
      <c r="J64" s="558"/>
      <c r="K64" s="558"/>
      <c r="L64" s="558"/>
    </row>
    <row r="65" spans="3:12">
      <c r="C65" s="477"/>
      <c r="D65" s="472"/>
      <c r="E65" s="472"/>
      <c r="F65" s="1053"/>
      <c r="G65" s="477"/>
      <c r="H65" s="477"/>
      <c r="I65" s="477"/>
      <c r="J65" s="472"/>
      <c r="K65" s="558"/>
      <c r="L65" s="558"/>
    </row>
    <row r="66" spans="3:12">
      <c r="C66" s="477"/>
      <c r="D66" s="472"/>
      <c r="E66" s="472"/>
      <c r="F66" s="1053"/>
      <c r="G66" s="472"/>
      <c r="H66" s="477"/>
      <c r="I66" s="477"/>
      <c r="J66" s="472"/>
      <c r="K66" s="558"/>
    </row>
    <row r="67" spans="3:12">
      <c r="C67" s="477"/>
      <c r="D67" s="472"/>
      <c r="E67" s="472"/>
      <c r="F67" s="1053"/>
      <c r="G67" s="472"/>
      <c r="H67" s="477"/>
      <c r="I67" s="477"/>
      <c r="J67" s="472"/>
      <c r="K67" s="558"/>
    </row>
    <row r="68" spans="3:12">
      <c r="C68" s="477"/>
      <c r="D68" s="472"/>
      <c r="E68" s="472"/>
      <c r="F68" s="1053"/>
      <c r="G68" s="472"/>
      <c r="H68" s="472"/>
      <c r="I68" s="477"/>
      <c r="J68" s="472"/>
      <c r="K68" s="558"/>
    </row>
    <row r="69" spans="3:12">
      <c r="C69" s="477"/>
      <c r="D69" s="472"/>
      <c r="E69" s="472"/>
      <c r="F69" s="472"/>
      <c r="G69" s="472"/>
      <c r="H69" s="472"/>
      <c r="I69" s="472"/>
    </row>
    <row r="70" spans="3:12">
      <c r="D70" s="472"/>
      <c r="E70" s="472"/>
      <c r="F70" s="472"/>
      <c r="G70" s="472"/>
      <c r="H70" s="472"/>
      <c r="I70" s="472"/>
    </row>
    <row r="71" spans="3:12">
      <c r="D71" s="472"/>
      <c r="E71" s="472"/>
      <c r="F71" s="472"/>
      <c r="G71" s="472"/>
      <c r="H71" s="472"/>
      <c r="I71" s="472"/>
      <c r="J71" s="472"/>
      <c r="K71" s="472"/>
    </row>
    <row r="72" spans="3:12">
      <c r="D72" s="472"/>
      <c r="E72" s="472"/>
      <c r="F72" s="472"/>
      <c r="G72" s="472"/>
      <c r="H72" s="472"/>
      <c r="I72" s="472"/>
      <c r="J72" s="472"/>
    </row>
    <row r="73" spans="3:12">
      <c r="D73" s="472"/>
      <c r="E73" s="472"/>
      <c r="F73" s="472"/>
      <c r="G73" s="472"/>
      <c r="H73" s="472"/>
      <c r="I73" s="472"/>
      <c r="J73" s="472"/>
    </row>
    <row r="74" spans="3:12">
      <c r="D74" s="472"/>
      <c r="E74" s="472"/>
      <c r="F74" s="472"/>
      <c r="G74" s="472"/>
      <c r="H74" s="472"/>
      <c r="I74" s="472"/>
      <c r="J74" s="472"/>
    </row>
  </sheetData>
  <customSheetViews>
    <customSheetView guid="{A374FC54-96E3-45F0-9C12-8450400C12DF}" scale="130">
      <pane xSplit="1" ySplit="5" topLeftCell="B41" activePane="bottomRight" state="frozen"/>
      <selection pane="bottomRight" activeCell="G53" sqref="G53"/>
      <pageMargins left="0.62992125984252001" right="0.511811023622047" top="0.511811023622047" bottom="0.511811023622047" header="0" footer="0.183070866"/>
      <pageSetup paperSize="132" firstPageNumber="14" orientation="portrait" useFirstPageNumber="1" r:id="rId1"/>
      <headerFooter alignWithMargins="0">
        <oddFooter>&amp;C&amp;"Times New Roman,Regular"&amp;8&amp;P</oddFooter>
      </headerFooter>
    </customSheetView>
  </customSheetViews>
  <mergeCells count="15">
    <mergeCell ref="D1:F1"/>
    <mergeCell ref="D3:F3"/>
    <mergeCell ref="G3:I3"/>
    <mergeCell ref="L3:L5"/>
    <mergeCell ref="G1:I1"/>
    <mergeCell ref="K2:L2"/>
    <mergeCell ref="K1:L1"/>
    <mergeCell ref="K3:K4"/>
    <mergeCell ref="B55:F55"/>
    <mergeCell ref="H55:L55"/>
    <mergeCell ref="B56:D56"/>
    <mergeCell ref="A3:A5"/>
    <mergeCell ref="J3:J4"/>
    <mergeCell ref="B3:B4"/>
    <mergeCell ref="C3:C4"/>
  </mergeCells>
  <phoneticPr fontId="6" type="noConversion"/>
  <conditionalFormatting sqref="AI7:AK9 AV7:AX9 BI7:BK9 BV7:BX9 CI7:CK9 CV7:CX9 DI7:DK9 DV7:DX9 EI7:EK9 EV7:EX9 FI7:FK9 FV7:FX9 GI7:GK9 GV7:GX9 HI7:HK9 HV7:HX9 V8:X8 L46:L48 L6:L7 A6:A7">
    <cfRule type="expression" dxfId="19" priority="74" stopIfTrue="1">
      <formula>MOD(ROW(),2)=0</formula>
    </cfRule>
  </conditionalFormatting>
  <conditionalFormatting sqref="L8:L11 B8:K9 A8:A11">
    <cfRule type="expression" dxfId="18" priority="15" stopIfTrue="1">
      <formula>MOD(ROW(),2)=0</formula>
    </cfRule>
  </conditionalFormatting>
  <conditionalFormatting sqref="L15:L17 B15:K15 A15:A17">
    <cfRule type="expression" dxfId="17" priority="14" stopIfTrue="1">
      <formula>MOD(ROW(),2)=0</formula>
    </cfRule>
  </conditionalFormatting>
  <conditionalFormatting sqref="L18:L21 B18:K19 A18:A21">
    <cfRule type="expression" dxfId="16" priority="13" stopIfTrue="1">
      <formula>MOD(ROW(),2)=0</formula>
    </cfRule>
  </conditionalFormatting>
  <conditionalFormatting sqref="L23 A23">
    <cfRule type="expression" dxfId="15" priority="12" stopIfTrue="1">
      <formula>MOD(ROW(),2)=0</formula>
    </cfRule>
  </conditionalFormatting>
  <conditionalFormatting sqref="L24:L26 B24:K25 A24:A26">
    <cfRule type="expression" dxfId="14" priority="11" stopIfTrue="1">
      <formula>MOD(ROW(),2)=0</formula>
    </cfRule>
  </conditionalFormatting>
  <conditionalFormatting sqref="L28:L29 A28:A29">
    <cfRule type="expression" dxfId="13" priority="10" stopIfTrue="1">
      <formula>MOD(ROW(),2)=0</formula>
    </cfRule>
  </conditionalFormatting>
  <conditionalFormatting sqref="L30:L33 B30:K31 A30:A33">
    <cfRule type="expression" dxfId="12" priority="9" stopIfTrue="1">
      <formula>MOD(ROW(),2)=0</formula>
    </cfRule>
  </conditionalFormatting>
  <conditionalFormatting sqref="L35 A35">
    <cfRule type="expression" dxfId="11" priority="8" stopIfTrue="1">
      <formula>MOD(ROW(),2)=0</formula>
    </cfRule>
  </conditionalFormatting>
  <conditionalFormatting sqref="L36:L38 B36:K37 A36:A38">
    <cfRule type="expression" dxfId="10" priority="7" stopIfTrue="1">
      <formula>MOD(ROW(),2)=0</formula>
    </cfRule>
  </conditionalFormatting>
  <conditionalFormatting sqref="L41 A41">
    <cfRule type="expression" dxfId="9" priority="6" stopIfTrue="1">
      <formula>MOD(ROW(),2)=0</formula>
    </cfRule>
  </conditionalFormatting>
  <conditionalFormatting sqref="L43 A43">
    <cfRule type="expression" dxfId="8" priority="5" stopIfTrue="1">
      <formula>MOD(ROW(),2)=0</formula>
    </cfRule>
  </conditionalFormatting>
  <conditionalFormatting sqref="L45">
    <cfRule type="expression" dxfId="7" priority="4" stopIfTrue="1">
      <formula>MOD(ROW(),2)=0</formula>
    </cfRule>
  </conditionalFormatting>
  <conditionalFormatting sqref="A54">
    <cfRule type="expression" dxfId="6" priority="2" stopIfTrue="1">
      <formula>MOD(ROW(),2)=0</formula>
    </cfRule>
  </conditionalFormatting>
  <conditionalFormatting sqref="L54">
    <cfRule type="expression" dxfId="5" priority="1" stopIfTrue="1">
      <formula>MOD(ROW(),2)=0</formula>
    </cfRule>
  </conditionalFormatting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8"/>
  <dimension ref="A1:I76"/>
  <sheetViews>
    <sheetView zoomScale="160" zoomScaleNormal="160" workbookViewId="0">
      <pane xSplit="1" ySplit="7" topLeftCell="B26" activePane="bottomRight" state="frozen"/>
      <selection activeCell="Q6" sqref="Q6"/>
      <selection pane="topRight" activeCell="Q6" sqref="Q6"/>
      <selection pane="bottomLeft" activeCell="Q6" sqref="Q6"/>
      <selection pane="bottomRight" activeCell="H34" sqref="H34"/>
    </sheetView>
  </sheetViews>
  <sheetFormatPr defaultColWidth="9.140625" defaultRowHeight="11.25"/>
  <cols>
    <col min="1" max="1" width="9.7109375" style="8" customWidth="1"/>
    <col min="2" max="2" width="11.140625" style="8" customWidth="1"/>
    <col min="3" max="3" width="10.7109375" style="8" customWidth="1"/>
    <col min="4" max="4" width="10.5703125" style="8" customWidth="1"/>
    <col min="5" max="5" width="10.7109375" style="8" customWidth="1"/>
    <col min="6" max="6" width="11.140625" style="8" customWidth="1"/>
    <col min="7" max="7" width="14.140625" style="8" customWidth="1"/>
    <col min="8" max="8" width="9.140625" style="8" customWidth="1"/>
    <col min="9" max="9" width="10.85546875" style="8" bestFit="1" customWidth="1"/>
    <col min="10" max="16384" width="9.140625" style="8"/>
  </cols>
  <sheetData>
    <row r="1" spans="1:9" s="31" customFormat="1" ht="15.75" customHeight="1">
      <c r="A1" s="2118" t="s">
        <v>1232</v>
      </c>
      <c r="B1" s="2118"/>
      <c r="C1" s="2118"/>
      <c r="D1" s="2118"/>
      <c r="E1" s="2118"/>
      <c r="F1" s="2118" t="s">
        <v>203</v>
      </c>
      <c r="G1" s="2118"/>
    </row>
    <row r="2" spans="1:9" s="37" customFormat="1" ht="12">
      <c r="F2" s="2013" t="s">
        <v>24</v>
      </c>
      <c r="G2" s="2168"/>
    </row>
    <row r="3" spans="1:9" s="341" customFormat="1" ht="15" customHeight="1">
      <c r="A3" s="2014" t="s">
        <v>895</v>
      </c>
      <c r="B3" s="2156" t="s">
        <v>810</v>
      </c>
      <c r="C3" s="2156" t="s">
        <v>210</v>
      </c>
      <c r="D3" s="2029" t="s">
        <v>201</v>
      </c>
      <c r="E3" s="2165"/>
      <c r="F3" s="2165"/>
      <c r="G3" s="2156" t="s">
        <v>795</v>
      </c>
    </row>
    <row r="4" spans="1:9" s="341" customFormat="1" ht="12.75" customHeight="1">
      <c r="A4" s="2015"/>
      <c r="B4" s="2026"/>
      <c r="C4" s="2167"/>
      <c r="D4" s="2160" t="s">
        <v>202</v>
      </c>
      <c r="E4" s="2161"/>
      <c r="F4" s="2169" t="s">
        <v>1190</v>
      </c>
      <c r="G4" s="2026"/>
    </row>
    <row r="5" spans="1:9" s="160" customFormat="1" ht="19.5" customHeight="1">
      <c r="A5" s="2015"/>
      <c r="B5" s="2026"/>
      <c r="C5" s="2167"/>
      <c r="D5" s="2156" t="s">
        <v>2104</v>
      </c>
      <c r="E5" s="2156" t="s">
        <v>200</v>
      </c>
      <c r="F5" s="2170"/>
      <c r="G5" s="2026"/>
    </row>
    <row r="6" spans="1:9" s="160" customFormat="1" ht="14.25" customHeight="1">
      <c r="A6" s="2015"/>
      <c r="B6" s="2018"/>
      <c r="C6" s="2166"/>
      <c r="D6" s="2018"/>
      <c r="E6" s="2166"/>
      <c r="F6" s="2068"/>
      <c r="G6" s="2018"/>
    </row>
    <row r="7" spans="1:9" s="18" customFormat="1" ht="10.5" customHeight="1">
      <c r="A7" s="2016"/>
      <c r="B7" s="17">
        <v>1</v>
      </c>
      <c r="C7" s="17">
        <v>2</v>
      </c>
      <c r="D7" s="17">
        <v>3</v>
      </c>
      <c r="E7" s="17">
        <v>4</v>
      </c>
      <c r="F7" s="17">
        <v>5</v>
      </c>
      <c r="G7" s="17">
        <v>6</v>
      </c>
    </row>
    <row r="8" spans="1:9" s="153" customFormat="1" ht="11.25" customHeight="1">
      <c r="A8" s="229" t="s">
        <v>701</v>
      </c>
      <c r="B8" s="211">
        <v>58417.1</v>
      </c>
      <c r="C8" s="211">
        <v>6479.4</v>
      </c>
      <c r="D8" s="211">
        <v>32662.3</v>
      </c>
      <c r="E8" s="211">
        <v>10289.9</v>
      </c>
      <c r="F8" s="211">
        <v>243.9</v>
      </c>
      <c r="G8" s="211">
        <v>97802.7</v>
      </c>
      <c r="H8" s="152"/>
      <c r="I8" s="36"/>
    </row>
    <row r="9" spans="1:9" s="153" customFormat="1" ht="11.25" customHeight="1">
      <c r="A9" s="248" t="s">
        <v>809</v>
      </c>
      <c r="B9" s="250">
        <v>67552.899999999994</v>
      </c>
      <c r="C9" s="250">
        <v>7819.4</v>
      </c>
      <c r="D9" s="250">
        <v>36803.4</v>
      </c>
      <c r="E9" s="250">
        <v>8422.6</v>
      </c>
      <c r="F9" s="250">
        <v>313.70000000000005</v>
      </c>
      <c r="G9" s="250">
        <v>112489.39999999998</v>
      </c>
      <c r="H9" s="152"/>
      <c r="I9" s="36"/>
    </row>
    <row r="10" spans="1:9" s="525" customFormat="1" ht="11.25" customHeight="1">
      <c r="A10" s="209" t="s">
        <v>982</v>
      </c>
      <c r="B10" s="211">
        <v>76908.399999999994</v>
      </c>
      <c r="C10" s="211">
        <v>8576.7999999999993</v>
      </c>
      <c r="D10" s="211">
        <v>43997.7</v>
      </c>
      <c r="E10" s="211">
        <v>7480.2</v>
      </c>
      <c r="F10" s="211">
        <v>392.4</v>
      </c>
      <c r="G10" s="211">
        <v>129875.29999999999</v>
      </c>
      <c r="H10" s="427"/>
      <c r="I10" s="523"/>
    </row>
    <row r="11" spans="1:9" s="525" customFormat="1" ht="11.25" customHeight="1">
      <c r="A11" s="248" t="s">
        <v>1033</v>
      </c>
      <c r="B11" s="411">
        <v>87940.800000000003</v>
      </c>
      <c r="C11" s="411">
        <v>10213.1</v>
      </c>
      <c r="D11" s="411">
        <v>49838.9</v>
      </c>
      <c r="E11" s="411">
        <v>7889.3</v>
      </c>
      <c r="F11" s="411">
        <v>489.7</v>
      </c>
      <c r="G11" s="411">
        <v>148482.50000000003</v>
      </c>
      <c r="H11" s="427"/>
      <c r="I11" s="52"/>
    </row>
    <row r="12" spans="1:9" s="403" customFormat="1" ht="11.25" customHeight="1">
      <c r="A12" s="209" t="s">
        <v>1154</v>
      </c>
      <c r="B12" s="416">
        <v>122074.5</v>
      </c>
      <c r="C12" s="416">
        <v>10230.700000000001</v>
      </c>
      <c r="D12" s="416">
        <v>60299</v>
      </c>
      <c r="E12" s="416">
        <v>7133.4</v>
      </c>
      <c r="F12" s="416">
        <v>597.1</v>
      </c>
      <c r="G12" s="416">
        <v>193201.30000000002</v>
      </c>
      <c r="H12" s="402"/>
      <c r="I12" s="211"/>
    </row>
    <row r="13" spans="1:9" s="403" customFormat="1" ht="11.25" customHeight="1">
      <c r="A13" s="248" t="s">
        <v>1178</v>
      </c>
      <c r="B13" s="411">
        <v>137531.79999999999</v>
      </c>
      <c r="C13" s="411">
        <v>13733.4</v>
      </c>
      <c r="D13" s="411">
        <v>72732.7</v>
      </c>
      <c r="E13" s="411">
        <v>8987.9</v>
      </c>
      <c r="F13" s="411">
        <v>661.5</v>
      </c>
      <c r="G13" s="411">
        <v>224659.39999999997</v>
      </c>
      <c r="H13" s="402"/>
      <c r="I13" s="211"/>
    </row>
    <row r="14" spans="1:9" s="403" customFormat="1" ht="11.25" customHeight="1">
      <c r="A14" s="209" t="s">
        <v>1298</v>
      </c>
      <c r="B14" s="416">
        <v>140917.5</v>
      </c>
      <c r="C14" s="416">
        <v>14023</v>
      </c>
      <c r="D14" s="416">
        <v>78043.399999999994</v>
      </c>
      <c r="E14" s="416">
        <v>10474.5</v>
      </c>
      <c r="F14" s="416">
        <v>759.1</v>
      </c>
      <c r="G14" s="416">
        <v>233743</v>
      </c>
      <c r="H14" s="402"/>
      <c r="I14" s="211"/>
    </row>
    <row r="15" spans="1:9" s="152" customFormat="1" ht="11.25" customHeight="1">
      <c r="A15" s="283" t="s">
        <v>1407</v>
      </c>
      <c r="B15" s="411">
        <v>154287</v>
      </c>
      <c r="C15" s="411">
        <v>16100.1</v>
      </c>
      <c r="D15" s="411">
        <v>75012.100000000006</v>
      </c>
      <c r="E15" s="411">
        <v>11315.3</v>
      </c>
      <c r="F15" s="411">
        <v>788.5</v>
      </c>
      <c r="G15" s="411">
        <v>246187.7</v>
      </c>
    </row>
    <row r="16" spans="1:9" s="152" customFormat="1" ht="11.25" customHeight="1">
      <c r="A16" s="229" t="s">
        <v>1487</v>
      </c>
      <c r="B16" s="416">
        <v>192114.5</v>
      </c>
      <c r="C16" s="416">
        <v>15979.6</v>
      </c>
      <c r="D16" s="416">
        <v>75768.3</v>
      </c>
      <c r="E16" s="416">
        <v>16308.2</v>
      </c>
      <c r="F16" s="416">
        <v>621</v>
      </c>
      <c r="G16" s="416">
        <v>284483.40000000002</v>
      </c>
    </row>
    <row r="17" spans="1:9" s="152" customFormat="1" ht="11.25" customHeight="1">
      <c r="A17" s="283" t="s">
        <v>1539</v>
      </c>
      <c r="B17" s="411">
        <v>209517.7</v>
      </c>
      <c r="C17" s="411">
        <v>17370.599999999999</v>
      </c>
      <c r="D17" s="411">
        <v>120597</v>
      </c>
      <c r="E17" s="411">
        <v>11944.9</v>
      </c>
      <c r="F17" s="411">
        <v>586.5</v>
      </c>
      <c r="G17" s="411">
        <v>348071.80000000005</v>
      </c>
      <c r="I17" s="660"/>
    </row>
    <row r="18" spans="1:9" s="152" customFormat="1" ht="11.25" customHeight="1">
      <c r="A18" s="229" t="s">
        <v>1810</v>
      </c>
      <c r="B18" s="416">
        <v>236448.9</v>
      </c>
      <c r="C18" s="416">
        <v>19733.8</v>
      </c>
      <c r="D18" s="416">
        <v>90382.9</v>
      </c>
      <c r="E18" s="416">
        <v>7819.1</v>
      </c>
      <c r="F18" s="416">
        <v>596.4</v>
      </c>
      <c r="G18" s="416">
        <v>347162</v>
      </c>
      <c r="I18" s="660"/>
    </row>
    <row r="19" spans="1:9" s="152" customFormat="1" ht="11.25" customHeight="1">
      <c r="A19" s="317" t="s">
        <v>2056</v>
      </c>
      <c r="B19" s="492">
        <v>291913.5</v>
      </c>
      <c r="C19" s="492">
        <v>20034.3</v>
      </c>
      <c r="D19" s="492">
        <v>70967.3</v>
      </c>
      <c r="E19" s="492">
        <v>13264.7</v>
      </c>
      <c r="F19" s="492">
        <v>670.1</v>
      </c>
      <c r="G19" s="492">
        <v>383585.19999999995</v>
      </c>
      <c r="I19" s="660"/>
    </row>
    <row r="20" spans="1:9" s="152" customFormat="1" ht="11.25" customHeight="1">
      <c r="A20" s="763" t="s">
        <v>2188</v>
      </c>
      <c r="B20" s="490">
        <v>290436.5</v>
      </c>
      <c r="C20" s="490">
        <v>29872.400000000001</v>
      </c>
      <c r="D20" s="490">
        <v>92765.1</v>
      </c>
      <c r="E20" s="490">
        <v>14339.5</v>
      </c>
      <c r="F20" s="490">
        <v>573</v>
      </c>
      <c r="G20" s="490">
        <v>413647</v>
      </c>
      <c r="I20" s="224"/>
    </row>
    <row r="21" spans="1:9" s="152" customFormat="1" ht="12" customHeight="1">
      <c r="A21" s="317" t="s">
        <v>2439</v>
      </c>
      <c r="B21" s="492">
        <f t="shared" ref="B21:G21" si="0">B33</f>
        <v>296451.90000000002</v>
      </c>
      <c r="C21" s="492">
        <f t="shared" si="0"/>
        <v>30244.7</v>
      </c>
      <c r="D21" s="492">
        <f t="shared" si="0"/>
        <v>85877.2</v>
      </c>
      <c r="E21" s="492">
        <f t="shared" si="0"/>
        <v>25473.1</v>
      </c>
      <c r="F21" s="492">
        <f t="shared" si="0"/>
        <v>605.20000000000005</v>
      </c>
      <c r="G21" s="492">
        <f t="shared" si="0"/>
        <v>413179.00000000006</v>
      </c>
      <c r="I21" s="224"/>
    </row>
    <row r="22" spans="1:9" s="152" customFormat="1" ht="11.25" customHeight="1">
      <c r="A22" s="229" t="s">
        <v>559</v>
      </c>
      <c r="B22" s="416">
        <v>291630.40000000002</v>
      </c>
      <c r="C22" s="416">
        <v>24269.1</v>
      </c>
      <c r="D22" s="416">
        <v>72850.399999999994</v>
      </c>
      <c r="E22" s="416">
        <v>16224</v>
      </c>
      <c r="F22" s="416">
        <v>567.20000000000005</v>
      </c>
      <c r="G22" s="416">
        <f t="shared" ref="G22:G48" si="1">B22+C22+D22+F22</f>
        <v>389317.10000000003</v>
      </c>
      <c r="H22" s="660"/>
      <c r="I22" s="224"/>
    </row>
    <row r="23" spans="1:9" s="152" customFormat="1" ht="11.25" customHeight="1">
      <c r="A23" s="283" t="s">
        <v>560</v>
      </c>
      <c r="B23" s="411">
        <v>292434.40000000002</v>
      </c>
      <c r="C23" s="411">
        <v>26278.5</v>
      </c>
      <c r="D23" s="411">
        <v>66454</v>
      </c>
      <c r="E23" s="411">
        <v>12150.4</v>
      </c>
      <c r="F23" s="411">
        <v>629.70000000000005</v>
      </c>
      <c r="G23" s="411">
        <f t="shared" si="1"/>
        <v>385796.60000000003</v>
      </c>
      <c r="I23" s="224"/>
    </row>
    <row r="24" spans="1:9" s="152" customFormat="1" ht="11.25" customHeight="1">
      <c r="A24" s="229" t="s">
        <v>554</v>
      </c>
      <c r="B24" s="416">
        <v>283553.40000000002</v>
      </c>
      <c r="C24" s="416">
        <v>27460.3</v>
      </c>
      <c r="D24" s="416">
        <v>63673.3</v>
      </c>
      <c r="E24" s="416">
        <v>10429.5</v>
      </c>
      <c r="F24" s="416">
        <v>586.20000000000005</v>
      </c>
      <c r="G24" s="416">
        <f t="shared" si="1"/>
        <v>375273.2</v>
      </c>
      <c r="I24" s="224"/>
    </row>
    <row r="25" spans="1:9" s="152" customFormat="1" ht="11.25" customHeight="1">
      <c r="A25" s="283" t="s">
        <v>561</v>
      </c>
      <c r="B25" s="411">
        <v>277810.7</v>
      </c>
      <c r="C25" s="411">
        <v>25191.7</v>
      </c>
      <c r="D25" s="411">
        <v>65770.100000000006</v>
      </c>
      <c r="E25" s="411">
        <v>11950.8</v>
      </c>
      <c r="F25" s="411">
        <v>482.8</v>
      </c>
      <c r="G25" s="411">
        <f t="shared" si="1"/>
        <v>369255.3</v>
      </c>
      <c r="I25" s="224"/>
    </row>
    <row r="26" spans="1:9" s="152" customFormat="1" ht="11.25" customHeight="1">
      <c r="A26" s="229" t="s">
        <v>562</v>
      </c>
      <c r="B26" s="416">
        <v>277456.7</v>
      </c>
      <c r="C26" s="416">
        <v>24317.9</v>
      </c>
      <c r="D26" s="416">
        <v>86208.6</v>
      </c>
      <c r="E26" s="416">
        <v>10128.9</v>
      </c>
      <c r="F26" s="416">
        <v>472.7</v>
      </c>
      <c r="G26" s="416">
        <f t="shared" si="1"/>
        <v>388455.90000000008</v>
      </c>
      <c r="I26" s="224"/>
    </row>
    <row r="27" spans="1:9" s="152" customFormat="1" ht="11.25" customHeight="1">
      <c r="A27" s="283" t="s">
        <v>555</v>
      </c>
      <c r="B27" s="411">
        <v>276371.5</v>
      </c>
      <c r="C27" s="411">
        <v>28557.200000000001</v>
      </c>
      <c r="D27" s="411">
        <v>94008.5</v>
      </c>
      <c r="E27" s="411">
        <v>9509.6</v>
      </c>
      <c r="F27" s="411">
        <v>562.5</v>
      </c>
      <c r="G27" s="411">
        <f t="shared" si="1"/>
        <v>399499.7</v>
      </c>
      <c r="I27" s="224"/>
    </row>
    <row r="28" spans="1:9" s="152" customFormat="1" ht="11.25" customHeight="1">
      <c r="A28" s="229" t="s">
        <v>563</v>
      </c>
      <c r="B28" s="416">
        <v>274230.90000000002</v>
      </c>
      <c r="C28" s="416">
        <v>25280</v>
      </c>
      <c r="D28" s="416">
        <v>78683</v>
      </c>
      <c r="E28" s="416">
        <v>11319.2</v>
      </c>
      <c r="F28" s="416">
        <v>514.4</v>
      </c>
      <c r="G28" s="416">
        <f t="shared" si="1"/>
        <v>378708.30000000005</v>
      </c>
      <c r="I28" s="224"/>
    </row>
    <row r="29" spans="1:9" s="152" customFormat="1" ht="11.25" customHeight="1">
      <c r="A29" s="283" t="s">
        <v>564</v>
      </c>
      <c r="B29" s="411">
        <v>271495.59999999998</v>
      </c>
      <c r="C29" s="411">
        <v>26886.799999999999</v>
      </c>
      <c r="D29" s="411">
        <v>75741.7</v>
      </c>
      <c r="E29" s="411">
        <v>10866.8</v>
      </c>
      <c r="F29" s="411">
        <v>478.8</v>
      </c>
      <c r="G29" s="411">
        <f>B29+C29+D29+F29</f>
        <v>374602.89999999997</v>
      </c>
      <c r="I29" s="224"/>
    </row>
    <row r="30" spans="1:9" s="152" customFormat="1" ht="11.25" customHeight="1">
      <c r="A30" s="229" t="s">
        <v>556</v>
      </c>
      <c r="B30" s="416">
        <v>296431.59999999998</v>
      </c>
      <c r="C30" s="416">
        <v>24729.200000000001</v>
      </c>
      <c r="D30" s="416">
        <v>81056.2</v>
      </c>
      <c r="E30" s="416">
        <v>14834.3</v>
      </c>
      <c r="F30" s="416">
        <v>516.6</v>
      </c>
      <c r="G30" s="416">
        <f t="shared" si="1"/>
        <v>402733.6</v>
      </c>
      <c r="I30" s="224"/>
    </row>
    <row r="31" spans="1:9" s="152" customFormat="1" ht="11.25" customHeight="1">
      <c r="A31" s="283" t="s">
        <v>565</v>
      </c>
      <c r="B31" s="411">
        <v>277366.90000000002</v>
      </c>
      <c r="C31" s="411">
        <v>25317.3</v>
      </c>
      <c r="D31" s="411">
        <v>77442.7</v>
      </c>
      <c r="E31" s="411">
        <v>19956.8</v>
      </c>
      <c r="F31" s="411">
        <v>518.6</v>
      </c>
      <c r="G31" s="411">
        <f t="shared" si="1"/>
        <v>380645.5</v>
      </c>
      <c r="I31" s="224"/>
    </row>
    <row r="32" spans="1:9" s="152" customFormat="1" ht="11.25" customHeight="1">
      <c r="A32" s="229" t="s">
        <v>566</v>
      </c>
      <c r="B32" s="416">
        <v>293778.59999999998</v>
      </c>
      <c r="C32" s="416">
        <v>26170.5</v>
      </c>
      <c r="D32" s="416">
        <v>78392.600000000006</v>
      </c>
      <c r="E32" s="416">
        <v>14328.9</v>
      </c>
      <c r="F32" s="416">
        <v>506.8</v>
      </c>
      <c r="G32" s="416">
        <f t="shared" si="1"/>
        <v>398848.49999999994</v>
      </c>
      <c r="I32" s="224"/>
    </row>
    <row r="33" spans="1:9" s="152" customFormat="1" ht="11.25" customHeight="1">
      <c r="A33" s="283" t="s">
        <v>557</v>
      </c>
      <c r="B33" s="411">
        <v>296451.90000000002</v>
      </c>
      <c r="C33" s="411">
        <v>30244.7</v>
      </c>
      <c r="D33" s="411">
        <v>85877.2</v>
      </c>
      <c r="E33" s="411">
        <v>25473.1</v>
      </c>
      <c r="F33" s="411">
        <v>605.20000000000005</v>
      </c>
      <c r="G33" s="411">
        <f t="shared" si="1"/>
        <v>413179.00000000006</v>
      </c>
      <c r="I33" s="224"/>
    </row>
    <row r="34" spans="1:9" s="152" customFormat="1" ht="12" customHeight="1">
      <c r="A34" s="1161" t="s">
        <v>2664</v>
      </c>
      <c r="B34" s="490">
        <f t="shared" ref="B34:G34" si="2">B46</f>
        <v>336375.2</v>
      </c>
      <c r="C34" s="490">
        <f t="shared" si="2"/>
        <v>33893.300000000003</v>
      </c>
      <c r="D34" s="490">
        <f t="shared" si="2"/>
        <v>105485.7</v>
      </c>
      <c r="E34" s="490">
        <f t="shared" si="2"/>
        <v>19701</v>
      </c>
      <c r="F34" s="490">
        <f t="shared" si="2"/>
        <v>614.4</v>
      </c>
      <c r="G34" s="490">
        <f t="shared" si="2"/>
        <v>476368.60000000003</v>
      </c>
      <c r="I34" s="224"/>
    </row>
    <row r="35" spans="1:9" s="152" customFormat="1" ht="11.25" customHeight="1">
      <c r="A35" s="283" t="s">
        <v>559</v>
      </c>
      <c r="B35" s="411">
        <v>287294.09999999998</v>
      </c>
      <c r="C35" s="411">
        <v>28015.5</v>
      </c>
      <c r="D35" s="411">
        <v>83242.3</v>
      </c>
      <c r="E35" s="411">
        <v>17385.2</v>
      </c>
      <c r="F35" s="411">
        <v>494</v>
      </c>
      <c r="G35" s="411">
        <f t="shared" si="1"/>
        <v>399045.89999999997</v>
      </c>
      <c r="I35" s="224"/>
    </row>
    <row r="36" spans="1:9" s="152" customFormat="1" ht="11.25" customHeight="1">
      <c r="A36" s="229" t="s">
        <v>560</v>
      </c>
      <c r="B36" s="416">
        <v>276494.59999999998</v>
      </c>
      <c r="C36" s="416">
        <v>30501</v>
      </c>
      <c r="D36" s="416">
        <v>82982.399999999994</v>
      </c>
      <c r="E36" s="416">
        <v>17702.599999999999</v>
      </c>
      <c r="F36" s="416">
        <v>530.29999999999995</v>
      </c>
      <c r="G36" s="416">
        <f t="shared" si="1"/>
        <v>390508.3</v>
      </c>
      <c r="I36" s="224"/>
    </row>
    <row r="37" spans="1:9" s="152" customFormat="1" ht="11.25" customHeight="1">
      <c r="A37" s="283" t="s">
        <v>554</v>
      </c>
      <c r="B37" s="411">
        <v>274724.2</v>
      </c>
      <c r="C37" s="411">
        <v>28761.7</v>
      </c>
      <c r="D37" s="411">
        <v>84192.1</v>
      </c>
      <c r="E37" s="411">
        <v>19422.900000000001</v>
      </c>
      <c r="F37" s="411">
        <v>518.4</v>
      </c>
      <c r="G37" s="411">
        <f t="shared" si="1"/>
        <v>388196.4</v>
      </c>
      <c r="I37" s="224"/>
    </row>
    <row r="38" spans="1:9" s="9" customFormat="1" ht="11.25" customHeight="1">
      <c r="A38" s="1478" t="s">
        <v>561</v>
      </c>
      <c r="B38" s="1473">
        <v>270449.7</v>
      </c>
      <c r="C38" s="1473">
        <v>28310.7</v>
      </c>
      <c r="D38" s="1473">
        <v>81612.899999999994</v>
      </c>
      <c r="E38" s="1473">
        <v>20029.5</v>
      </c>
      <c r="F38" s="1473">
        <v>514.1</v>
      </c>
      <c r="G38" s="1473">
        <f t="shared" si="1"/>
        <v>380887.4</v>
      </c>
      <c r="H38" s="141"/>
      <c r="I38" s="660"/>
    </row>
    <row r="39" spans="1:9" s="9" customFormat="1" ht="10.5" customHeight="1">
      <c r="A39" s="283" t="s">
        <v>562</v>
      </c>
      <c r="B39" s="411">
        <v>269018.2</v>
      </c>
      <c r="C39" s="411">
        <v>30767.5</v>
      </c>
      <c r="D39" s="411">
        <v>105067.8</v>
      </c>
      <c r="E39" s="411">
        <v>18432.599999999999</v>
      </c>
      <c r="F39" s="411">
        <v>498.7</v>
      </c>
      <c r="G39" s="411">
        <f t="shared" si="1"/>
        <v>405352.2</v>
      </c>
      <c r="I39" s="224"/>
    </row>
    <row r="40" spans="1:9">
      <c r="A40" s="1478" t="s">
        <v>555</v>
      </c>
      <c r="B40" s="1473">
        <v>275343.40000000002</v>
      </c>
      <c r="C40" s="1473">
        <v>29925.3</v>
      </c>
      <c r="D40" s="1473">
        <v>130472.7</v>
      </c>
      <c r="E40" s="1473">
        <v>18389.5</v>
      </c>
      <c r="F40" s="1473">
        <v>583.4</v>
      </c>
      <c r="G40" s="1473">
        <f t="shared" si="1"/>
        <v>436324.80000000005</v>
      </c>
      <c r="I40" s="83"/>
    </row>
    <row r="41" spans="1:9">
      <c r="A41" s="283" t="s">
        <v>563</v>
      </c>
      <c r="B41" s="411">
        <v>282626.8</v>
      </c>
      <c r="C41" s="411">
        <v>29539.1</v>
      </c>
      <c r="D41" s="411">
        <v>105261.8</v>
      </c>
      <c r="E41" s="411">
        <v>16803.7</v>
      </c>
      <c r="F41" s="411">
        <v>527.4</v>
      </c>
      <c r="G41" s="411">
        <f t="shared" si="1"/>
        <v>417955.1</v>
      </c>
    </row>
    <row r="42" spans="1:9" ht="9.75" customHeight="1">
      <c r="A42" s="1478" t="s">
        <v>564</v>
      </c>
      <c r="B42" s="1473">
        <v>286404.09999999998</v>
      </c>
      <c r="C42" s="1473">
        <v>31525.4</v>
      </c>
      <c r="D42" s="1473">
        <v>106142.1</v>
      </c>
      <c r="E42" s="1473">
        <v>16443.599999999999</v>
      </c>
      <c r="F42" s="1473">
        <v>547.20000000000005</v>
      </c>
      <c r="G42" s="1473">
        <f t="shared" si="1"/>
        <v>424618.8</v>
      </c>
    </row>
    <row r="43" spans="1:9" ht="10.5" customHeight="1">
      <c r="A43" s="283" t="s">
        <v>556</v>
      </c>
      <c r="B43" s="411">
        <v>303018.7</v>
      </c>
      <c r="C43" s="411">
        <v>39066.400000000001</v>
      </c>
      <c r="D43" s="411">
        <v>100642.3</v>
      </c>
      <c r="E43" s="411">
        <v>23001.200000000001</v>
      </c>
      <c r="F43" s="411">
        <v>542.1</v>
      </c>
      <c r="G43" s="411">
        <f t="shared" si="1"/>
        <v>443269.5</v>
      </c>
    </row>
    <row r="44" spans="1:9" ht="12" customHeight="1">
      <c r="A44" s="229" t="s">
        <v>565</v>
      </c>
      <c r="B44" s="416">
        <v>299425.59999999998</v>
      </c>
      <c r="C44" s="416">
        <v>31592.9</v>
      </c>
      <c r="D44" s="416">
        <v>103857.3</v>
      </c>
      <c r="E44" s="416">
        <v>23703.200000000001</v>
      </c>
      <c r="F44" s="416">
        <v>531.29999999999995</v>
      </c>
      <c r="G44" s="416">
        <f t="shared" si="1"/>
        <v>435407.1</v>
      </c>
    </row>
    <row r="45" spans="1:9">
      <c r="A45" s="283" t="s">
        <v>566</v>
      </c>
      <c r="B45" s="411">
        <v>349374</v>
      </c>
      <c r="C45" s="411">
        <v>20841.599999999999</v>
      </c>
      <c r="D45" s="411">
        <v>114733.3</v>
      </c>
      <c r="E45" s="411">
        <v>22810.3</v>
      </c>
      <c r="F45" s="411">
        <v>593.4</v>
      </c>
      <c r="G45" s="411">
        <f t="shared" si="1"/>
        <v>485542.3</v>
      </c>
    </row>
    <row r="46" spans="1:9">
      <c r="A46" s="1771" t="s">
        <v>557</v>
      </c>
      <c r="B46" s="416">
        <v>336375.2</v>
      </c>
      <c r="C46" s="416">
        <v>33893.300000000003</v>
      </c>
      <c r="D46" s="416">
        <v>105485.7</v>
      </c>
      <c r="E46" s="416">
        <v>19701</v>
      </c>
      <c r="F46" s="416">
        <v>614.4</v>
      </c>
      <c r="G46" s="416">
        <f t="shared" si="1"/>
        <v>476368.60000000003</v>
      </c>
    </row>
    <row r="47" spans="1:9">
      <c r="A47" s="317" t="s">
        <v>2929</v>
      </c>
      <c r="B47" s="411"/>
      <c r="C47" s="411"/>
      <c r="D47" s="411"/>
      <c r="E47" s="411"/>
      <c r="F47" s="411"/>
      <c r="G47" s="411"/>
    </row>
    <row r="48" spans="1:9" ht="12" thickBot="1">
      <c r="A48" s="449" t="s">
        <v>559</v>
      </c>
      <c r="B48" s="1477">
        <v>328668.2</v>
      </c>
      <c r="C48" s="1477">
        <v>34998.400000000001</v>
      </c>
      <c r="D48" s="1477">
        <v>99221.5</v>
      </c>
      <c r="E48" s="1477">
        <v>7213.4</v>
      </c>
      <c r="F48" s="1477">
        <v>573.29999999999995</v>
      </c>
      <c r="G48" s="1477">
        <f t="shared" si="1"/>
        <v>463461.4</v>
      </c>
    </row>
    <row r="49" spans="1:7">
      <c r="A49" s="584"/>
      <c r="B49" s="236" t="s">
        <v>1293</v>
      </c>
      <c r="C49" s="236"/>
      <c r="D49" s="236"/>
      <c r="E49" s="236"/>
      <c r="F49" s="236"/>
      <c r="G49" s="236"/>
    </row>
    <row r="50" spans="1:7">
      <c r="A50" s="394" t="s">
        <v>1332</v>
      </c>
      <c r="B50" s="2148" t="s">
        <v>1207</v>
      </c>
      <c r="C50" s="2148"/>
      <c r="D50" s="2148"/>
      <c r="E50" s="580"/>
      <c r="F50" s="828" t="s">
        <v>1296</v>
      </c>
      <c r="G50" s="580"/>
    </row>
    <row r="51" spans="1:7">
      <c r="A51" s="9"/>
      <c r="B51" s="51"/>
      <c r="C51" s="951"/>
      <c r="D51" s="51"/>
      <c r="E51" s="51"/>
      <c r="F51" s="51"/>
      <c r="G51" s="51"/>
    </row>
    <row r="52" spans="1:7">
      <c r="A52" s="9"/>
      <c r="B52" s="9"/>
      <c r="C52" s="951"/>
      <c r="D52" s="9"/>
      <c r="E52" s="9"/>
      <c r="F52" s="9"/>
      <c r="G52" s="51"/>
    </row>
    <row r="53" spans="1:7">
      <c r="A53" s="9"/>
      <c r="B53" s="61"/>
      <c r="C53" s="61"/>
      <c r="D53" s="1486"/>
      <c r="E53" s="1486"/>
      <c r="F53" s="141"/>
      <c r="G53" s="141"/>
    </row>
    <row r="54" spans="1:7">
      <c r="B54" s="36"/>
      <c r="C54" s="36"/>
      <c r="D54" s="36"/>
      <c r="E54" s="36"/>
      <c r="F54" s="36"/>
    </row>
    <row r="55" spans="1:7">
      <c r="B55" s="36"/>
      <c r="C55" s="36"/>
      <c r="D55" s="36"/>
      <c r="E55" s="36"/>
      <c r="F55" s="36"/>
      <c r="G55" s="36"/>
    </row>
    <row r="56" spans="1:7">
      <c r="B56" s="36"/>
      <c r="C56" s="36"/>
      <c r="D56" s="36"/>
      <c r="E56" s="36"/>
      <c r="F56" s="36"/>
      <c r="G56" s="36"/>
    </row>
    <row r="57" spans="1:7">
      <c r="B57" s="36"/>
      <c r="C57" s="36"/>
      <c r="D57" s="36"/>
      <c r="E57" s="36"/>
      <c r="F57" s="36"/>
    </row>
    <row r="66" spans="2:7">
      <c r="B66" s="36"/>
      <c r="C66" s="36"/>
      <c r="D66" s="36"/>
      <c r="E66" s="36"/>
      <c r="F66" s="36"/>
      <c r="G66" s="36"/>
    </row>
    <row r="67" spans="2:7">
      <c r="B67" s="36"/>
      <c r="C67" s="36"/>
      <c r="D67" s="36"/>
      <c r="E67" s="36"/>
      <c r="F67" s="36"/>
      <c r="G67" s="36"/>
    </row>
    <row r="68" spans="2:7">
      <c r="B68" s="36"/>
      <c r="C68" s="36"/>
      <c r="D68" s="36"/>
      <c r="E68" s="36"/>
      <c r="F68" s="36"/>
      <c r="G68" s="36"/>
    </row>
    <row r="69" spans="2:7">
      <c r="B69" s="36"/>
      <c r="C69" s="36"/>
      <c r="D69" s="36"/>
      <c r="E69" s="36"/>
      <c r="F69" s="36"/>
      <c r="G69" s="36"/>
    </row>
    <row r="70" spans="2:7">
      <c r="B70" s="36"/>
      <c r="C70" s="36"/>
      <c r="D70" s="36"/>
      <c r="E70" s="36"/>
      <c r="F70" s="36"/>
      <c r="G70" s="36"/>
    </row>
    <row r="71" spans="2:7">
      <c r="B71" s="36"/>
      <c r="C71" s="36"/>
      <c r="D71" s="36"/>
      <c r="E71" s="36"/>
      <c r="F71" s="36"/>
      <c r="G71" s="36"/>
    </row>
    <row r="72" spans="2:7">
      <c r="B72" s="36"/>
      <c r="C72" s="36"/>
      <c r="D72" s="36"/>
      <c r="E72" s="36"/>
      <c r="F72" s="36"/>
      <c r="G72" s="36"/>
    </row>
    <row r="73" spans="2:7">
      <c r="B73" s="36"/>
      <c r="C73" s="36"/>
      <c r="D73" s="36"/>
      <c r="E73" s="36"/>
      <c r="F73" s="36"/>
      <c r="G73" s="36"/>
    </row>
    <row r="74" spans="2:7">
      <c r="B74" s="36"/>
      <c r="C74" s="36"/>
      <c r="D74" s="36"/>
      <c r="E74" s="36"/>
      <c r="F74" s="36"/>
      <c r="G74" s="36"/>
    </row>
    <row r="75" spans="2:7">
      <c r="B75" s="36"/>
      <c r="C75" s="36"/>
      <c r="D75" s="36"/>
      <c r="E75" s="36"/>
      <c r="F75" s="36"/>
      <c r="G75" s="36"/>
    </row>
    <row r="76" spans="2:7">
      <c r="B76" s="36"/>
      <c r="C76" s="36"/>
      <c r="D76" s="36"/>
      <c r="E76" s="36"/>
      <c r="F76" s="36"/>
      <c r="G76" s="36"/>
    </row>
  </sheetData>
  <customSheetViews>
    <customSheetView guid="{A374FC54-96E3-45F0-9C12-8450400C12DF}" scale="180">
      <pane xSplit="1" ySplit="7" topLeftCell="B45" activePane="bottomRight" state="frozen"/>
      <selection pane="bottomRight" activeCell="G46" sqref="G46:G48"/>
      <pageMargins left="0.62992125984252001" right="0.511811023622047" top="0.511811023622047" bottom="0.511811023622047" header="0" footer="0.39370078740157499"/>
      <pageSetup paperSize="132" firstPageNumber="16" orientation="portrait" useFirstPageNumber="1" r:id="rId1"/>
      <headerFooter alignWithMargins="0">
        <oddFooter>&amp;C&amp;"Times New Roman,Regular"&amp;8&amp;P</oddFooter>
      </headerFooter>
    </customSheetView>
  </customSheetViews>
  <mergeCells count="13">
    <mergeCell ref="B50:D50"/>
    <mergeCell ref="D5:D6"/>
    <mergeCell ref="D4:E4"/>
    <mergeCell ref="D3:F3"/>
    <mergeCell ref="F1:G1"/>
    <mergeCell ref="A1:E1"/>
    <mergeCell ref="A3:A7"/>
    <mergeCell ref="E5:E6"/>
    <mergeCell ref="C3:C6"/>
    <mergeCell ref="B3:B6"/>
    <mergeCell ref="F2:G2"/>
    <mergeCell ref="G3:G6"/>
    <mergeCell ref="F4:F6"/>
  </mergeCells>
  <phoneticPr fontId="0" type="noConversion"/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9"/>
  <dimension ref="A1:M76"/>
  <sheetViews>
    <sheetView zoomScale="150" zoomScaleNormal="150" workbookViewId="0">
      <pane xSplit="1" ySplit="7" topLeftCell="B26" activePane="bottomRight" state="frozen"/>
      <selection activeCell="Q6" sqref="Q6"/>
      <selection pane="topRight" activeCell="Q6" sqref="Q6"/>
      <selection pane="bottomLeft" activeCell="Q6" sqref="Q6"/>
      <selection pane="bottomRight" activeCell="K36" sqref="K36"/>
    </sheetView>
  </sheetViews>
  <sheetFormatPr defaultColWidth="9.140625" defaultRowHeight="11.25"/>
  <cols>
    <col min="1" max="1" width="10.140625" style="153" customWidth="1"/>
    <col min="2" max="2" width="7.42578125" style="153" customWidth="1"/>
    <col min="3" max="3" width="7.140625" style="153" customWidth="1"/>
    <col min="4" max="4" width="7" style="153" customWidth="1"/>
    <col min="5" max="5" width="6.42578125" style="153" customWidth="1"/>
    <col min="6" max="6" width="7.42578125" style="153" customWidth="1"/>
    <col min="7" max="7" width="8.28515625" style="153" customWidth="1"/>
    <col min="8" max="8" width="7.28515625" style="153" customWidth="1"/>
    <col min="9" max="10" width="8" style="153" customWidth="1"/>
    <col min="11" max="16384" width="9.140625" style="153"/>
  </cols>
  <sheetData>
    <row r="1" spans="1:12" s="155" customFormat="1" ht="13.5" customHeight="1">
      <c r="A1" s="2171" t="s">
        <v>1233</v>
      </c>
      <c r="B1" s="2171"/>
      <c r="C1" s="2171"/>
      <c r="D1" s="2171"/>
      <c r="E1" s="2171"/>
      <c r="F1" s="2171"/>
      <c r="G1" s="2171"/>
      <c r="H1" s="2171"/>
      <c r="I1" s="2176" t="s">
        <v>204</v>
      </c>
      <c r="J1" s="2176"/>
    </row>
    <row r="2" spans="1:12" s="158" customFormat="1" ht="12">
      <c r="I2" s="2177" t="s">
        <v>24</v>
      </c>
      <c r="J2" s="2177"/>
    </row>
    <row r="3" spans="1:12" s="341" customFormat="1" ht="15" customHeight="1">
      <c r="A3" s="2034" t="s">
        <v>916</v>
      </c>
      <c r="B3" s="2157" t="s">
        <v>205</v>
      </c>
      <c r="C3" s="2173" t="s">
        <v>483</v>
      </c>
      <c r="D3" s="2174"/>
      <c r="E3" s="2174"/>
      <c r="F3" s="2174"/>
      <c r="G3" s="2175"/>
      <c r="H3" s="2156" t="s">
        <v>896</v>
      </c>
      <c r="I3" s="2156" t="s">
        <v>208</v>
      </c>
      <c r="J3" s="2156" t="s">
        <v>209</v>
      </c>
    </row>
    <row r="4" spans="1:12" s="341" customFormat="1" ht="12.75" customHeight="1">
      <c r="A4" s="2034"/>
      <c r="B4" s="2172"/>
      <c r="C4" s="2156" t="s">
        <v>761</v>
      </c>
      <c r="D4" s="2156" t="s">
        <v>485</v>
      </c>
      <c r="E4" s="2156" t="s">
        <v>576</v>
      </c>
      <c r="F4" s="2156" t="s">
        <v>206</v>
      </c>
      <c r="G4" s="2156" t="s">
        <v>207</v>
      </c>
      <c r="H4" s="2026"/>
      <c r="I4" s="2026"/>
      <c r="J4" s="2026"/>
    </row>
    <row r="5" spans="1:12" s="160" customFormat="1" ht="19.5" customHeight="1">
      <c r="A5" s="2034"/>
      <c r="B5" s="2172"/>
      <c r="C5" s="2026"/>
      <c r="D5" s="2026"/>
      <c r="E5" s="2167"/>
      <c r="F5" s="2026"/>
      <c r="G5" s="2026"/>
      <c r="H5" s="2026"/>
      <c r="I5" s="2026"/>
      <c r="J5" s="2026"/>
    </row>
    <row r="6" spans="1:12" s="160" customFormat="1" ht="14.25" customHeight="1">
      <c r="A6" s="2034"/>
      <c r="B6" s="2158"/>
      <c r="C6" s="2018"/>
      <c r="D6" s="2018"/>
      <c r="E6" s="2166"/>
      <c r="F6" s="2018"/>
      <c r="G6" s="2018"/>
      <c r="H6" s="2018"/>
      <c r="I6" s="2018"/>
      <c r="J6" s="2018"/>
    </row>
    <row r="7" spans="1:12" s="207" customFormat="1" ht="10.5" customHeight="1">
      <c r="A7" s="2034"/>
      <c r="B7" s="1461">
        <v>1</v>
      </c>
      <c r="C7" s="457">
        <v>2</v>
      </c>
      <c r="D7" s="457">
        <v>3</v>
      </c>
      <c r="E7" s="457">
        <v>4</v>
      </c>
      <c r="F7" s="457">
        <v>5</v>
      </c>
      <c r="G7" s="457">
        <v>6</v>
      </c>
      <c r="H7" s="457">
        <v>7</v>
      </c>
      <c r="I7" s="457">
        <v>8</v>
      </c>
      <c r="J7" s="457">
        <v>9</v>
      </c>
    </row>
    <row r="8" spans="1:12" s="219" customFormat="1" ht="11.1" customHeight="1">
      <c r="A8" s="219" t="s">
        <v>81</v>
      </c>
      <c r="B8" s="416">
        <v>61181</v>
      </c>
      <c r="C8" s="416">
        <v>21471.200000000001</v>
      </c>
      <c r="D8" s="230">
        <v>830.7</v>
      </c>
      <c r="E8" s="230">
        <v>2588.6999999999998</v>
      </c>
      <c r="F8" s="230">
        <v>6613.9</v>
      </c>
      <c r="G8" s="230">
        <f t="shared" ref="G8:G10" si="0">C8+D8+E8+F8</f>
        <v>31504.5</v>
      </c>
      <c r="H8" s="416">
        <v>-18542.7</v>
      </c>
      <c r="I8" s="211">
        <f t="shared" ref="I8:I10" si="1">G8+H8</f>
        <v>12961.8</v>
      </c>
      <c r="J8" s="211">
        <f t="shared" ref="J8:J10" si="2">B8+I8</f>
        <v>74142.8</v>
      </c>
      <c r="K8" s="524"/>
    </row>
    <row r="9" spans="1:12" s="219" customFormat="1" ht="11.1" customHeight="1">
      <c r="A9" s="526" t="s">
        <v>189</v>
      </c>
      <c r="B9" s="411">
        <v>61342.1</v>
      </c>
      <c r="C9" s="411">
        <v>31710.5</v>
      </c>
      <c r="D9" s="255">
        <v>776.7</v>
      </c>
      <c r="E9" s="255">
        <v>3143.7</v>
      </c>
      <c r="F9" s="255">
        <v>18608.8</v>
      </c>
      <c r="G9" s="255">
        <f t="shared" si="0"/>
        <v>54239.7</v>
      </c>
      <c r="H9" s="411">
        <v>-25847.4</v>
      </c>
      <c r="I9" s="250">
        <f t="shared" si="1"/>
        <v>28392.299999999996</v>
      </c>
      <c r="J9" s="250">
        <f t="shared" si="2"/>
        <v>89734.399999999994</v>
      </c>
      <c r="K9" s="524"/>
    </row>
    <row r="10" spans="1:12" s="219" customFormat="1" ht="11.1" customHeight="1">
      <c r="A10" s="219" t="s">
        <v>701</v>
      </c>
      <c r="B10" s="416">
        <v>68930.100000000006</v>
      </c>
      <c r="C10" s="416">
        <v>37854.9</v>
      </c>
      <c r="D10" s="230">
        <v>1181.9000000000001</v>
      </c>
      <c r="E10" s="230">
        <v>3598.7</v>
      </c>
      <c r="F10" s="230">
        <v>22627.4</v>
      </c>
      <c r="G10" s="230">
        <f t="shared" si="0"/>
        <v>65262.9</v>
      </c>
      <c r="H10" s="416">
        <v>-36390.300000000003</v>
      </c>
      <c r="I10" s="211">
        <f t="shared" si="1"/>
        <v>28872.6</v>
      </c>
      <c r="J10" s="211">
        <f t="shared" si="2"/>
        <v>97802.700000000012</v>
      </c>
      <c r="K10" s="524"/>
    </row>
    <row r="11" spans="1:12" s="219" customFormat="1" ht="11.1" customHeight="1">
      <c r="A11" s="526" t="s">
        <v>809</v>
      </c>
      <c r="B11" s="411">
        <v>103246</v>
      </c>
      <c r="C11" s="411">
        <v>27069</v>
      </c>
      <c r="D11" s="255">
        <v>1354.5</v>
      </c>
      <c r="E11" s="255">
        <v>4180.2</v>
      </c>
      <c r="F11" s="255">
        <v>10219</v>
      </c>
      <c r="G11" s="255">
        <v>42822.7</v>
      </c>
      <c r="H11" s="411">
        <v>-33579.300000000003</v>
      </c>
      <c r="I11" s="250">
        <v>9243.3999999999942</v>
      </c>
      <c r="J11" s="250">
        <v>112489.4</v>
      </c>
      <c r="K11" s="524"/>
    </row>
    <row r="12" spans="1:12" s="525" customFormat="1" ht="11.1" customHeight="1">
      <c r="A12" s="450" t="s">
        <v>982</v>
      </c>
      <c r="B12" s="211">
        <v>147496.6</v>
      </c>
      <c r="C12" s="416">
        <v>3840.6</v>
      </c>
      <c r="D12" s="416">
        <v>1202.7</v>
      </c>
      <c r="E12" s="416">
        <v>4272.7</v>
      </c>
      <c r="F12" s="416">
        <v>6279.2</v>
      </c>
      <c r="G12" s="416">
        <v>15595.2</v>
      </c>
      <c r="H12" s="416">
        <v>-33216.5</v>
      </c>
      <c r="I12" s="416">
        <v>-17621.3</v>
      </c>
      <c r="J12" s="416">
        <v>129875.3</v>
      </c>
    </row>
    <row r="13" spans="1:12" s="527" customFormat="1" ht="11.1" customHeight="1">
      <c r="A13" s="258" t="s">
        <v>1033</v>
      </c>
      <c r="B13" s="411">
        <v>177401.3</v>
      </c>
      <c r="C13" s="411">
        <v>810.5</v>
      </c>
      <c r="D13" s="411">
        <v>2160.8000000000002</v>
      </c>
      <c r="E13" s="411">
        <v>4645.6000000000004</v>
      </c>
      <c r="F13" s="411">
        <v>5659.2</v>
      </c>
      <c r="G13" s="411">
        <v>13276.1</v>
      </c>
      <c r="H13" s="411">
        <v>-42194.9</v>
      </c>
      <c r="I13" s="411">
        <v>-28918.800000000003</v>
      </c>
      <c r="J13" s="411">
        <v>148482.5</v>
      </c>
      <c r="L13" s="528"/>
    </row>
    <row r="14" spans="1:12" s="403" customFormat="1" ht="11.1" customHeight="1">
      <c r="A14" s="209" t="s">
        <v>1154</v>
      </c>
      <c r="B14" s="416">
        <v>218904.1</v>
      </c>
      <c r="C14" s="416">
        <v>13373.7</v>
      </c>
      <c r="D14" s="416">
        <v>2015.5</v>
      </c>
      <c r="E14" s="416">
        <v>4966.8999999999996</v>
      </c>
      <c r="F14" s="416">
        <v>6024.4</v>
      </c>
      <c r="G14" s="416">
        <v>26380.5</v>
      </c>
      <c r="H14" s="416">
        <v>-52083.3</v>
      </c>
      <c r="I14" s="416">
        <v>-25702.800000000003</v>
      </c>
      <c r="J14" s="416">
        <v>193201.3</v>
      </c>
      <c r="L14" s="402"/>
    </row>
    <row r="15" spans="1:12" s="403" customFormat="1" ht="11.1" customHeight="1">
      <c r="A15" s="248" t="s">
        <v>1178</v>
      </c>
      <c r="B15" s="411">
        <v>252027</v>
      </c>
      <c r="C15" s="411">
        <v>12977.7</v>
      </c>
      <c r="D15" s="411">
        <v>2157.8000000000002</v>
      </c>
      <c r="E15" s="411">
        <v>4976.6000000000004</v>
      </c>
      <c r="F15" s="411">
        <v>5054.3999999999996</v>
      </c>
      <c r="G15" s="411">
        <v>25166.5</v>
      </c>
      <c r="H15" s="411">
        <v>-52534.1</v>
      </c>
      <c r="I15" s="411">
        <v>-27367.599999999999</v>
      </c>
      <c r="J15" s="411">
        <v>224659.4</v>
      </c>
      <c r="L15" s="402"/>
    </row>
    <row r="16" spans="1:12" s="403" customFormat="1" ht="11.1" customHeight="1">
      <c r="A16" s="209" t="s">
        <v>1298</v>
      </c>
      <c r="B16" s="416">
        <v>253509.8</v>
      </c>
      <c r="C16" s="416">
        <v>22572.2</v>
      </c>
      <c r="D16" s="416">
        <v>2367.8000000000002</v>
      </c>
      <c r="E16" s="416">
        <v>5146.2</v>
      </c>
      <c r="F16" s="416">
        <v>5582.5</v>
      </c>
      <c r="G16" s="416">
        <v>35668.699999999997</v>
      </c>
      <c r="H16" s="416">
        <v>-55435.5</v>
      </c>
      <c r="I16" s="416">
        <v>-19766.800000000003</v>
      </c>
      <c r="J16" s="416">
        <v>233743</v>
      </c>
      <c r="L16" s="402"/>
    </row>
    <row r="17" spans="1:13" s="205" customFormat="1" ht="11.1" customHeight="1">
      <c r="A17" s="283" t="s">
        <v>1407</v>
      </c>
      <c r="B17" s="411">
        <v>257195.4</v>
      </c>
      <c r="C17" s="411">
        <v>31189</v>
      </c>
      <c r="D17" s="411">
        <v>2380.4</v>
      </c>
      <c r="E17" s="411">
        <v>4789.5</v>
      </c>
      <c r="F17" s="411">
        <v>5386.9</v>
      </c>
      <c r="G17" s="411">
        <v>43745.8</v>
      </c>
      <c r="H17" s="411">
        <v>-54753.5</v>
      </c>
      <c r="I17" s="411">
        <v>-11007.699999999997</v>
      </c>
      <c r="J17" s="411">
        <v>246187.7</v>
      </c>
      <c r="K17" s="558"/>
    </row>
    <row r="18" spans="1:13" ht="11.1" customHeight="1">
      <c r="A18" s="152" t="s">
        <v>1487</v>
      </c>
      <c r="B18" s="416">
        <v>286040.90000000002</v>
      </c>
      <c r="C18" s="416">
        <v>42117.1</v>
      </c>
      <c r="D18" s="416">
        <v>2551.9</v>
      </c>
      <c r="E18" s="416">
        <v>5342.5</v>
      </c>
      <c r="F18" s="416">
        <v>13764.9</v>
      </c>
      <c r="G18" s="416">
        <v>63776.4</v>
      </c>
      <c r="H18" s="416">
        <v>-65333.9</v>
      </c>
      <c r="I18" s="416">
        <v>-1557.5</v>
      </c>
      <c r="J18" s="416">
        <v>284483.40000000002</v>
      </c>
    </row>
    <row r="19" spans="1:13" ht="11.1" customHeight="1">
      <c r="A19" s="265" t="s">
        <v>1539</v>
      </c>
      <c r="B19" s="411">
        <v>366917.3</v>
      </c>
      <c r="C19" s="411">
        <v>17285.5</v>
      </c>
      <c r="D19" s="411">
        <v>3218.1</v>
      </c>
      <c r="E19" s="411">
        <v>5838.7</v>
      </c>
      <c r="F19" s="411">
        <v>18952.3</v>
      </c>
      <c r="G19" s="411">
        <v>45294.6</v>
      </c>
      <c r="H19" s="411">
        <v>-64140.1</v>
      </c>
      <c r="I19" s="411">
        <v>-18845.5</v>
      </c>
      <c r="J19" s="411">
        <v>348071.8</v>
      </c>
      <c r="L19" s="164"/>
      <c r="M19" s="164"/>
    </row>
    <row r="20" spans="1:13" ht="11.1" customHeight="1">
      <c r="A20" s="152" t="s">
        <v>1810</v>
      </c>
      <c r="B20" s="416">
        <v>347757.7</v>
      </c>
      <c r="C20" s="416">
        <v>54930</v>
      </c>
      <c r="D20" s="416">
        <v>3435.6</v>
      </c>
      <c r="E20" s="416">
        <v>5935.9</v>
      </c>
      <c r="F20" s="416">
        <v>16073.9</v>
      </c>
      <c r="G20" s="416">
        <v>80375.399999999994</v>
      </c>
      <c r="H20" s="416">
        <v>-80971.099999999977</v>
      </c>
      <c r="I20" s="416">
        <v>-595.69999999998254</v>
      </c>
      <c r="J20" s="416">
        <v>347162</v>
      </c>
      <c r="K20" s="416"/>
      <c r="L20" s="164"/>
      <c r="M20" s="164"/>
    </row>
    <row r="21" spans="1:13" ht="11.1" customHeight="1">
      <c r="A21" s="317" t="s">
        <v>2056</v>
      </c>
      <c r="B21" s="492">
        <v>287497.5</v>
      </c>
      <c r="C21" s="492">
        <v>157411.9</v>
      </c>
      <c r="D21" s="492">
        <v>3893.4</v>
      </c>
      <c r="E21" s="492">
        <v>7351.5</v>
      </c>
      <c r="F21" s="492">
        <v>61847.199999999997</v>
      </c>
      <c r="G21" s="492">
        <v>230504</v>
      </c>
      <c r="H21" s="492">
        <v>-134416.29999999999</v>
      </c>
      <c r="I21" s="492">
        <v>96087.700000000012</v>
      </c>
      <c r="J21" s="492">
        <v>383585.2</v>
      </c>
      <c r="K21" s="416"/>
      <c r="L21" s="164"/>
      <c r="M21" s="164"/>
    </row>
    <row r="22" spans="1:13" ht="11.1" customHeight="1">
      <c r="A22" s="1161" t="s">
        <v>2188</v>
      </c>
      <c r="B22" s="490">
        <v>245780.7</v>
      </c>
      <c r="C22" s="490">
        <v>145932.20000000001</v>
      </c>
      <c r="D22" s="490">
        <v>4208.5</v>
      </c>
      <c r="E22" s="490">
        <v>8781.9</v>
      </c>
      <c r="F22" s="490">
        <v>170115.4</v>
      </c>
      <c r="G22" s="490">
        <v>329038</v>
      </c>
      <c r="H22" s="490">
        <v>-161171.70000000001</v>
      </c>
      <c r="I22" s="490">
        <v>167866.3</v>
      </c>
      <c r="J22" s="490">
        <v>413647</v>
      </c>
      <c r="K22" s="416"/>
      <c r="L22" s="164"/>
      <c r="M22" s="164"/>
    </row>
    <row r="23" spans="1:13" ht="11.1" customHeight="1">
      <c r="A23" s="267" t="s">
        <v>2439</v>
      </c>
      <c r="B23" s="492">
        <f>B35</f>
        <v>293991.7</v>
      </c>
      <c r="C23" s="492">
        <f t="shared" ref="C23:J23" si="3">C35</f>
        <v>85426.8</v>
      </c>
      <c r="D23" s="492">
        <f t="shared" si="3"/>
        <v>7157.5</v>
      </c>
      <c r="E23" s="492">
        <f t="shared" si="3"/>
        <v>9287.5</v>
      </c>
      <c r="F23" s="492">
        <f>F35</f>
        <v>216923.6</v>
      </c>
      <c r="G23" s="492">
        <f>G35</f>
        <v>318795.40000000002</v>
      </c>
      <c r="H23" s="492">
        <f t="shared" si="3"/>
        <v>-199608.1</v>
      </c>
      <c r="I23" s="492">
        <f t="shared" si="3"/>
        <v>119187.30000000002</v>
      </c>
      <c r="J23" s="492">
        <f t="shared" si="3"/>
        <v>413179</v>
      </c>
      <c r="K23" s="416"/>
      <c r="L23" s="164"/>
      <c r="M23" s="164"/>
    </row>
    <row r="24" spans="1:13" ht="11.1" customHeight="1">
      <c r="A24" s="152" t="s">
        <v>559</v>
      </c>
      <c r="B24" s="416">
        <v>238927.1</v>
      </c>
      <c r="C24" s="416">
        <v>146699.6</v>
      </c>
      <c r="D24" s="416">
        <v>4206.3</v>
      </c>
      <c r="E24" s="416">
        <v>8804.2999999999993</v>
      </c>
      <c r="F24" s="416">
        <v>138552.79999999999</v>
      </c>
      <c r="G24" s="416">
        <f t="shared" ref="G24:G37" si="4">C24+D24+E24+F24</f>
        <v>298263</v>
      </c>
      <c r="H24" s="416">
        <v>-147873</v>
      </c>
      <c r="I24" s="416">
        <f t="shared" ref="I24:I35" si="5">G24+H24</f>
        <v>150390</v>
      </c>
      <c r="J24" s="416">
        <f t="shared" ref="J24:J35" si="6">B24+I24</f>
        <v>389317.1</v>
      </c>
      <c r="K24" s="416"/>
      <c r="L24" s="164"/>
      <c r="M24" s="164"/>
    </row>
    <row r="25" spans="1:13" ht="11.1" customHeight="1">
      <c r="A25" s="265" t="s">
        <v>560</v>
      </c>
      <c r="B25" s="411">
        <v>231618.7</v>
      </c>
      <c r="C25" s="411">
        <v>127517.6</v>
      </c>
      <c r="D25" s="411">
        <v>3799.5</v>
      </c>
      <c r="E25" s="411">
        <v>8681.2999999999993</v>
      </c>
      <c r="F25" s="411">
        <v>147079.9</v>
      </c>
      <c r="G25" s="411">
        <f t="shared" si="4"/>
        <v>287078.3</v>
      </c>
      <c r="H25" s="411">
        <v>-132900.4</v>
      </c>
      <c r="I25" s="411">
        <f t="shared" si="5"/>
        <v>154177.9</v>
      </c>
      <c r="J25" s="411">
        <f t="shared" si="6"/>
        <v>385796.6</v>
      </c>
      <c r="K25" s="416"/>
      <c r="L25" s="164"/>
      <c r="M25" s="164"/>
    </row>
    <row r="26" spans="1:13" ht="11.1" customHeight="1">
      <c r="A26" s="152" t="s">
        <v>554</v>
      </c>
      <c r="B26" s="416">
        <v>231666.3</v>
      </c>
      <c r="C26" s="416">
        <v>103832.7</v>
      </c>
      <c r="D26" s="416">
        <v>3786.1</v>
      </c>
      <c r="E26" s="416">
        <v>9289.2000000000007</v>
      </c>
      <c r="F26" s="416">
        <v>164110</v>
      </c>
      <c r="G26" s="416">
        <f t="shared" si="4"/>
        <v>281018</v>
      </c>
      <c r="H26" s="416">
        <v>-137411.1</v>
      </c>
      <c r="I26" s="416">
        <f t="shared" si="5"/>
        <v>143606.9</v>
      </c>
      <c r="J26" s="416">
        <f t="shared" si="6"/>
        <v>375273.19999999995</v>
      </c>
      <c r="K26" s="416"/>
      <c r="L26" s="164"/>
      <c r="M26" s="164"/>
    </row>
    <row r="27" spans="1:13" ht="11.1" customHeight="1">
      <c r="A27" s="265" t="s">
        <v>561</v>
      </c>
      <c r="B27" s="411">
        <v>228522.6</v>
      </c>
      <c r="C27" s="411">
        <v>106212.1</v>
      </c>
      <c r="D27" s="411">
        <v>3789.7</v>
      </c>
      <c r="E27" s="411">
        <v>8910.5</v>
      </c>
      <c r="F27" s="411">
        <v>159222.5</v>
      </c>
      <c r="G27" s="411">
        <f t="shared" si="4"/>
        <v>278134.8</v>
      </c>
      <c r="H27" s="411">
        <v>-137402.1</v>
      </c>
      <c r="I27" s="411">
        <f t="shared" si="5"/>
        <v>140732.69999999998</v>
      </c>
      <c r="J27" s="411">
        <f t="shared" si="6"/>
        <v>369255.3</v>
      </c>
      <c r="K27" s="416"/>
      <c r="L27" s="164"/>
      <c r="M27" s="164"/>
    </row>
    <row r="28" spans="1:13" ht="11.1" customHeight="1">
      <c r="A28" s="152" t="s">
        <v>562</v>
      </c>
      <c r="B28" s="416">
        <v>223881.5</v>
      </c>
      <c r="C28" s="416">
        <v>107981.5</v>
      </c>
      <c r="D28" s="416">
        <v>3796.2</v>
      </c>
      <c r="E28" s="416">
        <v>9505.7000000000007</v>
      </c>
      <c r="F28" s="416">
        <v>180516.1</v>
      </c>
      <c r="G28" s="416">
        <f t="shared" si="4"/>
        <v>301799.5</v>
      </c>
      <c r="H28" s="416">
        <v>-137225.1</v>
      </c>
      <c r="I28" s="416">
        <f t="shared" si="5"/>
        <v>164574.39999999999</v>
      </c>
      <c r="J28" s="416">
        <f t="shared" si="6"/>
        <v>388455.9</v>
      </c>
      <c r="K28" s="416"/>
      <c r="L28" s="164"/>
      <c r="M28" s="164"/>
    </row>
    <row r="29" spans="1:13" ht="11.1" customHeight="1">
      <c r="A29" s="265" t="s">
        <v>555</v>
      </c>
      <c r="B29" s="411">
        <v>235750.8</v>
      </c>
      <c r="C29" s="411">
        <v>89973.6</v>
      </c>
      <c r="D29" s="411">
        <v>6903.5</v>
      </c>
      <c r="E29" s="411">
        <v>9426.5</v>
      </c>
      <c r="F29" s="411">
        <v>198089.2</v>
      </c>
      <c r="G29" s="411">
        <f t="shared" si="4"/>
        <v>304392.80000000005</v>
      </c>
      <c r="H29" s="411">
        <v>-140643.9</v>
      </c>
      <c r="I29" s="411">
        <f t="shared" si="5"/>
        <v>163748.90000000005</v>
      </c>
      <c r="J29" s="411">
        <f t="shared" si="6"/>
        <v>399499.70000000007</v>
      </c>
      <c r="K29" s="416"/>
      <c r="L29" s="164"/>
      <c r="M29" s="1322"/>
    </row>
    <row r="30" spans="1:13" ht="11.1" customHeight="1">
      <c r="A30" s="152" t="s">
        <v>563</v>
      </c>
      <c r="B30" s="416">
        <v>238082.6</v>
      </c>
      <c r="C30" s="416">
        <v>88103.8</v>
      </c>
      <c r="D30" s="416">
        <v>7121.8</v>
      </c>
      <c r="E30" s="416">
        <v>9606.6</v>
      </c>
      <c r="F30" s="416">
        <v>184745.4</v>
      </c>
      <c r="G30" s="416">
        <f t="shared" si="4"/>
        <v>289577.59999999998</v>
      </c>
      <c r="H30" s="416">
        <v>-148951.9</v>
      </c>
      <c r="I30" s="416">
        <f t="shared" si="5"/>
        <v>140625.69999999998</v>
      </c>
      <c r="J30" s="416">
        <f t="shared" si="6"/>
        <v>378708.3</v>
      </c>
      <c r="K30" s="416"/>
      <c r="L30" s="164"/>
      <c r="M30" s="1322"/>
    </row>
    <row r="31" spans="1:13" ht="11.1" customHeight="1">
      <c r="A31" s="265" t="s">
        <v>564</v>
      </c>
      <c r="B31" s="411">
        <v>238118.39999999999</v>
      </c>
      <c r="C31" s="411">
        <v>82947.7</v>
      </c>
      <c r="D31" s="411">
        <v>7130.8</v>
      </c>
      <c r="E31" s="411">
        <v>9688.6</v>
      </c>
      <c r="F31" s="411">
        <v>189534.3</v>
      </c>
      <c r="G31" s="411">
        <f t="shared" si="4"/>
        <v>289301.40000000002</v>
      </c>
      <c r="H31" s="411">
        <v>-152816.9</v>
      </c>
      <c r="I31" s="411">
        <f t="shared" si="5"/>
        <v>136484.50000000003</v>
      </c>
      <c r="J31" s="411">
        <f t="shared" si="6"/>
        <v>374602.9</v>
      </c>
      <c r="K31" s="416"/>
      <c r="L31" s="164"/>
      <c r="M31" s="1322"/>
    </row>
    <row r="32" spans="1:13" ht="11.1" customHeight="1">
      <c r="A32" s="152" t="s">
        <v>556</v>
      </c>
      <c r="B32" s="416">
        <v>240274.2</v>
      </c>
      <c r="C32" s="416">
        <v>100124.7</v>
      </c>
      <c r="D32" s="416">
        <v>7135.2</v>
      </c>
      <c r="E32" s="416">
        <v>9254.2999999999993</v>
      </c>
      <c r="F32" s="416">
        <v>198741.2</v>
      </c>
      <c r="G32" s="416">
        <f t="shared" si="4"/>
        <v>315255.40000000002</v>
      </c>
      <c r="H32" s="416">
        <v>-152796</v>
      </c>
      <c r="I32" s="416">
        <f t="shared" si="5"/>
        <v>162459.40000000002</v>
      </c>
      <c r="J32" s="416">
        <f t="shared" si="6"/>
        <v>402733.60000000003</v>
      </c>
      <c r="K32" s="416"/>
      <c r="L32" s="164"/>
      <c r="M32" s="1322"/>
    </row>
    <row r="33" spans="1:13" ht="11.1" customHeight="1">
      <c r="A33" s="265" t="s">
        <v>565</v>
      </c>
      <c r="B33" s="411">
        <v>251508.2</v>
      </c>
      <c r="C33" s="411">
        <v>89111.6</v>
      </c>
      <c r="D33" s="411">
        <v>7142.6</v>
      </c>
      <c r="E33" s="411">
        <v>9235.4</v>
      </c>
      <c r="F33" s="411">
        <v>187463.9</v>
      </c>
      <c r="G33" s="411">
        <f t="shared" si="4"/>
        <v>292953.5</v>
      </c>
      <c r="H33" s="411">
        <v>-163816.20000000001</v>
      </c>
      <c r="I33" s="411">
        <f t="shared" si="5"/>
        <v>129137.29999999999</v>
      </c>
      <c r="J33" s="411">
        <f t="shared" si="6"/>
        <v>380645.5</v>
      </c>
      <c r="K33" s="416"/>
      <c r="L33" s="164"/>
      <c r="M33" s="1322"/>
    </row>
    <row r="34" spans="1:13" ht="11.1" customHeight="1">
      <c r="A34" s="139" t="s">
        <v>566</v>
      </c>
      <c r="B34" s="416">
        <v>243726.7</v>
      </c>
      <c r="C34" s="416">
        <v>92024.1</v>
      </c>
      <c r="D34" s="416">
        <v>7150.2</v>
      </c>
      <c r="E34" s="416">
        <v>9311.7000000000007</v>
      </c>
      <c r="F34" s="416">
        <v>205586.1</v>
      </c>
      <c r="G34" s="416">
        <f>C34+D34+E34+F34</f>
        <v>314072.09999999998</v>
      </c>
      <c r="H34" s="416">
        <v>-158950.29999999999</v>
      </c>
      <c r="I34" s="416">
        <f t="shared" si="5"/>
        <v>155121.79999999999</v>
      </c>
      <c r="J34" s="416">
        <f t="shared" si="6"/>
        <v>398848.5</v>
      </c>
      <c r="K34" s="416"/>
      <c r="L34" s="164"/>
      <c r="M34" s="1322"/>
    </row>
    <row r="35" spans="1:13" ht="11.1" customHeight="1">
      <c r="A35" s="273" t="s">
        <v>557</v>
      </c>
      <c r="B35" s="411">
        <v>293991.7</v>
      </c>
      <c r="C35" s="411">
        <v>85426.8</v>
      </c>
      <c r="D35" s="411">
        <v>7157.5</v>
      </c>
      <c r="E35" s="411">
        <v>9287.5</v>
      </c>
      <c r="F35" s="411">
        <v>216923.6</v>
      </c>
      <c r="G35" s="411">
        <f>C35+D35+E35+F35</f>
        <v>318795.40000000002</v>
      </c>
      <c r="H35" s="411">
        <v>-199608.1</v>
      </c>
      <c r="I35" s="411">
        <f t="shared" si="5"/>
        <v>119187.30000000002</v>
      </c>
      <c r="J35" s="411">
        <f t="shared" si="6"/>
        <v>413179</v>
      </c>
      <c r="K35" s="416"/>
      <c r="L35" s="164"/>
      <c r="M35" s="1322"/>
    </row>
    <row r="36" spans="1:13" s="152" customFormat="1" ht="11.1" customHeight="1">
      <c r="A36" s="1161" t="s">
        <v>2664</v>
      </c>
      <c r="B36" s="490">
        <f>B48</f>
        <v>375653.4</v>
      </c>
      <c r="C36" s="490">
        <f t="shared" ref="C36:J36" si="7">C48</f>
        <v>81252.899999999994</v>
      </c>
      <c r="D36" s="490">
        <f t="shared" si="7"/>
        <v>7664.6</v>
      </c>
      <c r="E36" s="490">
        <f t="shared" si="7"/>
        <v>8875.5</v>
      </c>
      <c r="F36" s="490">
        <f>F48</f>
        <v>208401.7</v>
      </c>
      <c r="G36" s="490">
        <f>G48</f>
        <v>306194.7</v>
      </c>
      <c r="H36" s="490">
        <f t="shared" si="7"/>
        <v>-205479.5</v>
      </c>
      <c r="I36" s="490">
        <f t="shared" si="7"/>
        <v>100715.20000000001</v>
      </c>
      <c r="J36" s="490">
        <f t="shared" si="7"/>
        <v>476368.60000000003</v>
      </c>
      <c r="K36" s="416"/>
      <c r="L36" s="164"/>
      <c r="M36" s="1407"/>
    </row>
    <row r="37" spans="1:13" ht="11.1" customHeight="1">
      <c r="A37" s="273" t="s">
        <v>559</v>
      </c>
      <c r="B37" s="411">
        <v>284285.5</v>
      </c>
      <c r="C37" s="411">
        <v>86888.2</v>
      </c>
      <c r="D37" s="411">
        <v>7671</v>
      </c>
      <c r="E37" s="411">
        <v>9258.2000000000007</v>
      </c>
      <c r="F37" s="411">
        <v>201325.7</v>
      </c>
      <c r="G37" s="411">
        <f t="shared" si="4"/>
        <v>305143.09999999998</v>
      </c>
      <c r="H37" s="411">
        <v>-190382.7</v>
      </c>
      <c r="I37" s="411">
        <f t="shared" ref="I37:I40" si="8">G37+H37</f>
        <v>114760.39999999997</v>
      </c>
      <c r="J37" s="411">
        <f t="shared" ref="J37:J40" si="9">B37+I37</f>
        <v>399045.89999999997</v>
      </c>
      <c r="K37" s="416"/>
      <c r="L37" s="164"/>
      <c r="M37" s="1322"/>
    </row>
    <row r="38" spans="1:13" ht="11.1" customHeight="1">
      <c r="A38" s="139" t="s">
        <v>560</v>
      </c>
      <c r="B38" s="416">
        <v>289617.3</v>
      </c>
      <c r="C38" s="416">
        <v>75256.899999999994</v>
      </c>
      <c r="D38" s="416">
        <v>7378.4</v>
      </c>
      <c r="E38" s="416">
        <v>9046.1</v>
      </c>
      <c r="F38" s="416">
        <v>186359.7</v>
      </c>
      <c r="G38" s="416">
        <f>(C38+D38+E38+F38)</f>
        <v>278041.09999999998</v>
      </c>
      <c r="H38" s="416">
        <v>-177150.1</v>
      </c>
      <c r="I38" s="416">
        <f>G38+H38</f>
        <v>100890.99999999997</v>
      </c>
      <c r="J38" s="416">
        <f>B38+I38</f>
        <v>390508.29999999993</v>
      </c>
      <c r="K38" s="416"/>
      <c r="L38" s="164"/>
      <c r="M38" s="1322"/>
    </row>
    <row r="39" spans="1:13" s="152" customFormat="1" ht="11.1" customHeight="1">
      <c r="A39" s="273" t="s">
        <v>554</v>
      </c>
      <c r="B39" s="411">
        <v>302125.59999999998</v>
      </c>
      <c r="C39" s="411">
        <v>80684.3</v>
      </c>
      <c r="D39" s="411">
        <v>7375.7</v>
      </c>
      <c r="E39" s="411">
        <v>8861.6</v>
      </c>
      <c r="F39" s="411">
        <v>173647.1</v>
      </c>
      <c r="G39" s="411">
        <f t="shared" ref="G39:G47" si="10">(C39+D39+E39+F39)</f>
        <v>270568.7</v>
      </c>
      <c r="H39" s="411">
        <v>-184497.9</v>
      </c>
      <c r="I39" s="411">
        <f t="shared" si="8"/>
        <v>86070.800000000017</v>
      </c>
      <c r="J39" s="411">
        <f t="shared" si="9"/>
        <v>388196.4</v>
      </c>
      <c r="K39" s="416"/>
      <c r="L39" s="660"/>
      <c r="M39" s="1407"/>
    </row>
    <row r="40" spans="1:13" s="152" customFormat="1" ht="11.1" customHeight="1">
      <c r="A40" s="410" t="s">
        <v>561</v>
      </c>
      <c r="B40" s="1473">
        <v>305459.59999999998</v>
      </c>
      <c r="C40" s="1473">
        <v>80516.899999999994</v>
      </c>
      <c r="D40" s="1473">
        <v>7383.1</v>
      </c>
      <c r="E40" s="1473">
        <v>8329.2000000000007</v>
      </c>
      <c r="F40" s="1473">
        <v>167782.1</v>
      </c>
      <c r="G40" s="1473">
        <f t="shared" si="10"/>
        <v>264011.3</v>
      </c>
      <c r="H40" s="1473">
        <v>-188583.5</v>
      </c>
      <c r="I40" s="1473">
        <f t="shared" si="8"/>
        <v>75427.799999999988</v>
      </c>
      <c r="J40" s="1473">
        <f t="shared" si="9"/>
        <v>380887.39999999997</v>
      </c>
      <c r="K40" s="660"/>
      <c r="L40" s="660"/>
    </row>
    <row r="41" spans="1:13" ht="11.1" customHeight="1">
      <c r="A41" s="273" t="s">
        <v>562</v>
      </c>
      <c r="B41" s="411">
        <v>301884.2</v>
      </c>
      <c r="C41" s="411">
        <v>98604.1</v>
      </c>
      <c r="D41" s="411">
        <v>7390.4</v>
      </c>
      <c r="E41" s="411">
        <v>8200.9</v>
      </c>
      <c r="F41" s="411">
        <v>179736.7</v>
      </c>
      <c r="G41" s="411">
        <f t="shared" si="10"/>
        <v>293932.09999999998</v>
      </c>
      <c r="H41" s="411">
        <v>-190464.1</v>
      </c>
      <c r="I41" s="411">
        <f t="shared" ref="I41:I45" si="11">G41+H41</f>
        <v>103467.99999999997</v>
      </c>
      <c r="J41" s="411">
        <f t="shared" ref="J41:J45" si="12">B41+I41</f>
        <v>405352.19999999995</v>
      </c>
      <c r="K41" s="164"/>
      <c r="L41" s="164"/>
    </row>
    <row r="42" spans="1:13" ht="11.1" customHeight="1">
      <c r="A42" s="139" t="s">
        <v>555</v>
      </c>
      <c r="B42" s="416">
        <v>317802.09999999998</v>
      </c>
      <c r="C42" s="416">
        <v>94976.7</v>
      </c>
      <c r="D42" s="416">
        <v>7372.8</v>
      </c>
      <c r="E42" s="416">
        <v>17051.8</v>
      </c>
      <c r="F42" s="416">
        <v>197177.5</v>
      </c>
      <c r="G42" s="416">
        <f t="shared" si="10"/>
        <v>316578.8</v>
      </c>
      <c r="H42" s="416">
        <v>-198056.1</v>
      </c>
      <c r="I42" s="416">
        <f t="shared" ref="I42" si="13">G42+H42</f>
        <v>118522.69999999998</v>
      </c>
      <c r="J42" s="416">
        <f t="shared" ref="J42" si="14">B42+I42</f>
        <v>436324.79999999993</v>
      </c>
      <c r="L42" s="164"/>
    </row>
    <row r="43" spans="1:13" ht="11.1" customHeight="1">
      <c r="A43" s="273" t="s">
        <v>563</v>
      </c>
      <c r="B43" s="411">
        <v>327284</v>
      </c>
      <c r="C43" s="411">
        <v>86457.9</v>
      </c>
      <c r="D43" s="411">
        <v>7621.1</v>
      </c>
      <c r="E43" s="411">
        <v>17017.099999999999</v>
      </c>
      <c r="F43" s="411">
        <v>184160.9</v>
      </c>
      <c r="G43" s="411">
        <f t="shared" si="10"/>
        <v>295257</v>
      </c>
      <c r="H43" s="411">
        <v>-204585.9</v>
      </c>
      <c r="I43" s="411">
        <f t="shared" si="11"/>
        <v>90671.1</v>
      </c>
      <c r="J43" s="411">
        <f t="shared" si="12"/>
        <v>417955.1</v>
      </c>
    </row>
    <row r="44" spans="1:13" ht="11.1" customHeight="1">
      <c r="A44" s="139" t="s">
        <v>564</v>
      </c>
      <c r="B44" s="416">
        <v>342571.3</v>
      </c>
      <c r="C44" s="416">
        <v>80916.600000000006</v>
      </c>
      <c r="D44" s="416">
        <v>7629.3</v>
      </c>
      <c r="E44" s="416">
        <v>17076.099999999999</v>
      </c>
      <c r="F44" s="416">
        <v>180648.5</v>
      </c>
      <c r="G44" s="416">
        <f t="shared" si="10"/>
        <v>286270.5</v>
      </c>
      <c r="H44" s="416">
        <v>-204223</v>
      </c>
      <c r="I44" s="416">
        <f t="shared" si="11"/>
        <v>82047.5</v>
      </c>
      <c r="J44" s="416">
        <f t="shared" si="12"/>
        <v>424618.8</v>
      </c>
    </row>
    <row r="45" spans="1:13" ht="11.1" customHeight="1">
      <c r="A45" s="273" t="s">
        <v>556</v>
      </c>
      <c r="B45" s="411">
        <v>341188.7</v>
      </c>
      <c r="C45" s="411">
        <v>109285.9</v>
      </c>
      <c r="D45" s="411">
        <v>7637.5</v>
      </c>
      <c r="E45" s="411">
        <v>17241.900000000001</v>
      </c>
      <c r="F45" s="411">
        <v>179386.6</v>
      </c>
      <c r="G45" s="411">
        <f t="shared" si="10"/>
        <v>313551.90000000002</v>
      </c>
      <c r="H45" s="411">
        <v>-211471</v>
      </c>
      <c r="I45" s="411">
        <f t="shared" si="11"/>
        <v>102080.90000000002</v>
      </c>
      <c r="J45" s="411">
        <f t="shared" si="12"/>
        <v>443269.60000000003</v>
      </c>
    </row>
    <row r="46" spans="1:13" ht="11.1" customHeight="1">
      <c r="A46" s="139" t="s">
        <v>565</v>
      </c>
      <c r="B46" s="416">
        <v>342995.7</v>
      </c>
      <c r="C46" s="416">
        <v>83221.8</v>
      </c>
      <c r="D46" s="416">
        <v>7645.8</v>
      </c>
      <c r="E46" s="416">
        <v>17283.5</v>
      </c>
      <c r="F46" s="416">
        <v>185774.9</v>
      </c>
      <c r="G46" s="416">
        <f t="shared" si="10"/>
        <v>293926</v>
      </c>
      <c r="H46" s="416">
        <v>-201514.6</v>
      </c>
      <c r="I46" s="416">
        <f t="shared" ref="I46" si="15">G46+H46</f>
        <v>92411.4</v>
      </c>
      <c r="J46" s="416">
        <f t="shared" ref="J46" si="16">B46+I46</f>
        <v>435407.1</v>
      </c>
    </row>
    <row r="47" spans="1:13">
      <c r="A47" s="273" t="s">
        <v>566</v>
      </c>
      <c r="B47" s="411">
        <v>346581.5</v>
      </c>
      <c r="C47" s="411">
        <v>87817.3</v>
      </c>
      <c r="D47" s="411">
        <v>7654.2</v>
      </c>
      <c r="E47" s="411">
        <v>17734.5</v>
      </c>
      <c r="F47" s="411">
        <v>228317.9</v>
      </c>
      <c r="G47" s="411">
        <f t="shared" si="10"/>
        <v>341523.9</v>
      </c>
      <c r="H47" s="411">
        <v>-202563.1</v>
      </c>
      <c r="I47" s="411">
        <f t="shared" ref="I47" si="17">G47+H47</f>
        <v>138960.80000000002</v>
      </c>
      <c r="J47" s="411">
        <f t="shared" ref="J47" si="18">B47+I47</f>
        <v>485542.30000000005</v>
      </c>
    </row>
    <row r="48" spans="1:13">
      <c r="A48" s="139" t="s">
        <v>557</v>
      </c>
      <c r="B48" s="416">
        <v>375653.4</v>
      </c>
      <c r="C48" s="416">
        <v>81252.899999999994</v>
      </c>
      <c r="D48" s="416">
        <v>7664.6</v>
      </c>
      <c r="E48" s="416">
        <v>8875.5</v>
      </c>
      <c r="F48" s="416">
        <v>208401.7</v>
      </c>
      <c r="G48" s="416">
        <v>306194.7</v>
      </c>
      <c r="H48" s="416">
        <v>-205479.5</v>
      </c>
      <c r="I48" s="416">
        <v>100715.20000000001</v>
      </c>
      <c r="J48" s="416">
        <v>476368.60000000003</v>
      </c>
    </row>
    <row r="49" spans="1:10">
      <c r="A49" s="317" t="s">
        <v>2929</v>
      </c>
      <c r="B49" s="411"/>
      <c r="C49" s="411"/>
      <c r="D49" s="411"/>
      <c r="E49" s="411"/>
      <c r="F49" s="411"/>
      <c r="G49" s="411"/>
      <c r="H49" s="411"/>
      <c r="I49" s="411"/>
      <c r="J49" s="411"/>
    </row>
    <row r="50" spans="1:10" ht="12" thickBot="1">
      <c r="A50" s="1476" t="s">
        <v>559</v>
      </c>
      <c r="B50" s="1477">
        <v>365244.8</v>
      </c>
      <c r="C50" s="1477">
        <v>80627.399999999994</v>
      </c>
      <c r="D50" s="1477">
        <v>7619.7</v>
      </c>
      <c r="E50" s="1477">
        <v>9231.4</v>
      </c>
      <c r="F50" s="1477">
        <v>201477.3</v>
      </c>
      <c r="G50" s="1477">
        <v>298955.8</v>
      </c>
      <c r="H50" s="1477">
        <v>-200739.20000000001</v>
      </c>
      <c r="I50" s="1477">
        <v>98216.599999999977</v>
      </c>
      <c r="J50" s="1477">
        <v>463461.39999999997</v>
      </c>
    </row>
    <row r="51" spans="1:10">
      <c r="A51" s="458" t="s">
        <v>1337</v>
      </c>
      <c r="B51" s="236" t="s">
        <v>1207</v>
      </c>
      <c r="C51" s="236"/>
      <c r="D51" s="236"/>
      <c r="E51" s="236"/>
      <c r="F51" s="236"/>
      <c r="G51" s="236"/>
      <c r="H51" s="236"/>
      <c r="I51" s="241" t="s">
        <v>1296</v>
      </c>
      <c r="J51" s="236"/>
    </row>
    <row r="52" spans="1:10">
      <c r="A52" s="205"/>
      <c r="B52" s="205"/>
      <c r="C52" s="205"/>
      <c r="D52" s="205"/>
      <c r="E52" s="205"/>
      <c r="F52" s="211"/>
      <c r="G52" s="205"/>
      <c r="H52" s="205"/>
      <c r="I52" s="205"/>
      <c r="J52" s="558"/>
    </row>
    <row r="53" spans="1:10">
      <c r="B53" s="205"/>
      <c r="F53" s="211"/>
      <c r="G53" s="211"/>
      <c r="H53" s="164"/>
      <c r="I53" s="164"/>
      <c r="J53" s="164"/>
    </row>
    <row r="54" spans="1:10">
      <c r="F54" s="164"/>
      <c r="I54" s="164"/>
    </row>
    <row r="55" spans="1:10">
      <c r="B55" s="164"/>
      <c r="C55" s="164"/>
      <c r="D55" s="164"/>
      <c r="E55" s="164"/>
      <c r="F55" s="164"/>
      <c r="H55" s="164"/>
    </row>
    <row r="56" spans="1:10">
      <c r="B56" s="164"/>
      <c r="C56" s="164"/>
      <c r="D56" s="164"/>
      <c r="E56" s="164"/>
      <c r="F56" s="164"/>
      <c r="G56" s="164"/>
      <c r="H56" s="164"/>
      <c r="I56" s="164"/>
      <c r="J56" s="164"/>
    </row>
    <row r="57" spans="1:10">
      <c r="B57" s="164"/>
      <c r="C57" s="164"/>
      <c r="D57" s="164"/>
      <c r="E57" s="164"/>
      <c r="F57" s="164"/>
      <c r="G57" s="164"/>
      <c r="H57" s="164"/>
      <c r="I57" s="164"/>
      <c r="J57" s="164"/>
    </row>
    <row r="58" spans="1:10">
      <c r="B58" s="164"/>
      <c r="C58" s="164"/>
      <c r="D58" s="164"/>
      <c r="E58" s="164"/>
      <c r="F58" s="164"/>
      <c r="G58" s="164"/>
      <c r="H58" s="164"/>
      <c r="I58" s="164"/>
      <c r="J58" s="164"/>
    </row>
    <row r="66" spans="2:10">
      <c r="B66" s="164"/>
      <c r="C66" s="164"/>
      <c r="D66" s="164"/>
      <c r="E66" s="164"/>
      <c r="F66" s="164"/>
      <c r="G66" s="164"/>
      <c r="H66" s="164"/>
      <c r="I66" s="164"/>
      <c r="J66" s="164"/>
    </row>
    <row r="67" spans="2:10">
      <c r="B67" s="164"/>
      <c r="C67" s="164"/>
      <c r="D67" s="164"/>
      <c r="E67" s="164"/>
      <c r="F67" s="164"/>
      <c r="G67" s="164"/>
      <c r="H67" s="164"/>
      <c r="I67" s="164"/>
      <c r="J67" s="164"/>
    </row>
    <row r="68" spans="2:10">
      <c r="B68" s="164"/>
      <c r="C68" s="164"/>
      <c r="D68" s="164"/>
      <c r="E68" s="164"/>
      <c r="F68" s="164"/>
      <c r="G68" s="164"/>
      <c r="H68" s="164"/>
      <c r="I68" s="164"/>
      <c r="J68" s="164"/>
    </row>
    <row r="69" spans="2:10">
      <c r="B69" s="164"/>
      <c r="C69" s="164"/>
      <c r="D69" s="164"/>
      <c r="E69" s="164"/>
      <c r="F69" s="164"/>
      <c r="G69" s="164"/>
      <c r="H69" s="164"/>
      <c r="I69" s="164"/>
      <c r="J69" s="164"/>
    </row>
    <row r="70" spans="2:10">
      <c r="B70" s="164"/>
      <c r="C70" s="164"/>
      <c r="D70" s="164"/>
      <c r="E70" s="164"/>
      <c r="F70" s="164"/>
      <c r="G70" s="164"/>
      <c r="H70" s="164"/>
      <c r="I70" s="164"/>
      <c r="J70" s="164"/>
    </row>
    <row r="71" spans="2:10">
      <c r="B71" s="164"/>
      <c r="C71" s="164"/>
      <c r="D71" s="164"/>
      <c r="E71" s="164"/>
      <c r="F71" s="164"/>
      <c r="G71" s="164"/>
      <c r="H71" s="164"/>
      <c r="I71" s="164"/>
      <c r="J71" s="164"/>
    </row>
    <row r="72" spans="2:10">
      <c r="B72" s="164"/>
      <c r="C72" s="164"/>
      <c r="D72" s="164"/>
      <c r="E72" s="164"/>
      <c r="F72" s="164"/>
      <c r="G72" s="164"/>
      <c r="H72" s="164"/>
      <c r="I72" s="164"/>
      <c r="J72" s="164"/>
    </row>
    <row r="73" spans="2:10">
      <c r="B73" s="164"/>
      <c r="C73" s="164"/>
      <c r="D73" s="164"/>
      <c r="E73" s="164"/>
      <c r="F73" s="164"/>
      <c r="G73" s="164"/>
      <c r="H73" s="164"/>
      <c r="I73" s="164"/>
      <c r="J73" s="164"/>
    </row>
    <row r="74" spans="2:10">
      <c r="B74" s="164"/>
      <c r="C74" s="164"/>
      <c r="D74" s="164"/>
      <c r="E74" s="164"/>
      <c r="F74" s="164"/>
      <c r="G74" s="164"/>
      <c r="H74" s="164"/>
      <c r="I74" s="164"/>
      <c r="J74" s="164"/>
    </row>
    <row r="75" spans="2:10">
      <c r="B75" s="164"/>
      <c r="C75" s="164"/>
      <c r="D75" s="164"/>
      <c r="E75" s="164"/>
      <c r="F75" s="164"/>
      <c r="G75" s="164"/>
      <c r="H75" s="164"/>
      <c r="I75" s="164"/>
      <c r="J75" s="164"/>
    </row>
    <row r="76" spans="2:10">
      <c r="B76" s="164"/>
      <c r="C76" s="164"/>
      <c r="D76" s="164"/>
      <c r="E76" s="164"/>
      <c r="F76" s="164"/>
      <c r="G76" s="164"/>
      <c r="H76" s="164"/>
      <c r="I76" s="164"/>
      <c r="J76" s="164"/>
    </row>
  </sheetData>
  <customSheetViews>
    <customSheetView guid="{A374FC54-96E3-45F0-9C12-8450400C12DF}" scale="200">
      <pane xSplit="1" ySplit="7" topLeftCell="B43" activePane="bottomRight" state="frozen"/>
      <selection pane="bottomRight" activeCell="J46" sqref="J46:J48"/>
      <pageMargins left="0.59055118110236204" right="0.511811023622047" top="0.511811023622047" bottom="0.511811023622047" header="0" footer="0.35433070866141703"/>
      <pageSetup paperSize="132" firstPageNumber="17" orientation="portrait" useFirstPageNumber="1" r:id="rId1"/>
      <headerFooter>
        <oddFooter>&amp;C&amp;"Times New Roman,Regular"&amp;8&amp;P</oddFooter>
      </headerFooter>
    </customSheetView>
  </customSheetViews>
  <mergeCells count="14">
    <mergeCell ref="I1:J1"/>
    <mergeCell ref="I2:J2"/>
    <mergeCell ref="D4:D6"/>
    <mergeCell ref="E4:E6"/>
    <mergeCell ref="J3:J6"/>
    <mergeCell ref="I3:I6"/>
    <mergeCell ref="C4:C6"/>
    <mergeCell ref="A3:A7"/>
    <mergeCell ref="A1:H1"/>
    <mergeCell ref="F4:F6"/>
    <mergeCell ref="G4:G6"/>
    <mergeCell ref="B3:B6"/>
    <mergeCell ref="C3:G3"/>
    <mergeCell ref="H3:H6"/>
  </mergeCells>
  <phoneticPr fontId="54" type="noConversion"/>
  <conditionalFormatting sqref="B8:J12 A8:A16">
    <cfRule type="expression" dxfId="4" priority="65" stopIfTrue="1">
      <formula>MOD(ROW(),2)=1</formula>
    </cfRule>
    <cfRule type="expression" priority="66" stopIfTrue="1">
      <formula>MOD(ROW(),2)=1</formula>
    </cfRule>
  </conditionalFormatting>
  <conditionalFormatting sqref="A14:A16">
    <cfRule type="expression" priority="62" stopIfTrue="1">
      <formula>MOD(row,0)=0</formula>
    </cfRule>
  </conditionalFormatting>
  <conditionalFormatting sqref="A14:A16">
    <cfRule type="expression" priority="57" stopIfTrue="1">
      <formula>MOD((((#REF!))),0)=0</formula>
    </cfRule>
  </conditionalFormatting>
  <conditionalFormatting sqref="A15:A16">
    <cfRule type="expression" dxfId="3" priority="51" stopIfTrue="1">
      <formula>MOD(ROW(),2)=1</formula>
    </cfRule>
  </conditionalFormatting>
  <conditionalFormatting sqref="A15:A16">
    <cfRule type="expression" priority="48" stopIfTrue="1">
      <formula>MOD((((#REF!))),0)=0</formula>
    </cfRule>
  </conditionalFormatting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0"/>
  <dimension ref="A1:X78"/>
  <sheetViews>
    <sheetView zoomScale="150" zoomScaleNormal="150" zoomScaleSheetLayoutView="110" workbookViewId="0">
      <pane ySplit="7" topLeftCell="A32" activePane="bottomLeft" state="frozen"/>
      <selection activeCell="Q6" sqref="Q6"/>
      <selection pane="bottomLeft" activeCell="T36" sqref="T36"/>
    </sheetView>
  </sheetViews>
  <sheetFormatPr defaultColWidth="9.140625" defaultRowHeight="11.25"/>
  <cols>
    <col min="1" max="1" width="8" style="462" customWidth="1"/>
    <col min="2" max="2" width="12.28515625" style="153" customWidth="1"/>
    <col min="3" max="3" width="5.85546875" style="153" customWidth="1"/>
    <col min="4" max="4" width="6.85546875" style="153" customWidth="1"/>
    <col min="5" max="5" width="7.28515625" style="153" customWidth="1"/>
    <col min="6" max="6" width="8.28515625" style="153" bestFit="1" customWidth="1"/>
    <col min="7" max="7" width="6.28515625" style="153" bestFit="1" customWidth="1"/>
    <col min="8" max="8" width="7.42578125" style="153" customWidth="1"/>
    <col min="9" max="9" width="7.42578125" style="161" bestFit="1" customWidth="1"/>
    <col min="10" max="10" width="8.85546875" style="153" bestFit="1" customWidth="1"/>
    <col min="11" max="11" width="5.5703125" style="153" customWidth="1"/>
    <col min="12" max="12" width="6.5703125" style="153" bestFit="1" customWidth="1"/>
    <col min="13" max="13" width="9" style="153" customWidth="1"/>
    <col min="14" max="14" width="7.28515625" style="153" customWidth="1"/>
    <col min="15" max="15" width="8" style="153" customWidth="1"/>
    <col min="16" max="16" width="9.7109375" style="153" customWidth="1"/>
    <col min="17" max="17" width="8.140625" style="153" customWidth="1"/>
    <col min="18" max="18" width="9" style="153" customWidth="1"/>
    <col min="19" max="19" width="8" style="153" customWidth="1"/>
    <col min="20" max="20" width="7.5703125" style="462" customWidth="1"/>
    <col min="21" max="22" width="11" style="153" bestFit="1" customWidth="1"/>
    <col min="23" max="23" width="10" style="153" bestFit="1" customWidth="1"/>
    <col min="24" max="24" width="11.5703125" style="153" bestFit="1" customWidth="1"/>
    <col min="25" max="16384" width="9.140625" style="153"/>
  </cols>
  <sheetData>
    <row r="1" spans="1:24" s="459" customFormat="1" ht="16.5" customHeight="1">
      <c r="B1" s="460"/>
      <c r="C1" s="460"/>
      <c r="D1" s="460"/>
      <c r="E1" s="460"/>
      <c r="F1" s="460"/>
      <c r="G1" s="460"/>
      <c r="H1" s="2197" t="s">
        <v>431</v>
      </c>
      <c r="I1" s="2197"/>
      <c r="J1" s="2197"/>
      <c r="K1" s="2198" t="s">
        <v>1321</v>
      </c>
      <c r="L1" s="2198"/>
      <c r="M1" s="2198"/>
      <c r="N1" s="2198"/>
      <c r="O1" s="461"/>
      <c r="P1" s="461"/>
      <c r="Q1" s="461"/>
      <c r="R1" s="2191" t="s">
        <v>145</v>
      </c>
      <c r="S1" s="2191"/>
      <c r="T1" s="2191"/>
    </row>
    <row r="2" spans="1:24" ht="12" customHeight="1">
      <c r="B2" s="1410"/>
      <c r="C2" s="1410"/>
      <c r="D2" s="1410"/>
      <c r="E2" s="1410"/>
      <c r="F2" s="1410"/>
      <c r="G2" s="1410"/>
      <c r="L2" s="1410"/>
      <c r="M2" s="1410"/>
      <c r="N2" s="1411"/>
      <c r="O2" s="1410"/>
      <c r="P2" s="1410"/>
      <c r="Q2" s="1410"/>
      <c r="R2" s="1410"/>
      <c r="S2" s="2195" t="s">
        <v>24</v>
      </c>
      <c r="T2" s="2195"/>
    </row>
    <row r="3" spans="1:24" s="463" customFormat="1" ht="12.75" customHeight="1">
      <c r="A3" s="2182" t="s">
        <v>897</v>
      </c>
      <c r="B3" s="2185" t="s">
        <v>482</v>
      </c>
      <c r="C3" s="2185"/>
      <c r="D3" s="2185"/>
      <c r="E3" s="2185"/>
      <c r="F3" s="2189" t="s">
        <v>570</v>
      </c>
      <c r="G3" s="2190"/>
      <c r="H3" s="2190"/>
      <c r="I3" s="2190"/>
      <c r="J3" s="2190"/>
      <c r="K3" s="2190"/>
      <c r="L3" s="2190"/>
      <c r="M3" s="2190" t="s">
        <v>569</v>
      </c>
      <c r="N3" s="2190"/>
      <c r="O3" s="2190"/>
      <c r="P3" s="1402"/>
      <c r="Q3" s="2181" t="s">
        <v>899</v>
      </c>
      <c r="R3" s="2181" t="s">
        <v>900</v>
      </c>
      <c r="S3" s="2194" t="s">
        <v>1322</v>
      </c>
      <c r="T3" s="2178" t="s">
        <v>475</v>
      </c>
    </row>
    <row r="4" spans="1:24" s="464" customFormat="1" ht="15" customHeight="1">
      <c r="A4" s="2183"/>
      <c r="B4" s="2181" t="s">
        <v>762</v>
      </c>
      <c r="C4" s="2193" t="s">
        <v>158</v>
      </c>
      <c r="D4" s="2178" t="s">
        <v>354</v>
      </c>
      <c r="E4" s="2181" t="s">
        <v>763</v>
      </c>
      <c r="F4" s="2186" t="s">
        <v>397</v>
      </c>
      <c r="G4" s="2187"/>
      <c r="H4" s="2187"/>
      <c r="I4" s="2187"/>
      <c r="J4" s="2187"/>
      <c r="K4" s="2187"/>
      <c r="L4" s="2188"/>
      <c r="M4" s="2185" t="s">
        <v>576</v>
      </c>
      <c r="N4" s="2185"/>
      <c r="O4" s="2185"/>
      <c r="P4" s="2181" t="s">
        <v>898</v>
      </c>
      <c r="Q4" s="2181"/>
      <c r="R4" s="2181"/>
      <c r="S4" s="2194"/>
      <c r="T4" s="2179"/>
    </row>
    <row r="5" spans="1:24" s="464" customFormat="1" ht="15" customHeight="1">
      <c r="A5" s="2183"/>
      <c r="B5" s="2181"/>
      <c r="C5" s="2193"/>
      <c r="D5" s="2179"/>
      <c r="E5" s="2181"/>
      <c r="F5" s="2185" t="s">
        <v>1308</v>
      </c>
      <c r="G5" s="2185"/>
      <c r="H5" s="2185"/>
      <c r="I5" s="2185"/>
      <c r="J5" s="2185" t="s">
        <v>485</v>
      </c>
      <c r="K5" s="2185"/>
      <c r="L5" s="2185"/>
      <c r="M5" s="2178" t="s">
        <v>766</v>
      </c>
      <c r="N5" s="2178" t="s">
        <v>158</v>
      </c>
      <c r="O5" s="2178" t="s">
        <v>767</v>
      </c>
      <c r="P5" s="2181"/>
      <c r="Q5" s="2181"/>
      <c r="R5" s="2181"/>
      <c r="S5" s="2194"/>
      <c r="T5" s="2179"/>
    </row>
    <row r="6" spans="1:24" s="464" customFormat="1" ht="34.5" customHeight="1">
      <c r="A6" s="2183"/>
      <c r="B6" s="2181"/>
      <c r="C6" s="2193"/>
      <c r="D6" s="2180"/>
      <c r="E6" s="2181"/>
      <c r="F6" s="1398" t="s">
        <v>115</v>
      </c>
      <c r="G6" s="465" t="s">
        <v>158</v>
      </c>
      <c r="H6" s="1398" t="s">
        <v>1219</v>
      </c>
      <c r="I6" s="1398" t="s">
        <v>764</v>
      </c>
      <c r="J6" s="1398" t="s">
        <v>115</v>
      </c>
      <c r="K6" s="466" t="s">
        <v>158</v>
      </c>
      <c r="L6" s="1398" t="s">
        <v>765</v>
      </c>
      <c r="M6" s="2180"/>
      <c r="N6" s="2180"/>
      <c r="O6" s="2180"/>
      <c r="P6" s="2181"/>
      <c r="Q6" s="2181"/>
      <c r="R6" s="2181"/>
      <c r="S6" s="2194"/>
      <c r="T6" s="2179"/>
    </row>
    <row r="7" spans="1:24" s="467" customFormat="1" ht="10.5">
      <c r="A7" s="2184"/>
      <c r="B7" s="226">
        <v>1</v>
      </c>
      <c r="C7" s="226">
        <v>2</v>
      </c>
      <c r="D7" s="226">
        <v>3</v>
      </c>
      <c r="E7" s="226">
        <v>4</v>
      </c>
      <c r="F7" s="226">
        <v>5</v>
      </c>
      <c r="G7" s="226">
        <v>6</v>
      </c>
      <c r="H7" s="226">
        <v>7</v>
      </c>
      <c r="I7" s="226">
        <v>8</v>
      </c>
      <c r="J7" s="226">
        <v>9</v>
      </c>
      <c r="K7" s="226">
        <v>10</v>
      </c>
      <c r="L7" s="226">
        <v>11</v>
      </c>
      <c r="M7" s="226">
        <v>12</v>
      </c>
      <c r="N7" s="226">
        <v>13</v>
      </c>
      <c r="O7" s="226">
        <v>14</v>
      </c>
      <c r="P7" s="226">
        <v>15</v>
      </c>
      <c r="Q7" s="226">
        <v>16</v>
      </c>
      <c r="R7" s="226">
        <v>17</v>
      </c>
      <c r="S7" s="817">
        <v>18</v>
      </c>
      <c r="T7" s="2180"/>
    </row>
    <row r="8" spans="1:24" ht="9.9499999999999993" customHeight="1">
      <c r="A8" s="962" t="s">
        <v>81</v>
      </c>
      <c r="B8" s="356">
        <v>67049.8</v>
      </c>
      <c r="C8" s="356">
        <v>-221.7</v>
      </c>
      <c r="D8" s="356">
        <v>-5768.2</v>
      </c>
      <c r="E8" s="356">
        <v>61059.900000000009</v>
      </c>
      <c r="F8" s="831">
        <v>54225</v>
      </c>
      <c r="G8" s="356">
        <v>175.5</v>
      </c>
      <c r="H8" s="356">
        <v>61381.4</v>
      </c>
      <c r="I8" s="356">
        <f t="shared" ref="I8:I10" si="0">F8+G8+H8</f>
        <v>115781.9</v>
      </c>
      <c r="J8" s="831">
        <v>12762.9</v>
      </c>
      <c r="K8" s="356">
        <v>93.8</v>
      </c>
      <c r="L8" s="356">
        <f t="shared" ref="L8:L10" si="1">J8+K8</f>
        <v>12856.699999999999</v>
      </c>
      <c r="M8" s="356">
        <v>261852</v>
      </c>
      <c r="N8" s="356">
        <v>23541.3</v>
      </c>
      <c r="O8" s="356">
        <v>285393.3</v>
      </c>
      <c r="P8" s="356">
        <f t="shared" ref="P8:P10" si="2">I8+L8+O8</f>
        <v>414031.89999999997</v>
      </c>
      <c r="Q8" s="453">
        <v>-45754.599999999977</v>
      </c>
      <c r="R8" s="356">
        <f t="shared" ref="R8:R10" si="3">P8+Q8</f>
        <v>368277.3</v>
      </c>
      <c r="S8" s="356">
        <f t="shared" ref="S8:S10" si="4">E8+R8</f>
        <v>429337.2</v>
      </c>
      <c r="T8" s="220" t="s">
        <v>81</v>
      </c>
      <c r="U8" s="164"/>
      <c r="V8" s="164"/>
      <c r="W8" s="164"/>
      <c r="X8" s="164"/>
    </row>
    <row r="9" spans="1:24" ht="9.9499999999999993" customHeight="1">
      <c r="A9" s="271" t="s">
        <v>189</v>
      </c>
      <c r="B9" s="574">
        <v>70573.399999999994</v>
      </c>
      <c r="C9" s="574">
        <v>-404.7</v>
      </c>
      <c r="D9" s="574">
        <v>-6049.4</v>
      </c>
      <c r="E9" s="574">
        <v>64119.299999999996</v>
      </c>
      <c r="F9" s="841">
        <v>73200.600000000006</v>
      </c>
      <c r="G9" s="574">
        <v>372.6</v>
      </c>
      <c r="H9" s="574">
        <v>63438.3</v>
      </c>
      <c r="I9" s="574">
        <f t="shared" si="0"/>
        <v>137011.5</v>
      </c>
      <c r="J9" s="841">
        <v>16901.400000000001</v>
      </c>
      <c r="K9" s="574">
        <v>108</v>
      </c>
      <c r="L9" s="574">
        <f t="shared" si="1"/>
        <v>17009.400000000001</v>
      </c>
      <c r="M9" s="574">
        <v>332161.3</v>
      </c>
      <c r="N9" s="574">
        <v>27348.5</v>
      </c>
      <c r="O9" s="574">
        <v>359509.8</v>
      </c>
      <c r="P9" s="574">
        <f t="shared" si="2"/>
        <v>513530.69999999995</v>
      </c>
      <c r="Q9" s="573">
        <v>-67193.599999999977</v>
      </c>
      <c r="R9" s="574">
        <f t="shared" si="3"/>
        <v>446337.1</v>
      </c>
      <c r="S9" s="574">
        <f t="shared" si="4"/>
        <v>510456.39999999997</v>
      </c>
      <c r="T9" s="272" t="s">
        <v>189</v>
      </c>
      <c r="U9" s="164"/>
      <c r="V9" s="164"/>
      <c r="W9" s="164"/>
      <c r="X9" s="164"/>
    </row>
    <row r="10" spans="1:24" ht="9.9499999999999993" customHeight="1">
      <c r="A10" s="962" t="s">
        <v>701</v>
      </c>
      <c r="B10" s="356">
        <v>78818.7</v>
      </c>
      <c r="C10" s="356">
        <v>-378.5</v>
      </c>
      <c r="D10" s="356">
        <v>-6273.8</v>
      </c>
      <c r="E10" s="356">
        <v>72166.399999999994</v>
      </c>
      <c r="F10" s="840">
        <v>91700.5</v>
      </c>
      <c r="G10" s="356">
        <v>261.89999999999998</v>
      </c>
      <c r="H10" s="356">
        <v>63861.3</v>
      </c>
      <c r="I10" s="356">
        <f t="shared" si="0"/>
        <v>155823.70000000001</v>
      </c>
      <c r="J10" s="840">
        <v>15284.1</v>
      </c>
      <c r="K10" s="356">
        <v>46</v>
      </c>
      <c r="L10" s="356">
        <f t="shared" si="1"/>
        <v>15330.1</v>
      </c>
      <c r="M10" s="356">
        <v>398311.5</v>
      </c>
      <c r="N10" s="356">
        <v>31174.9</v>
      </c>
      <c r="O10" s="356">
        <v>429486.4</v>
      </c>
      <c r="P10" s="356">
        <f t="shared" si="2"/>
        <v>600640.20000000007</v>
      </c>
      <c r="Q10" s="453">
        <v>-82966.200000000099</v>
      </c>
      <c r="R10" s="356">
        <f t="shared" si="3"/>
        <v>517674</v>
      </c>
      <c r="S10" s="356">
        <f t="shared" si="4"/>
        <v>589840.4</v>
      </c>
      <c r="T10" s="220" t="s">
        <v>701</v>
      </c>
      <c r="U10" s="164"/>
      <c r="V10" s="164"/>
      <c r="W10" s="164"/>
      <c r="X10" s="164"/>
    </row>
    <row r="11" spans="1:24" ht="9.9499999999999993" customHeight="1">
      <c r="A11" s="271" t="s">
        <v>809</v>
      </c>
      <c r="B11" s="574">
        <v>113250.1</v>
      </c>
      <c r="C11" s="574">
        <v>-344.5</v>
      </c>
      <c r="D11" s="574">
        <v>-6493.8</v>
      </c>
      <c r="E11" s="574">
        <v>106411.8</v>
      </c>
      <c r="F11" s="839">
        <v>110094.5</v>
      </c>
      <c r="G11" s="574">
        <v>249.7</v>
      </c>
      <c r="H11" s="574">
        <v>64634.2</v>
      </c>
      <c r="I11" s="574">
        <v>174978.4</v>
      </c>
      <c r="J11" s="839">
        <v>9376.7999999999993</v>
      </c>
      <c r="K11" s="574">
        <v>43.7</v>
      </c>
      <c r="L11" s="574">
        <v>9420.5</v>
      </c>
      <c r="M11" s="574">
        <v>440915.1</v>
      </c>
      <c r="N11" s="574">
        <v>36526.800000000003</v>
      </c>
      <c r="O11" s="574">
        <v>477441.89999999997</v>
      </c>
      <c r="P11" s="574">
        <v>661840.79999999993</v>
      </c>
      <c r="Q11" s="573">
        <v>-88069.7</v>
      </c>
      <c r="R11" s="574">
        <v>573771.1</v>
      </c>
      <c r="S11" s="574">
        <v>680182.9</v>
      </c>
      <c r="T11" s="272" t="s">
        <v>809</v>
      </c>
      <c r="U11" s="164"/>
      <c r="V11" s="164"/>
      <c r="W11" s="164"/>
      <c r="X11" s="164"/>
    </row>
    <row r="12" spans="1:24" s="152" customFormat="1" ht="9.9499999999999993" customHeight="1">
      <c r="A12" s="355" t="s">
        <v>982</v>
      </c>
      <c r="B12" s="52">
        <v>160056.6</v>
      </c>
      <c r="C12" s="52">
        <v>-318.89999999999998</v>
      </c>
      <c r="D12" s="52">
        <v>-6695</v>
      </c>
      <c r="E12" s="52">
        <v>153042.70000000001</v>
      </c>
      <c r="F12" s="52">
        <v>117498.3</v>
      </c>
      <c r="G12" s="52">
        <v>266.89999999999998</v>
      </c>
      <c r="H12" s="52">
        <v>76341.3</v>
      </c>
      <c r="I12" s="52">
        <v>194106.5</v>
      </c>
      <c r="J12" s="52">
        <v>12612.9</v>
      </c>
      <c r="K12" s="52">
        <v>40.6</v>
      </c>
      <c r="L12" s="52">
        <v>12653.5</v>
      </c>
      <c r="M12" s="52">
        <v>493936.5</v>
      </c>
      <c r="N12" s="52">
        <v>43834.8</v>
      </c>
      <c r="O12" s="52">
        <v>537771.30000000005</v>
      </c>
      <c r="P12" s="52">
        <v>744531.3</v>
      </c>
      <c r="Q12" s="453">
        <v>-105128.7</v>
      </c>
      <c r="R12" s="52">
        <v>639402.60000000009</v>
      </c>
      <c r="S12" s="52">
        <v>792445.3</v>
      </c>
      <c r="T12" s="704" t="s">
        <v>982</v>
      </c>
    </row>
    <row r="13" spans="1:24" s="230" customFormat="1" ht="9.9499999999999993" customHeight="1">
      <c r="A13" s="520" t="s">
        <v>1033</v>
      </c>
      <c r="B13" s="839">
        <v>189228.79999999999</v>
      </c>
      <c r="C13" s="839">
        <v>-274.10000000000002</v>
      </c>
      <c r="D13" s="839">
        <v>-7257.5</v>
      </c>
      <c r="E13" s="839">
        <v>181697.19999999998</v>
      </c>
      <c r="F13" s="839">
        <v>110224.8</v>
      </c>
      <c r="G13" s="839">
        <v>183.4</v>
      </c>
      <c r="H13" s="839">
        <v>105074</v>
      </c>
      <c r="I13" s="839">
        <v>215482.2</v>
      </c>
      <c r="J13" s="839">
        <v>16448.8</v>
      </c>
      <c r="K13" s="839">
        <v>80.3</v>
      </c>
      <c r="L13" s="839">
        <v>16529.099999999999</v>
      </c>
      <c r="M13" s="839">
        <v>557021.80000000005</v>
      </c>
      <c r="N13" s="839">
        <v>50121.5</v>
      </c>
      <c r="O13" s="839">
        <v>607143.30000000005</v>
      </c>
      <c r="P13" s="839">
        <v>839154.60000000009</v>
      </c>
      <c r="Q13" s="839">
        <v>-110802.8</v>
      </c>
      <c r="R13" s="839">
        <v>728351.8</v>
      </c>
      <c r="S13" s="839">
        <v>910049</v>
      </c>
      <c r="T13" s="494" t="s">
        <v>1033</v>
      </c>
      <c r="U13" s="211"/>
    </row>
    <row r="14" spans="1:24" s="230" customFormat="1" ht="9.9499999999999993" customHeight="1">
      <c r="A14" s="482" t="s">
        <v>1154</v>
      </c>
      <c r="B14" s="840">
        <v>233135.6</v>
      </c>
      <c r="C14" s="840">
        <v>-83</v>
      </c>
      <c r="D14" s="840">
        <v>-8475.2000000000007</v>
      </c>
      <c r="E14" s="840">
        <v>224577.4</v>
      </c>
      <c r="F14" s="840">
        <v>114189.1</v>
      </c>
      <c r="G14" s="840">
        <v>-89.1</v>
      </c>
      <c r="H14" s="840">
        <v>138762.6</v>
      </c>
      <c r="I14" s="840">
        <v>252862.6</v>
      </c>
      <c r="J14" s="840">
        <v>15573</v>
      </c>
      <c r="K14" s="840">
        <v>108.3</v>
      </c>
      <c r="L14" s="840">
        <v>15681.3</v>
      </c>
      <c r="M14" s="840">
        <v>650644</v>
      </c>
      <c r="N14" s="840">
        <v>60778.8</v>
      </c>
      <c r="O14" s="840">
        <v>711422.8</v>
      </c>
      <c r="P14" s="840">
        <v>979966.70000000007</v>
      </c>
      <c r="Q14" s="840">
        <v>-127800.9</v>
      </c>
      <c r="R14" s="840">
        <v>852165.8</v>
      </c>
      <c r="S14" s="840">
        <v>1076743.2</v>
      </c>
      <c r="T14" s="483" t="s">
        <v>1154</v>
      </c>
      <c r="U14" s="211"/>
    </row>
    <row r="15" spans="1:24" s="230" customFormat="1" ht="9.9499999999999993" customHeight="1">
      <c r="A15" s="520" t="s">
        <v>1178</v>
      </c>
      <c r="B15" s="839">
        <v>266697</v>
      </c>
      <c r="C15" s="839">
        <v>-46.6</v>
      </c>
      <c r="D15" s="839">
        <v>-9534.1</v>
      </c>
      <c r="E15" s="839">
        <v>257116.3</v>
      </c>
      <c r="F15" s="839">
        <v>97307.599999999991</v>
      </c>
      <c r="G15" s="839">
        <v>-108.6</v>
      </c>
      <c r="H15" s="839">
        <v>191178.6</v>
      </c>
      <c r="I15" s="839">
        <v>288377.59999999998</v>
      </c>
      <c r="J15" s="839">
        <v>16744.2</v>
      </c>
      <c r="K15" s="839">
        <v>142.6</v>
      </c>
      <c r="L15" s="839">
        <v>16886.8</v>
      </c>
      <c r="M15" s="839">
        <v>752988.79999999993</v>
      </c>
      <c r="N15" s="839">
        <v>71394.7</v>
      </c>
      <c r="O15" s="839">
        <v>824383.49999999988</v>
      </c>
      <c r="P15" s="839">
        <v>1129647.8999999999</v>
      </c>
      <c r="Q15" s="839">
        <v>-153298.70000000001</v>
      </c>
      <c r="R15" s="839">
        <v>976349.2</v>
      </c>
      <c r="S15" s="839">
        <v>1233465.5</v>
      </c>
      <c r="T15" s="494" t="s">
        <v>1178</v>
      </c>
      <c r="U15" s="211"/>
    </row>
    <row r="16" spans="1:24" s="230" customFormat="1" ht="9.9499999999999993" customHeight="1">
      <c r="A16" s="482" t="s">
        <v>1298</v>
      </c>
      <c r="B16" s="840">
        <v>264674.5</v>
      </c>
      <c r="C16" s="840">
        <v>-20.5</v>
      </c>
      <c r="D16" s="840">
        <v>-11436.5</v>
      </c>
      <c r="E16" s="840">
        <v>253217.5</v>
      </c>
      <c r="F16" s="840">
        <v>94869.599999999991</v>
      </c>
      <c r="G16" s="840">
        <v>-3111.6</v>
      </c>
      <c r="H16" s="840">
        <v>237765</v>
      </c>
      <c r="I16" s="840">
        <v>329523</v>
      </c>
      <c r="J16" s="840">
        <v>11337.8</v>
      </c>
      <c r="K16" s="840">
        <v>787.8</v>
      </c>
      <c r="L16" s="840">
        <v>12125.599999999999</v>
      </c>
      <c r="M16" s="840">
        <v>880749.5</v>
      </c>
      <c r="N16" s="840">
        <v>89467</v>
      </c>
      <c r="O16" s="840">
        <v>970216.5</v>
      </c>
      <c r="P16" s="840">
        <v>1311865.1000000001</v>
      </c>
      <c r="Q16" s="840">
        <v>-191334.1</v>
      </c>
      <c r="R16" s="840">
        <v>1120531</v>
      </c>
      <c r="S16" s="840">
        <v>1373748.5</v>
      </c>
      <c r="T16" s="483" t="s">
        <v>1298</v>
      </c>
      <c r="U16" s="211"/>
    </row>
    <row r="17" spans="1:24" s="230" customFormat="1" ht="9.9499999999999993" customHeight="1">
      <c r="A17" s="283" t="s">
        <v>1407</v>
      </c>
      <c r="B17" s="839">
        <v>272399.5</v>
      </c>
      <c r="C17" s="839">
        <v>-155.1</v>
      </c>
      <c r="D17" s="839">
        <v>-12662.8</v>
      </c>
      <c r="E17" s="839">
        <v>259581.6</v>
      </c>
      <c r="F17" s="839">
        <v>113248.3</v>
      </c>
      <c r="G17" s="839">
        <v>-2534.3000000000002</v>
      </c>
      <c r="H17" s="839">
        <v>287704.5</v>
      </c>
      <c r="I17" s="839">
        <v>398418.5</v>
      </c>
      <c r="J17" s="839">
        <v>13590.7</v>
      </c>
      <c r="K17" s="839">
        <v>1239.4000000000001</v>
      </c>
      <c r="L17" s="839">
        <v>14830.1</v>
      </c>
      <c r="M17" s="839">
        <v>985443.3</v>
      </c>
      <c r="N17" s="839">
        <v>93123</v>
      </c>
      <c r="O17" s="839">
        <v>1078566.3</v>
      </c>
      <c r="P17" s="839">
        <v>1491814.9</v>
      </c>
      <c r="Q17" s="839">
        <v>-217369.60000000001</v>
      </c>
      <c r="R17" s="839">
        <v>1274445.2999999998</v>
      </c>
      <c r="S17" s="839">
        <v>1534026.9</v>
      </c>
      <c r="T17" s="312" t="s">
        <v>1407</v>
      </c>
      <c r="U17" s="211"/>
    </row>
    <row r="18" spans="1:24" ht="9.9499999999999993" customHeight="1">
      <c r="A18" s="152" t="s">
        <v>1487</v>
      </c>
      <c r="B18" s="840">
        <v>297336.2</v>
      </c>
      <c r="C18" s="840">
        <v>-113.1</v>
      </c>
      <c r="D18" s="840">
        <v>-13909.2</v>
      </c>
      <c r="E18" s="840">
        <v>283313.90000000002</v>
      </c>
      <c r="F18" s="840">
        <v>181119.4</v>
      </c>
      <c r="G18" s="840">
        <v>71.3</v>
      </c>
      <c r="H18" s="840">
        <v>302132.8</v>
      </c>
      <c r="I18" s="840">
        <v>483323.5</v>
      </c>
      <c r="J18" s="840">
        <v>19200.800000000003</v>
      </c>
      <c r="K18" s="840">
        <v>1285.2</v>
      </c>
      <c r="L18" s="840">
        <v>20486.000000000004</v>
      </c>
      <c r="M18" s="840">
        <v>1075226.5</v>
      </c>
      <c r="N18" s="840">
        <v>91712.4</v>
      </c>
      <c r="O18" s="840">
        <v>1166938.8999999999</v>
      </c>
      <c r="P18" s="840">
        <v>1670748.4</v>
      </c>
      <c r="Q18" s="840">
        <v>-250124.9</v>
      </c>
      <c r="R18" s="840">
        <v>1420623.5</v>
      </c>
      <c r="S18" s="840">
        <v>1703937.4</v>
      </c>
      <c r="T18" s="191" t="s">
        <v>1487</v>
      </c>
      <c r="U18" s="164"/>
    </row>
    <row r="19" spans="1:24" s="152" customFormat="1" ht="9.9499999999999993" customHeight="1">
      <c r="A19" s="283" t="s">
        <v>1539</v>
      </c>
      <c r="B19" s="840">
        <v>382179.2</v>
      </c>
      <c r="C19" s="840">
        <v>-191.5</v>
      </c>
      <c r="D19" s="840">
        <v>-14841.5</v>
      </c>
      <c r="E19" s="840">
        <v>367146.2</v>
      </c>
      <c r="F19" s="840">
        <v>220997.5</v>
      </c>
      <c r="G19" s="840">
        <v>-621.4</v>
      </c>
      <c r="H19" s="840">
        <v>344143.9</v>
      </c>
      <c r="I19" s="840">
        <v>564520</v>
      </c>
      <c r="J19" s="840">
        <v>19666.599999999999</v>
      </c>
      <c r="K19" s="840">
        <v>1305.4000000000001</v>
      </c>
      <c r="L19" s="840">
        <v>20972</v>
      </c>
      <c r="M19" s="840">
        <v>1164390.5</v>
      </c>
      <c r="N19" s="840">
        <v>94826.3</v>
      </c>
      <c r="O19" s="840">
        <v>1259216.8</v>
      </c>
      <c r="P19" s="840">
        <v>1844708.8</v>
      </c>
      <c r="Q19" s="840">
        <v>-282809.7</v>
      </c>
      <c r="R19" s="840">
        <v>1561899.1</v>
      </c>
      <c r="S19" s="840">
        <v>1929045.3</v>
      </c>
      <c r="T19" s="266" t="s">
        <v>1539</v>
      </c>
      <c r="U19" s="740"/>
    </row>
    <row r="20" spans="1:24" s="152" customFormat="1" ht="9.9499999999999993" customHeight="1">
      <c r="A20" s="1401" t="s">
        <v>1810</v>
      </c>
      <c r="B20" s="840">
        <v>364298.8</v>
      </c>
      <c r="C20" s="840">
        <v>-309.5</v>
      </c>
      <c r="D20" s="840">
        <v>-13446.1</v>
      </c>
      <c r="E20" s="840">
        <v>350543.2</v>
      </c>
      <c r="F20" s="840">
        <v>283289.09999999998</v>
      </c>
      <c r="G20" s="840">
        <v>-328</v>
      </c>
      <c r="H20" s="840">
        <v>364051</v>
      </c>
      <c r="I20" s="840">
        <v>647012.1</v>
      </c>
      <c r="J20" s="840">
        <v>27775.1</v>
      </c>
      <c r="K20" s="840">
        <v>1284.8</v>
      </c>
      <c r="L20" s="840">
        <v>29059.899999999998</v>
      </c>
      <c r="M20" s="840">
        <v>1328344.5999999999</v>
      </c>
      <c r="N20" s="840">
        <v>97727.3</v>
      </c>
      <c r="O20" s="840">
        <v>1426071.9</v>
      </c>
      <c r="P20" s="840">
        <v>2102143.9</v>
      </c>
      <c r="Q20" s="840">
        <v>-354713.8</v>
      </c>
      <c r="R20" s="840">
        <v>1747430.0999999999</v>
      </c>
      <c r="S20" s="840">
        <v>2097973.2999999998</v>
      </c>
      <c r="T20" s="336" t="s">
        <v>1810</v>
      </c>
      <c r="U20" s="740"/>
      <c r="V20" s="740"/>
    </row>
    <row r="21" spans="1:24" s="152" customFormat="1" ht="9.9499999999999993" customHeight="1">
      <c r="A21" s="317" t="s">
        <v>2056</v>
      </c>
      <c r="B21" s="842">
        <v>316728.3</v>
      </c>
      <c r="C21" s="842">
        <v>-226.8575237</v>
      </c>
      <c r="D21" s="842">
        <v>-11439.6</v>
      </c>
      <c r="E21" s="842">
        <v>305061.84247629996</v>
      </c>
      <c r="F21" s="842">
        <v>387321.3</v>
      </c>
      <c r="G21" s="842">
        <v>-229.44749623799999</v>
      </c>
      <c r="H21" s="842">
        <v>360755</v>
      </c>
      <c r="I21" s="842">
        <v>747846.852503762</v>
      </c>
      <c r="J21" s="842">
        <v>35683.699999999997</v>
      </c>
      <c r="K21" s="842">
        <v>1266.768873904</v>
      </c>
      <c r="L21" s="842">
        <v>36950.468873903999</v>
      </c>
      <c r="M21" s="842">
        <v>1469220.3</v>
      </c>
      <c r="N21" s="842">
        <v>100646.8</v>
      </c>
      <c r="O21" s="842">
        <v>1569867.1</v>
      </c>
      <c r="P21" s="842">
        <v>2354664.4213776663</v>
      </c>
      <c r="Q21" s="842">
        <v>-385833.7</v>
      </c>
      <c r="R21" s="842">
        <v>1968830.7213776663</v>
      </c>
      <c r="S21" s="842">
        <v>2273892.5638539661</v>
      </c>
      <c r="T21" s="318" t="s">
        <v>2056</v>
      </c>
      <c r="U21" s="740"/>
      <c r="V21" s="660"/>
      <c r="W21" s="740"/>
      <c r="X21" s="740"/>
    </row>
    <row r="22" spans="1:24" s="152" customFormat="1" ht="9.9499999999999993" customHeight="1">
      <c r="A22" s="763" t="s">
        <v>2188</v>
      </c>
      <c r="B22" s="842">
        <v>291129</v>
      </c>
      <c r="C22" s="842">
        <v>-152.25259260000001</v>
      </c>
      <c r="D22" s="842">
        <v>-9527</v>
      </c>
      <c r="E22" s="842">
        <v>281449.74740739999</v>
      </c>
      <c r="F22" s="842">
        <v>424836.21</v>
      </c>
      <c r="G22" s="842">
        <v>1168.2334702729997</v>
      </c>
      <c r="H22" s="842">
        <v>339631</v>
      </c>
      <c r="I22" s="842">
        <v>765635.44347027293</v>
      </c>
      <c r="J22" s="842">
        <v>40011.599999999999</v>
      </c>
      <c r="K22" s="842">
        <v>1005.6505162810001</v>
      </c>
      <c r="L22" s="842">
        <v>41017.250516280998</v>
      </c>
      <c r="M22" s="842">
        <v>1618124.5</v>
      </c>
      <c r="N22" s="842">
        <v>101740.86349219801</v>
      </c>
      <c r="O22" s="842">
        <v>1719865.3634921981</v>
      </c>
      <c r="P22" s="842">
        <v>2526518.057478752</v>
      </c>
      <c r="Q22" s="842">
        <v>-400010.06081562402</v>
      </c>
      <c r="R22" s="842">
        <v>2126507.996663128</v>
      </c>
      <c r="S22" s="842">
        <v>2407957.7440705281</v>
      </c>
      <c r="T22" s="319" t="s">
        <v>2188</v>
      </c>
      <c r="U22" s="740"/>
      <c r="V22" s="740"/>
      <c r="W22" s="740"/>
      <c r="X22" s="740"/>
    </row>
    <row r="23" spans="1:24" s="152" customFormat="1" ht="9.9499999999999993" customHeight="1">
      <c r="A23" s="1719" t="s">
        <v>2439</v>
      </c>
      <c r="B23" s="842">
        <f>B35</f>
        <v>316564.2</v>
      </c>
      <c r="C23" s="842">
        <f t="shared" ref="C23:S23" si="5">C35</f>
        <v>-448.2</v>
      </c>
      <c r="D23" s="842">
        <f t="shared" si="5"/>
        <v>-7094.4</v>
      </c>
      <c r="E23" s="842">
        <f t="shared" si="5"/>
        <v>309021.59999999998</v>
      </c>
      <c r="F23" s="842">
        <f t="shared" si="5"/>
        <v>487873.1</v>
      </c>
      <c r="G23" s="842">
        <f t="shared" si="5"/>
        <v>8906.2999999999993</v>
      </c>
      <c r="H23" s="842">
        <f t="shared" si="5"/>
        <v>333567.40000000002</v>
      </c>
      <c r="I23" s="842">
        <f t="shared" si="5"/>
        <v>830346.8</v>
      </c>
      <c r="J23" s="842">
        <f t="shared" si="5"/>
        <v>37596.1</v>
      </c>
      <c r="K23" s="842">
        <f t="shared" si="5"/>
        <v>42.7</v>
      </c>
      <c r="L23" s="842">
        <f t="shared" si="5"/>
        <v>37638.799999999996</v>
      </c>
      <c r="M23" s="842">
        <f t="shared" si="5"/>
        <v>1725356.1</v>
      </c>
      <c r="N23" s="842">
        <f t="shared" si="5"/>
        <v>105453.4</v>
      </c>
      <c r="O23" s="842">
        <f t="shared" si="5"/>
        <v>1830809.5</v>
      </c>
      <c r="P23" s="842">
        <f t="shared" si="5"/>
        <v>2698795.1</v>
      </c>
      <c r="Q23" s="842">
        <f t="shared" si="5"/>
        <v>-454915.9</v>
      </c>
      <c r="R23" s="842">
        <f t="shared" si="5"/>
        <v>2243879.2000000002</v>
      </c>
      <c r="S23" s="842">
        <f t="shared" si="5"/>
        <v>2552900.8000000003</v>
      </c>
      <c r="T23" s="318" t="s">
        <v>2439</v>
      </c>
      <c r="U23" s="833"/>
      <c r="V23" s="660"/>
      <c r="W23" s="660"/>
      <c r="X23" s="740"/>
    </row>
    <row r="24" spans="1:24" s="152" customFormat="1" ht="9.9499999999999993" customHeight="1">
      <c r="A24" s="1401" t="s">
        <v>559</v>
      </c>
      <c r="B24" s="211">
        <f>238927.1+44133.37</f>
        <v>283060.47000000003</v>
      </c>
      <c r="C24" s="438">
        <v>-153.0234384</v>
      </c>
      <c r="D24" s="438">
        <v>-9422</v>
      </c>
      <c r="E24" s="438">
        <f>B24+C24+D24</f>
        <v>273485.44656160002</v>
      </c>
      <c r="F24" s="438">
        <f>146699.6+290869.2</f>
        <v>437568.80000000005</v>
      </c>
      <c r="G24" s="438">
        <v>1133.3871932320001</v>
      </c>
      <c r="H24" s="438">
        <v>341819</v>
      </c>
      <c r="I24" s="438">
        <f>F24+G24+H24</f>
        <v>780521.18719323212</v>
      </c>
      <c r="J24" s="438">
        <f>1596.1+38953.2</f>
        <v>40549.299999999996</v>
      </c>
      <c r="K24" s="438">
        <v>1005.7</v>
      </c>
      <c r="L24" s="438">
        <f>J24+K24</f>
        <v>41554.999999999993</v>
      </c>
      <c r="M24" s="438">
        <f>5083.2+1608054.6</f>
        <v>1613137.8</v>
      </c>
      <c r="N24" s="438">
        <v>100912.4</v>
      </c>
      <c r="O24" s="438">
        <f>M24+N24</f>
        <v>1714050.2</v>
      </c>
      <c r="P24" s="438">
        <f t="shared" ref="P24:P39" si="6">I24+L24+O24</f>
        <v>2536126.3871932318</v>
      </c>
      <c r="Q24" s="438">
        <v>-406384.61617703002</v>
      </c>
      <c r="R24" s="438">
        <f t="shared" ref="R24:R35" si="7">P24+Q24</f>
        <v>2129741.7710162019</v>
      </c>
      <c r="S24" s="438">
        <f t="shared" ref="S24:S35" si="8">E24+R24</f>
        <v>2403227.217577802</v>
      </c>
      <c r="T24" s="336" t="s">
        <v>559</v>
      </c>
      <c r="U24" s="833"/>
      <c r="V24" s="660"/>
      <c r="W24" s="660"/>
      <c r="X24" s="740"/>
    </row>
    <row r="25" spans="1:24" s="152" customFormat="1" ht="9.9499999999999993" customHeight="1">
      <c r="A25" s="354" t="s">
        <v>560</v>
      </c>
      <c r="B25" s="250">
        <f>231618.7+40573.12</f>
        <v>272191.82</v>
      </c>
      <c r="C25" s="454">
        <v>-472.33318550000001</v>
      </c>
      <c r="D25" s="454">
        <v>-9264</v>
      </c>
      <c r="E25" s="454">
        <f>B25+C25+D25</f>
        <v>262455.48681450001</v>
      </c>
      <c r="F25" s="454">
        <f>127517.6+298675.55</f>
        <v>426193.15</v>
      </c>
      <c r="G25" s="454">
        <v>1800.2167069230004</v>
      </c>
      <c r="H25" s="454">
        <v>343854</v>
      </c>
      <c r="I25" s="454">
        <f>F25+G25+H25</f>
        <v>771847.366706923</v>
      </c>
      <c r="J25" s="454">
        <f>1597.7+38216.6</f>
        <v>39814.299999999996</v>
      </c>
      <c r="K25" s="454">
        <v>1004.2</v>
      </c>
      <c r="L25" s="454">
        <f>J25+K25</f>
        <v>40818.499999999993</v>
      </c>
      <c r="M25" s="454">
        <f>5093.5+1615536.63</f>
        <v>1620630.13</v>
      </c>
      <c r="N25" s="454">
        <v>100674.447000007</v>
      </c>
      <c r="O25" s="454">
        <f>M25+N25</f>
        <v>1721304.5770000068</v>
      </c>
      <c r="P25" s="454">
        <f t="shared" si="6"/>
        <v>2533970.4437069297</v>
      </c>
      <c r="Q25" s="454">
        <v>-391705.35311726603</v>
      </c>
      <c r="R25" s="454">
        <f t="shared" si="7"/>
        <v>2142265.0905896635</v>
      </c>
      <c r="S25" s="454">
        <f t="shared" si="8"/>
        <v>2404720.5774041633</v>
      </c>
      <c r="T25" s="312" t="s">
        <v>560</v>
      </c>
      <c r="U25" s="833"/>
      <c r="V25" s="660"/>
      <c r="W25" s="660"/>
      <c r="X25" s="740"/>
    </row>
    <row r="26" spans="1:24" s="152" customFormat="1" ht="9.9499999999999993" customHeight="1">
      <c r="A26" s="1401" t="s">
        <v>554</v>
      </c>
      <c r="B26" s="211">
        <f>231666.1+33430.39</f>
        <v>265096.49</v>
      </c>
      <c r="C26" s="438">
        <v>-457.33176900000001</v>
      </c>
      <c r="D26" s="438">
        <v>-8999</v>
      </c>
      <c r="E26" s="438">
        <f>B26+C26+D26</f>
        <v>255640.15823100001</v>
      </c>
      <c r="F26" s="438">
        <f>103832.7+302981</f>
        <v>406813.7</v>
      </c>
      <c r="G26" s="438">
        <v>2196.522174228</v>
      </c>
      <c r="H26" s="438">
        <v>347963</v>
      </c>
      <c r="I26" s="438">
        <f>F26+G26+H26</f>
        <v>756973.22217422794</v>
      </c>
      <c r="J26" s="438">
        <f>1599.3+36611.6</f>
        <v>38210.9</v>
      </c>
      <c r="K26" s="438">
        <v>1003.911885834</v>
      </c>
      <c r="L26" s="438">
        <f>J26+K26</f>
        <v>39214.811885834002</v>
      </c>
      <c r="M26" s="438">
        <f>5113.9+1625152.57</f>
        <v>1630266.47</v>
      </c>
      <c r="N26" s="438">
        <v>100536.04494166501</v>
      </c>
      <c r="O26" s="438">
        <f>M26+N26</f>
        <v>1730802.5149416649</v>
      </c>
      <c r="P26" s="438">
        <f t="shared" si="6"/>
        <v>2526990.5490017268</v>
      </c>
      <c r="Q26" s="438">
        <v>-370093.6</v>
      </c>
      <c r="R26" s="438">
        <f t="shared" si="7"/>
        <v>2156896.9490017267</v>
      </c>
      <c r="S26" s="438">
        <f t="shared" si="8"/>
        <v>2412537.1072327266</v>
      </c>
      <c r="T26" s="336" t="s">
        <v>554</v>
      </c>
      <c r="U26" s="660"/>
      <c r="V26" s="660"/>
      <c r="W26" s="660"/>
      <c r="X26" s="660"/>
    </row>
    <row r="27" spans="1:24" s="152" customFormat="1" ht="9.9499999999999993" customHeight="1">
      <c r="A27" s="354" t="s">
        <v>561</v>
      </c>
      <c r="B27" s="250">
        <f>228522.6+21744.6</f>
        <v>250267.2</v>
      </c>
      <c r="C27" s="454">
        <v>-460.41399999999999</v>
      </c>
      <c r="D27" s="454">
        <v>-8729.9</v>
      </c>
      <c r="E27" s="454">
        <f>B27+C27+D27</f>
        <v>241076.88600000003</v>
      </c>
      <c r="F27" s="454">
        <f>106212.1+321060.1</f>
        <v>427272.19999999995</v>
      </c>
      <c r="G27" s="454">
        <v>2259.027816541</v>
      </c>
      <c r="H27" s="454">
        <v>344738.5</v>
      </c>
      <c r="I27" s="454">
        <f>F27+G27+H27</f>
        <v>774269.72781654098</v>
      </c>
      <c r="J27" s="454">
        <f>1600.9+36852.3</f>
        <v>38453.200000000004</v>
      </c>
      <c r="K27" s="454">
        <v>1001.911885835</v>
      </c>
      <c r="L27" s="454">
        <f>J27+K27</f>
        <v>39455.111885835002</v>
      </c>
      <c r="M27" s="454">
        <f>5145+1629597.15</f>
        <v>1634742.15</v>
      </c>
      <c r="N27" s="454">
        <v>100120.863658676</v>
      </c>
      <c r="O27" s="454">
        <f>M27+N27</f>
        <v>1734863.0136586758</v>
      </c>
      <c r="P27" s="454">
        <f t="shared" si="6"/>
        <v>2548587.8533610515</v>
      </c>
      <c r="Q27" s="454">
        <v>-372448.4</v>
      </c>
      <c r="R27" s="454">
        <f t="shared" si="7"/>
        <v>2176139.4533610516</v>
      </c>
      <c r="S27" s="454">
        <f t="shared" si="8"/>
        <v>2417216.3393610516</v>
      </c>
      <c r="T27" s="312" t="s">
        <v>561</v>
      </c>
      <c r="U27" s="660"/>
      <c r="V27" s="660"/>
      <c r="W27" s="660"/>
      <c r="X27" s="660"/>
    </row>
    <row r="28" spans="1:24" s="152" customFormat="1" ht="9.9499999999999993" customHeight="1">
      <c r="A28" s="1471" t="s">
        <v>562</v>
      </c>
      <c r="B28" s="211">
        <f>223881.5+22581.22</f>
        <v>246462.72</v>
      </c>
      <c r="C28" s="438">
        <v>-460.91840769999999</v>
      </c>
      <c r="D28" s="438">
        <v>-8531.9</v>
      </c>
      <c r="E28" s="438">
        <f t="shared" ref="E28:E50" si="9">B28+C28+D28</f>
        <v>237469.90159230001</v>
      </c>
      <c r="F28" s="438">
        <f>107981.5+330666.1</f>
        <v>438647.6</v>
      </c>
      <c r="G28" s="438">
        <v>2617.5483304159998</v>
      </c>
      <c r="H28" s="438">
        <v>341307.5</v>
      </c>
      <c r="I28" s="438">
        <f t="shared" ref="I28:I50" si="10">F28+G28+H28</f>
        <v>782572.64833041595</v>
      </c>
      <c r="J28" s="438">
        <f>1602.4+37234.3</f>
        <v>38836.700000000004</v>
      </c>
      <c r="K28" s="438">
        <v>1000.511885786</v>
      </c>
      <c r="L28" s="438">
        <f t="shared" ref="L28:L50" si="11">J28+K28</f>
        <v>39837.211885786004</v>
      </c>
      <c r="M28" s="438">
        <f>5167.5+1637369.41</f>
        <v>1642536.91</v>
      </c>
      <c r="N28" s="438">
        <v>100191.50705214</v>
      </c>
      <c r="O28" s="438">
        <f t="shared" ref="O28:O39" si="12">M28+N28</f>
        <v>1742728.41705214</v>
      </c>
      <c r="P28" s="438">
        <f t="shared" si="6"/>
        <v>2565138.2772683417</v>
      </c>
      <c r="Q28" s="438">
        <v>-379708.8</v>
      </c>
      <c r="R28" s="438">
        <f t="shared" si="7"/>
        <v>2185429.4772683419</v>
      </c>
      <c r="S28" s="438">
        <f t="shared" si="8"/>
        <v>2422899.3788606417</v>
      </c>
      <c r="T28" s="336" t="s">
        <v>562</v>
      </c>
      <c r="U28" s="660"/>
      <c r="V28" s="660"/>
      <c r="W28" s="660"/>
      <c r="X28" s="660"/>
    </row>
    <row r="29" spans="1:24" s="152" customFormat="1" ht="9.9499999999999993" customHeight="1">
      <c r="A29" s="354" t="s">
        <v>555</v>
      </c>
      <c r="B29" s="250">
        <f>235750.8+19525.648</f>
        <v>255276.44799999997</v>
      </c>
      <c r="C29" s="454">
        <v>-463.88124669999996</v>
      </c>
      <c r="D29" s="454">
        <v>-8263.1</v>
      </c>
      <c r="E29" s="454">
        <f t="shared" si="9"/>
        <v>246549.46675329996</v>
      </c>
      <c r="F29" s="454">
        <f>89973.6+325599.5</f>
        <v>415573.1</v>
      </c>
      <c r="G29" s="454">
        <v>1976.6391142330001</v>
      </c>
      <c r="H29" s="454">
        <v>337386.3</v>
      </c>
      <c r="I29" s="454">
        <f t="shared" si="10"/>
        <v>754936.03911423299</v>
      </c>
      <c r="J29" s="454">
        <f>1604+37992.4</f>
        <v>39596.400000000001</v>
      </c>
      <c r="K29" s="454">
        <v>1036.2157977859999</v>
      </c>
      <c r="L29" s="454">
        <f t="shared" si="11"/>
        <v>40632.615797785998</v>
      </c>
      <c r="M29" s="454">
        <f>5256.2+1658046.8</f>
        <v>1663303</v>
      </c>
      <c r="N29" s="454">
        <v>102030.998823592</v>
      </c>
      <c r="O29" s="454">
        <f t="shared" si="12"/>
        <v>1765333.998823592</v>
      </c>
      <c r="P29" s="454">
        <f t="shared" si="6"/>
        <v>2560902.6537356111</v>
      </c>
      <c r="Q29" s="454">
        <v>-372875.1</v>
      </c>
      <c r="R29" s="454">
        <f t="shared" si="7"/>
        <v>2188027.553735611</v>
      </c>
      <c r="S29" s="454">
        <f t="shared" si="8"/>
        <v>2434577.0204889108</v>
      </c>
      <c r="T29" s="312" t="s">
        <v>555</v>
      </c>
      <c r="U29" s="660"/>
      <c r="V29" s="660"/>
      <c r="W29" s="660"/>
      <c r="X29" s="660"/>
    </row>
    <row r="30" spans="1:24" s="152" customFormat="1" ht="9.9499999999999993" customHeight="1">
      <c r="A30" s="1513" t="s">
        <v>563</v>
      </c>
      <c r="B30" s="211">
        <f>238082.6+21792.32</f>
        <v>259874.92</v>
      </c>
      <c r="C30" s="438">
        <v>-489.46644450000002</v>
      </c>
      <c r="D30" s="438">
        <v>-8095.7</v>
      </c>
      <c r="E30" s="438">
        <f t="shared" si="9"/>
        <v>251289.75355550001</v>
      </c>
      <c r="F30" s="438">
        <f>88103.8+346257.4</f>
        <v>434361.2</v>
      </c>
      <c r="G30" s="438">
        <v>1456.4321638870001</v>
      </c>
      <c r="H30" s="438">
        <v>332617.3</v>
      </c>
      <c r="I30" s="438">
        <f t="shared" si="10"/>
        <v>768434.93216388696</v>
      </c>
      <c r="J30" s="438">
        <f>1594.5+37686.5</f>
        <v>39281</v>
      </c>
      <c r="K30" s="438">
        <v>1215.0874559860001</v>
      </c>
      <c r="L30" s="438">
        <f t="shared" si="11"/>
        <v>40496.087455986002</v>
      </c>
      <c r="M30" s="438">
        <f>5243.1+1653041.4</f>
        <v>1658284.5</v>
      </c>
      <c r="N30" s="438">
        <v>102427.80437568499</v>
      </c>
      <c r="O30" s="438">
        <f t="shared" si="12"/>
        <v>1760712.3043756851</v>
      </c>
      <c r="P30" s="438">
        <f t="shared" si="6"/>
        <v>2569643.3239955581</v>
      </c>
      <c r="Q30" s="438">
        <v>-389490.8</v>
      </c>
      <c r="R30" s="438">
        <f t="shared" si="7"/>
        <v>2180152.5239955583</v>
      </c>
      <c r="S30" s="438">
        <f t="shared" si="8"/>
        <v>2431442.2775510582</v>
      </c>
      <c r="T30" s="336" t="s">
        <v>563</v>
      </c>
      <c r="U30" s="660"/>
      <c r="V30" s="660"/>
      <c r="W30" s="660"/>
      <c r="X30" s="660"/>
    </row>
    <row r="31" spans="1:24" s="152" customFormat="1" ht="9.9499999999999993" customHeight="1">
      <c r="A31" s="354" t="s">
        <v>564</v>
      </c>
      <c r="B31" s="250">
        <f>238118.4+26359.2</f>
        <v>264477.59999999998</v>
      </c>
      <c r="C31" s="454">
        <v>-467.8</v>
      </c>
      <c r="D31" s="454">
        <v>-7883.5</v>
      </c>
      <c r="E31" s="454">
        <f t="shared" si="9"/>
        <v>256126.3</v>
      </c>
      <c r="F31" s="454">
        <f>82947.7+350943.3</f>
        <v>433891</v>
      </c>
      <c r="G31" s="454">
        <v>1571.8</v>
      </c>
      <c r="H31" s="454">
        <v>330859.14490000001</v>
      </c>
      <c r="I31" s="454">
        <f t="shared" si="10"/>
        <v>766321.9449</v>
      </c>
      <c r="J31" s="454">
        <f>1597.6+37999.6</f>
        <v>39597.199999999997</v>
      </c>
      <c r="K31" s="454">
        <v>1215.0999999999999</v>
      </c>
      <c r="L31" s="454">
        <f t="shared" si="11"/>
        <v>40812.299999999996</v>
      </c>
      <c r="M31" s="454">
        <f>5260.7+1657008.2</f>
        <v>1662268.9</v>
      </c>
      <c r="N31" s="454">
        <v>102621.7</v>
      </c>
      <c r="O31" s="454">
        <f t="shared" si="12"/>
        <v>1764890.5999999999</v>
      </c>
      <c r="P31" s="454">
        <f t="shared" si="6"/>
        <v>2572024.8448999999</v>
      </c>
      <c r="Q31" s="454">
        <v>-389509.2</v>
      </c>
      <c r="R31" s="454">
        <f t="shared" si="7"/>
        <v>2182515.6448999997</v>
      </c>
      <c r="S31" s="454">
        <f t="shared" si="8"/>
        <v>2438641.9448999995</v>
      </c>
      <c r="T31" s="312" t="s">
        <v>564</v>
      </c>
      <c r="U31" s="660"/>
      <c r="V31" s="660"/>
      <c r="W31" s="660"/>
      <c r="X31" s="660"/>
    </row>
    <row r="32" spans="1:24" s="152" customFormat="1" ht="9.9499999999999993" customHeight="1">
      <c r="A32" s="1609" t="s">
        <v>556</v>
      </c>
      <c r="B32" s="211">
        <f>240274.2+27069.1</f>
        <v>267343.3</v>
      </c>
      <c r="C32" s="438">
        <v>-470.3</v>
      </c>
      <c r="D32" s="438">
        <v>-7615.2</v>
      </c>
      <c r="E32" s="438">
        <f t="shared" si="9"/>
        <v>259257.8</v>
      </c>
      <c r="F32" s="438">
        <f>100124.7+353947.2</f>
        <v>454071.9</v>
      </c>
      <c r="G32" s="438">
        <v>6738.6</v>
      </c>
      <c r="H32" s="438">
        <v>330939.6949</v>
      </c>
      <c r="I32" s="438">
        <f t="shared" si="10"/>
        <v>791750.1949</v>
      </c>
      <c r="J32" s="438">
        <f>1599.2+37532.3</f>
        <v>39131.5</v>
      </c>
      <c r="K32" s="438">
        <v>55.9</v>
      </c>
      <c r="L32" s="438">
        <f t="shared" si="11"/>
        <v>39187.4</v>
      </c>
      <c r="M32" s="438">
        <f>5283.7+1692499.8</f>
        <v>1697783.5</v>
      </c>
      <c r="N32" s="438">
        <v>104865.3</v>
      </c>
      <c r="O32" s="438">
        <f t="shared" si="12"/>
        <v>1802648.8</v>
      </c>
      <c r="P32" s="438">
        <f t="shared" si="6"/>
        <v>2633586.3949000002</v>
      </c>
      <c r="Q32" s="438">
        <v>-404033.8</v>
      </c>
      <c r="R32" s="438">
        <f t="shared" si="7"/>
        <v>2229552.5949000004</v>
      </c>
      <c r="S32" s="438">
        <f t="shared" si="8"/>
        <v>2488810.3949000002</v>
      </c>
      <c r="T32" s="336" t="s">
        <v>556</v>
      </c>
      <c r="U32" s="660"/>
      <c r="V32" s="660"/>
      <c r="W32" s="660"/>
      <c r="X32" s="660"/>
    </row>
    <row r="33" spans="1:24" s="152" customFormat="1" ht="9.9499999999999993" customHeight="1">
      <c r="A33" s="354" t="s">
        <v>565</v>
      </c>
      <c r="B33" s="250">
        <f>251508.2+27533.2</f>
        <v>279041.40000000002</v>
      </c>
      <c r="C33" s="454">
        <v>-472.7</v>
      </c>
      <c r="D33" s="454">
        <v>-7470.5</v>
      </c>
      <c r="E33" s="454">
        <f t="shared" si="9"/>
        <v>271098.2</v>
      </c>
      <c r="F33" s="454">
        <f>89111.6+368328</f>
        <v>457439.6</v>
      </c>
      <c r="G33" s="454">
        <v>7309.4</v>
      </c>
      <c r="H33" s="454">
        <v>332199.4449</v>
      </c>
      <c r="I33" s="454">
        <f t="shared" si="10"/>
        <v>796948.4449</v>
      </c>
      <c r="J33" s="454">
        <f>2976.2+37209.9</f>
        <v>40186.1</v>
      </c>
      <c r="K33" s="454">
        <v>43.5</v>
      </c>
      <c r="L33" s="454">
        <f t="shared" si="11"/>
        <v>40229.599999999999</v>
      </c>
      <c r="M33" s="454">
        <f>18818.4+1682771.4</f>
        <v>1701589.7999999998</v>
      </c>
      <c r="N33" s="454">
        <v>103431.7</v>
      </c>
      <c r="O33" s="454">
        <f t="shared" si="12"/>
        <v>1805021.4999999998</v>
      </c>
      <c r="P33" s="454">
        <f t="shared" si="6"/>
        <v>2642199.5448999996</v>
      </c>
      <c r="Q33" s="454">
        <v>-439306.1</v>
      </c>
      <c r="R33" s="454">
        <f t="shared" si="7"/>
        <v>2202893.4448999995</v>
      </c>
      <c r="S33" s="454">
        <f t="shared" si="8"/>
        <v>2473991.6448999997</v>
      </c>
      <c r="T33" s="312" t="s">
        <v>565</v>
      </c>
      <c r="U33" s="660"/>
      <c r="V33" s="660"/>
      <c r="W33" s="660"/>
      <c r="X33" s="660"/>
    </row>
    <row r="34" spans="1:24" s="152" customFormat="1" ht="9.9499999999999993" customHeight="1">
      <c r="A34" s="1647" t="s">
        <v>566</v>
      </c>
      <c r="B34" s="211">
        <f>243726.7+31957.3</f>
        <v>275684</v>
      </c>
      <c r="C34" s="438">
        <v>-445.9</v>
      </c>
      <c r="D34" s="438">
        <v>-7258.8</v>
      </c>
      <c r="E34" s="438">
        <f t="shared" si="9"/>
        <v>267979.3</v>
      </c>
      <c r="F34" s="438">
        <f>92024.1+378257.9</f>
        <v>470282</v>
      </c>
      <c r="G34" s="438">
        <v>8332.4</v>
      </c>
      <c r="H34" s="438">
        <v>333736.7</v>
      </c>
      <c r="I34" s="438">
        <f t="shared" si="10"/>
        <v>812351.10000000009</v>
      </c>
      <c r="J34" s="438">
        <f>1602.5+38470.3</f>
        <v>40072.800000000003</v>
      </c>
      <c r="K34" s="438">
        <v>43.2</v>
      </c>
      <c r="L34" s="438">
        <f t="shared" si="11"/>
        <v>40116</v>
      </c>
      <c r="M34" s="438">
        <f>5318.5+1711758.2</f>
        <v>1717076.7</v>
      </c>
      <c r="N34" s="438">
        <v>105855.5</v>
      </c>
      <c r="O34" s="438">
        <f t="shared" si="12"/>
        <v>1822932.2</v>
      </c>
      <c r="P34" s="438">
        <f t="shared" si="6"/>
        <v>2675399.2999999998</v>
      </c>
      <c r="Q34" s="438">
        <v>-438531.5</v>
      </c>
      <c r="R34" s="438">
        <f t="shared" si="7"/>
        <v>2236867.7999999998</v>
      </c>
      <c r="S34" s="438">
        <f t="shared" si="8"/>
        <v>2504847.0999999996</v>
      </c>
      <c r="T34" s="1372" t="s">
        <v>566</v>
      </c>
      <c r="U34" s="660"/>
      <c r="V34" s="660"/>
      <c r="W34" s="660"/>
      <c r="X34" s="660"/>
    </row>
    <row r="35" spans="1:24" s="152" customFormat="1" ht="9.9499999999999993" customHeight="1">
      <c r="A35" s="354" t="s">
        <v>557</v>
      </c>
      <c r="B35" s="250">
        <f>293917.8+22646.4</f>
        <v>316564.2</v>
      </c>
      <c r="C35" s="454">
        <v>-448.2</v>
      </c>
      <c r="D35" s="454">
        <v>-7094.4</v>
      </c>
      <c r="E35" s="454">
        <f t="shared" si="9"/>
        <v>309021.59999999998</v>
      </c>
      <c r="F35" s="454">
        <f>85426.8+402446.3</f>
        <v>487873.1</v>
      </c>
      <c r="G35" s="454">
        <v>8906.2999999999993</v>
      </c>
      <c r="H35" s="454">
        <v>333567.40000000002</v>
      </c>
      <c r="I35" s="454">
        <f t="shared" si="10"/>
        <v>830346.8</v>
      </c>
      <c r="J35" s="454">
        <f>1604+35992.1</f>
        <v>37596.1</v>
      </c>
      <c r="K35" s="454">
        <v>42.7</v>
      </c>
      <c r="L35" s="454">
        <f t="shared" si="11"/>
        <v>37638.799999999996</v>
      </c>
      <c r="M35" s="454">
        <f>5355.6+1720000.5</f>
        <v>1725356.1</v>
      </c>
      <c r="N35" s="454">
        <v>105453.4</v>
      </c>
      <c r="O35" s="454">
        <f t="shared" si="12"/>
        <v>1830809.5</v>
      </c>
      <c r="P35" s="454">
        <f t="shared" si="6"/>
        <v>2698795.1</v>
      </c>
      <c r="Q35" s="454">
        <v>-454915.9</v>
      </c>
      <c r="R35" s="454">
        <f t="shared" si="7"/>
        <v>2243879.2000000002</v>
      </c>
      <c r="S35" s="454">
        <f t="shared" si="8"/>
        <v>2552900.8000000003</v>
      </c>
      <c r="T35" s="1409" t="s">
        <v>557</v>
      </c>
      <c r="U35" s="660"/>
      <c r="V35" s="660"/>
      <c r="W35" s="660"/>
      <c r="X35" s="660"/>
    </row>
    <row r="36" spans="1:24" s="152" customFormat="1" ht="9.9499999999999993" customHeight="1">
      <c r="A36" s="763" t="s">
        <v>2664</v>
      </c>
      <c r="B36" s="842">
        <f>B48</f>
        <v>382043.1</v>
      </c>
      <c r="C36" s="842">
        <f t="shared" ref="C36:S36" si="13">C48</f>
        <v>-284.5</v>
      </c>
      <c r="D36" s="842">
        <f t="shared" si="13"/>
        <v>-5684.7</v>
      </c>
      <c r="E36" s="842">
        <f t="shared" si="13"/>
        <v>376073.89999999997</v>
      </c>
      <c r="F36" s="842">
        <f t="shared" si="13"/>
        <v>656658.80000000005</v>
      </c>
      <c r="G36" s="842">
        <f t="shared" si="13"/>
        <v>8750.1</v>
      </c>
      <c r="H36" s="842">
        <f t="shared" si="13"/>
        <v>334003.90000000002</v>
      </c>
      <c r="I36" s="842">
        <f t="shared" si="13"/>
        <v>999412.8</v>
      </c>
      <c r="J36" s="842">
        <f t="shared" si="13"/>
        <v>31607.1</v>
      </c>
      <c r="K36" s="842">
        <f t="shared" si="13"/>
        <v>36.9</v>
      </c>
      <c r="L36" s="842">
        <f t="shared" si="13"/>
        <v>31644</v>
      </c>
      <c r="M36" s="842">
        <f t="shared" si="13"/>
        <v>1806271.5</v>
      </c>
      <c r="N36" s="842">
        <f t="shared" si="13"/>
        <v>106867</v>
      </c>
      <c r="O36" s="842">
        <f t="shared" si="13"/>
        <v>1913138.5</v>
      </c>
      <c r="P36" s="842">
        <f t="shared" si="13"/>
        <v>2944195.3</v>
      </c>
      <c r="Q36" s="842">
        <f t="shared" si="13"/>
        <v>-524680.6</v>
      </c>
      <c r="R36" s="842">
        <f t="shared" si="13"/>
        <v>2419514.6999999997</v>
      </c>
      <c r="S36" s="842">
        <f t="shared" si="13"/>
        <v>2795588.5999999996</v>
      </c>
      <c r="T36" s="1801" t="s">
        <v>2664</v>
      </c>
      <c r="U36" s="660"/>
      <c r="V36" s="660"/>
      <c r="W36" s="660"/>
      <c r="X36" s="660"/>
    </row>
    <row r="37" spans="1:24" s="152" customFormat="1" ht="9.9499999999999993" customHeight="1">
      <c r="A37" s="354" t="s">
        <v>559</v>
      </c>
      <c r="B37" s="250">
        <f>284285.5+25789</f>
        <v>310074.5</v>
      </c>
      <c r="C37" s="454">
        <v>-450.5</v>
      </c>
      <c r="D37" s="454">
        <v>-7004.6</v>
      </c>
      <c r="E37" s="454">
        <f t="shared" si="9"/>
        <v>302619.40000000002</v>
      </c>
      <c r="F37" s="454">
        <f>86888.2+414200.3</f>
        <v>501088.5</v>
      </c>
      <c r="G37" s="454">
        <v>8410.9</v>
      </c>
      <c r="H37" s="454">
        <v>334860.79999999999</v>
      </c>
      <c r="I37" s="454">
        <f t="shared" si="10"/>
        <v>844360.2</v>
      </c>
      <c r="J37" s="454">
        <f>1896.1+35737.7</f>
        <v>37633.799999999996</v>
      </c>
      <c r="K37" s="454">
        <v>42.6</v>
      </c>
      <c r="L37" s="454">
        <f t="shared" si="11"/>
        <v>37676.399999999994</v>
      </c>
      <c r="M37" s="454">
        <f>5341.3+1715198.7</f>
        <v>1720540</v>
      </c>
      <c r="N37" s="454">
        <v>105404.4</v>
      </c>
      <c r="O37" s="454">
        <f t="shared" si="12"/>
        <v>1825944.4</v>
      </c>
      <c r="P37" s="454">
        <f t="shared" si="6"/>
        <v>2707981</v>
      </c>
      <c r="Q37" s="454">
        <v>-463745.6</v>
      </c>
      <c r="R37" s="454">
        <f t="shared" ref="R37" si="14">P37+Q37</f>
        <v>2244235.4</v>
      </c>
      <c r="S37" s="454">
        <f t="shared" ref="S37" si="15">E37+R37</f>
        <v>2546854.7999999998</v>
      </c>
      <c r="T37" s="312" t="s">
        <v>559</v>
      </c>
      <c r="U37" s="660"/>
      <c r="V37" s="660"/>
      <c r="W37" s="660"/>
      <c r="X37" s="660"/>
    </row>
    <row r="38" spans="1:24" s="152" customFormat="1" ht="9.9499999999999993" customHeight="1">
      <c r="A38" s="1442" t="s">
        <v>560</v>
      </c>
      <c r="B38" s="211">
        <f>289617.3+27126</f>
        <v>316743.3</v>
      </c>
      <c r="C38" s="438">
        <v>-387.4</v>
      </c>
      <c r="D38" s="438">
        <v>-6814.8</v>
      </c>
      <c r="E38" s="438">
        <f t="shared" si="9"/>
        <v>309541.09999999998</v>
      </c>
      <c r="F38" s="438">
        <f>75256.9+421677.4</f>
        <v>496934.30000000005</v>
      </c>
      <c r="G38" s="438">
        <v>8797</v>
      </c>
      <c r="H38" s="438">
        <v>335139.59999999998</v>
      </c>
      <c r="I38" s="438">
        <f t="shared" si="10"/>
        <v>840870.9</v>
      </c>
      <c r="J38" s="438">
        <f>1597.7+35809.1</f>
        <v>37406.799999999996</v>
      </c>
      <c r="K38" s="438">
        <v>42.2</v>
      </c>
      <c r="L38" s="438">
        <f t="shared" si="11"/>
        <v>37448.999999999993</v>
      </c>
      <c r="M38" s="438">
        <f>5365.1+1720170.1</f>
        <v>1725535.2000000002</v>
      </c>
      <c r="N38" s="438">
        <v>105616.4</v>
      </c>
      <c r="O38" s="438">
        <f t="shared" si="12"/>
        <v>1831151.6</v>
      </c>
      <c r="P38" s="438">
        <f t="shared" si="6"/>
        <v>2709471.5</v>
      </c>
      <c r="Q38" s="438">
        <v>-458137.3</v>
      </c>
      <c r="R38" s="438">
        <f t="shared" ref="R38" si="16">P38+Q38</f>
        <v>2251334.2000000002</v>
      </c>
      <c r="S38" s="438">
        <f t="shared" ref="S38" si="17">E38+R38</f>
        <v>2560875.3000000003</v>
      </c>
      <c r="T38" s="336" t="s">
        <v>560</v>
      </c>
      <c r="U38" s="660"/>
      <c r="V38" s="660"/>
      <c r="W38" s="660"/>
      <c r="X38" s="660"/>
    </row>
    <row r="39" spans="1:24" s="152" customFormat="1" ht="9.9499999999999993" customHeight="1">
      <c r="A39" s="354" t="s">
        <v>554</v>
      </c>
      <c r="B39" s="250">
        <f>302125.6+14256.5</f>
        <v>316382.09999999998</v>
      </c>
      <c r="C39" s="454">
        <v>-389.6</v>
      </c>
      <c r="D39" s="454">
        <v>-6581.6</v>
      </c>
      <c r="E39" s="454">
        <f t="shared" si="9"/>
        <v>309410.90000000002</v>
      </c>
      <c r="F39" s="454">
        <f>80684.3+436864.9</f>
        <v>517549.2</v>
      </c>
      <c r="G39" s="454">
        <v>8240.7000000000007</v>
      </c>
      <c r="H39" s="454">
        <v>335513</v>
      </c>
      <c r="I39" s="454">
        <f t="shared" si="10"/>
        <v>861302.9</v>
      </c>
      <c r="J39" s="454">
        <f>1599.3+34767.4</f>
        <v>36366.700000000004</v>
      </c>
      <c r="K39" s="454">
        <v>42.2</v>
      </c>
      <c r="L39" s="454">
        <f t="shared" si="11"/>
        <v>36408.9</v>
      </c>
      <c r="M39" s="454">
        <f>5370.2+1729164.5</f>
        <v>1734534.7</v>
      </c>
      <c r="N39" s="454">
        <v>106145.3</v>
      </c>
      <c r="O39" s="454">
        <f t="shared" si="12"/>
        <v>1840680</v>
      </c>
      <c r="P39" s="454">
        <f t="shared" si="6"/>
        <v>2738391.8</v>
      </c>
      <c r="Q39" s="454">
        <v>-478917.2</v>
      </c>
      <c r="R39" s="454">
        <f t="shared" ref="R39" si="18">P39+Q39</f>
        <v>2259474.5999999996</v>
      </c>
      <c r="S39" s="454">
        <f t="shared" ref="S39" si="19">E39+R39</f>
        <v>2568885.4999999995</v>
      </c>
      <c r="T39" s="312" t="s">
        <v>554</v>
      </c>
      <c r="U39" s="660"/>
      <c r="V39" s="660"/>
      <c r="W39" s="660"/>
      <c r="X39" s="660"/>
    </row>
    <row r="40" spans="1:24" s="152" customFormat="1" ht="9.9499999999999993" customHeight="1">
      <c r="A40" s="1479" t="s">
        <v>561</v>
      </c>
      <c r="B40" s="1480">
        <v>316929.7</v>
      </c>
      <c r="C40" s="1481">
        <v>-392.1</v>
      </c>
      <c r="D40" s="1481">
        <v>-6437.8</v>
      </c>
      <c r="E40" s="1481">
        <f t="shared" si="9"/>
        <v>310099.80000000005</v>
      </c>
      <c r="F40" s="1481">
        <v>530278.9</v>
      </c>
      <c r="G40" s="1481">
        <v>8927.2999999999993</v>
      </c>
      <c r="H40" s="1481">
        <v>335936.9</v>
      </c>
      <c r="I40" s="1481">
        <f t="shared" si="10"/>
        <v>875143.10000000009</v>
      </c>
      <c r="J40" s="1481">
        <f>(16009+334637)/10</f>
        <v>35064.6</v>
      </c>
      <c r="K40" s="1481">
        <v>40.1</v>
      </c>
      <c r="L40" s="1481">
        <f t="shared" si="11"/>
        <v>35104.699999999997</v>
      </c>
      <c r="M40" s="1481">
        <f>(53837+17334389)/10</f>
        <v>1738822.6</v>
      </c>
      <c r="N40" s="1481">
        <v>107755.3</v>
      </c>
      <c r="O40" s="1481">
        <f t="shared" ref="O40:O44" si="20">M40+N40</f>
        <v>1846577.9000000001</v>
      </c>
      <c r="P40" s="1481">
        <f t="shared" ref="P40:P41" si="21">I40+L40+O40</f>
        <v>2756825.7</v>
      </c>
      <c r="Q40" s="1481">
        <v>-491485.5</v>
      </c>
      <c r="R40" s="1481">
        <f t="shared" ref="R40" si="22">P40+Q40</f>
        <v>2265340.2000000002</v>
      </c>
      <c r="S40" s="1481">
        <f t="shared" ref="S40" si="23">E40+R40</f>
        <v>2575440</v>
      </c>
      <c r="T40" s="1482" t="s">
        <v>561</v>
      </c>
      <c r="U40" s="660"/>
      <c r="V40" s="660"/>
      <c r="W40" s="660"/>
      <c r="X40" s="660"/>
    </row>
    <row r="41" spans="1:24" ht="9.9499999999999993" customHeight="1">
      <c r="A41" s="354" t="s">
        <v>562</v>
      </c>
      <c r="B41" s="250">
        <v>321504.40000000002</v>
      </c>
      <c r="C41" s="1481">
        <v>-364</v>
      </c>
      <c r="D41" s="1481">
        <v>-6284</v>
      </c>
      <c r="E41" s="1481">
        <f t="shared" si="9"/>
        <v>314856.40000000002</v>
      </c>
      <c r="F41" s="1481">
        <v>553910.4</v>
      </c>
      <c r="G41" s="1481">
        <v>9306.2000000000007</v>
      </c>
      <c r="H41" s="1481">
        <v>335643.5</v>
      </c>
      <c r="I41" s="1481">
        <f t="shared" si="10"/>
        <v>898860.1</v>
      </c>
      <c r="J41" s="1481">
        <v>34500.300000000003</v>
      </c>
      <c r="K41" s="1481">
        <v>38.700000000000003</v>
      </c>
      <c r="L41" s="1481">
        <f t="shared" si="11"/>
        <v>34539</v>
      </c>
      <c r="M41" s="1481">
        <v>1753123.9</v>
      </c>
      <c r="N41" s="1481">
        <v>108020.4</v>
      </c>
      <c r="O41" s="1481">
        <f t="shared" si="20"/>
        <v>1861144.2999999998</v>
      </c>
      <c r="P41" s="1481">
        <f t="shared" si="21"/>
        <v>2794543.4</v>
      </c>
      <c r="Q41" s="1481">
        <v>-507495.4</v>
      </c>
      <c r="R41" s="1481">
        <f t="shared" ref="R41" si="24">P41+Q41</f>
        <v>2287048</v>
      </c>
      <c r="S41" s="1481">
        <f t="shared" ref="S41" si="25">E41+R41</f>
        <v>2601904.4</v>
      </c>
      <c r="T41" s="1548" t="s">
        <v>562</v>
      </c>
      <c r="U41" s="833"/>
      <c r="V41" s="709"/>
      <c r="W41" s="660"/>
      <c r="X41" s="709"/>
    </row>
    <row r="42" spans="1:24" ht="9.9499999999999993" customHeight="1">
      <c r="A42" s="1513" t="s">
        <v>555</v>
      </c>
      <c r="B42" s="211">
        <v>330014.09999999998</v>
      </c>
      <c r="C42" s="438">
        <v>-366.2</v>
      </c>
      <c r="D42" s="438">
        <v>-6191.4</v>
      </c>
      <c r="E42" s="1481">
        <f t="shared" si="9"/>
        <v>323456.49999999994</v>
      </c>
      <c r="F42" s="438">
        <v>549325.69999999995</v>
      </c>
      <c r="G42" s="438">
        <v>9374.5</v>
      </c>
      <c r="H42" s="438">
        <v>336028.4</v>
      </c>
      <c r="I42" s="1481">
        <f t="shared" si="10"/>
        <v>894728.6</v>
      </c>
      <c r="J42" s="438">
        <v>36609.4</v>
      </c>
      <c r="K42" s="438">
        <v>38.700000000000003</v>
      </c>
      <c r="L42" s="1481">
        <f t="shared" si="11"/>
        <v>36648.1</v>
      </c>
      <c r="M42" s="438">
        <v>1758932.7</v>
      </c>
      <c r="N42" s="438">
        <v>106592.3</v>
      </c>
      <c r="O42" s="1481">
        <f t="shared" si="20"/>
        <v>1865525</v>
      </c>
      <c r="P42" s="1481">
        <f t="shared" ref="P42:P44" si="26">I42+L42+O42</f>
        <v>2796901.7</v>
      </c>
      <c r="Q42" s="438">
        <v>-488881.3</v>
      </c>
      <c r="R42" s="1481">
        <f t="shared" ref="R42:R43" si="27">P42+Q42</f>
        <v>2308020.4000000004</v>
      </c>
      <c r="S42" s="1481">
        <f t="shared" ref="S42:S43" si="28">E42+R42</f>
        <v>2631476.9000000004</v>
      </c>
      <c r="T42" s="1372" t="s">
        <v>555</v>
      </c>
      <c r="U42" s="224"/>
      <c r="V42" s="709"/>
      <c r="W42" s="709"/>
      <c r="X42" s="709"/>
    </row>
    <row r="43" spans="1:24" ht="9.9499999999999993" customHeight="1">
      <c r="A43" s="354" t="s">
        <v>563</v>
      </c>
      <c r="B43" s="250">
        <v>342252.79999999999</v>
      </c>
      <c r="C43" s="454">
        <v>-368.3</v>
      </c>
      <c r="D43" s="454">
        <v>-6013.6</v>
      </c>
      <c r="E43" s="1481">
        <f>B43+C43+D43</f>
        <v>335870.9</v>
      </c>
      <c r="F43" s="454">
        <v>563207.80000000005</v>
      </c>
      <c r="G43" s="454">
        <v>9500.4</v>
      </c>
      <c r="H43" s="454">
        <v>334177.3</v>
      </c>
      <c r="I43" s="1481">
        <f t="shared" si="10"/>
        <v>906885.5</v>
      </c>
      <c r="J43" s="454">
        <v>36809.699999999997</v>
      </c>
      <c r="K43" s="454">
        <v>38.700000000000003</v>
      </c>
      <c r="L43" s="1481">
        <f t="shared" si="11"/>
        <v>36848.399999999994</v>
      </c>
      <c r="M43" s="454">
        <v>1752534.8</v>
      </c>
      <c r="N43" s="454">
        <v>106489.2</v>
      </c>
      <c r="O43" s="1481">
        <f t="shared" si="20"/>
        <v>1859024</v>
      </c>
      <c r="P43" s="1481">
        <f t="shared" si="26"/>
        <v>2802757.9</v>
      </c>
      <c r="Q43" s="454">
        <v>-509208.8</v>
      </c>
      <c r="R43" s="1481">
        <f t="shared" si="27"/>
        <v>2293549.1</v>
      </c>
      <c r="S43" s="1481">
        <f t="shared" si="28"/>
        <v>2629420</v>
      </c>
      <c r="T43" s="1409" t="s">
        <v>563</v>
      </c>
      <c r="U43" s="709"/>
      <c r="V43" s="709"/>
      <c r="W43" s="709"/>
      <c r="X43" s="709"/>
    </row>
    <row r="44" spans="1:24" ht="9.9499999999999993" customHeight="1">
      <c r="A44" s="1505" t="s">
        <v>564</v>
      </c>
      <c r="B44" s="1625">
        <v>354875.4</v>
      </c>
      <c r="C44" s="1626">
        <v>-307</v>
      </c>
      <c r="D44" s="1626">
        <v>-5916.4</v>
      </c>
      <c r="E44" s="1481">
        <f t="shared" si="9"/>
        <v>348652</v>
      </c>
      <c r="F44" s="1626">
        <v>579532.1</v>
      </c>
      <c r="G44" s="1626">
        <v>9420.4</v>
      </c>
      <c r="H44" s="1626">
        <v>333012.59999999998</v>
      </c>
      <c r="I44" s="1481">
        <f t="shared" si="10"/>
        <v>921965.1</v>
      </c>
      <c r="J44" s="1626">
        <v>36931.300000000003</v>
      </c>
      <c r="K44" s="1626">
        <v>38.5</v>
      </c>
      <c r="L44" s="1481">
        <f t="shared" si="11"/>
        <v>36969.800000000003</v>
      </c>
      <c r="M44" s="1626">
        <v>1757406.8</v>
      </c>
      <c r="N44" s="1626">
        <v>106458.9</v>
      </c>
      <c r="O44" s="1626">
        <f t="shared" si="20"/>
        <v>1863865.7</v>
      </c>
      <c r="P44" s="1481">
        <f t="shared" si="26"/>
        <v>2822800.6</v>
      </c>
      <c r="Q44" s="1626">
        <v>-511541.8</v>
      </c>
      <c r="R44" s="1481">
        <f t="shared" ref="R44" si="29">P44+Q44</f>
        <v>2311258.8000000003</v>
      </c>
      <c r="S44" s="1481">
        <f t="shared" ref="S44:S48" si="30">E44+R44</f>
        <v>2659910.8000000003</v>
      </c>
      <c r="T44" s="1627" t="s">
        <v>564</v>
      </c>
      <c r="U44" s="164"/>
      <c r="V44" s="709"/>
      <c r="W44" s="709"/>
      <c r="X44" s="709"/>
    </row>
    <row r="45" spans="1:24" ht="9.9499999999999993" customHeight="1">
      <c r="A45" s="354" t="s">
        <v>556</v>
      </c>
      <c r="B45" s="250">
        <v>368028.6</v>
      </c>
      <c r="C45" s="454">
        <v>-309.10000000000002</v>
      </c>
      <c r="D45" s="454">
        <v>-5856.5</v>
      </c>
      <c r="E45" s="454">
        <f t="shared" si="9"/>
        <v>361863</v>
      </c>
      <c r="F45" s="454">
        <v>617230.69999999995</v>
      </c>
      <c r="G45" s="454">
        <v>8568.9</v>
      </c>
      <c r="H45" s="454">
        <v>330877.40000000002</v>
      </c>
      <c r="I45" s="454">
        <f t="shared" si="10"/>
        <v>956677</v>
      </c>
      <c r="J45" s="454">
        <v>34529.5</v>
      </c>
      <c r="K45" s="454">
        <v>36.5</v>
      </c>
      <c r="L45" s="454">
        <f t="shared" si="11"/>
        <v>34566</v>
      </c>
      <c r="M45" s="454">
        <v>1772566.6</v>
      </c>
      <c r="N45" s="454">
        <v>106825.3</v>
      </c>
      <c r="O45" s="454">
        <f t="shared" ref="O45:O46" si="31">M45+N45</f>
        <v>1879391.9000000001</v>
      </c>
      <c r="P45" s="454">
        <f>I45+L45+O45</f>
        <v>2870634.9000000004</v>
      </c>
      <c r="Q45" s="454">
        <v>-520523.3</v>
      </c>
      <c r="R45" s="454">
        <f>P45+Q45</f>
        <v>2350111.6000000006</v>
      </c>
      <c r="S45" s="1481">
        <f t="shared" si="30"/>
        <v>2711974.6000000006</v>
      </c>
      <c r="T45" s="1409" t="s">
        <v>556</v>
      </c>
      <c r="V45" s="709"/>
    </row>
    <row r="46" spans="1:24" ht="12" customHeight="1">
      <c r="A46" s="1647" t="s">
        <v>565</v>
      </c>
      <c r="B46" s="211">
        <v>364811.5</v>
      </c>
      <c r="C46" s="438">
        <v>-310.89999999999998</v>
      </c>
      <c r="D46" s="438">
        <v>-5767.8</v>
      </c>
      <c r="E46" s="438">
        <f t="shared" si="9"/>
        <v>358732.79999999999</v>
      </c>
      <c r="F46" s="438">
        <v>596360.1</v>
      </c>
      <c r="G46" s="438">
        <v>9274.2999999999993</v>
      </c>
      <c r="H46" s="438">
        <v>333138</v>
      </c>
      <c r="I46" s="438">
        <f t="shared" si="10"/>
        <v>938772.4</v>
      </c>
      <c r="J46" s="438">
        <v>34270.699999999997</v>
      </c>
      <c r="K46" s="438">
        <v>36.5</v>
      </c>
      <c r="L46" s="438">
        <f t="shared" si="11"/>
        <v>34307.199999999997</v>
      </c>
      <c r="M46" s="438">
        <v>1775140.3</v>
      </c>
      <c r="N46" s="438">
        <v>106773</v>
      </c>
      <c r="O46" s="438">
        <f t="shared" si="31"/>
        <v>1881913.3</v>
      </c>
      <c r="P46" s="438">
        <f>I46+L46+O46</f>
        <v>2854992.9</v>
      </c>
      <c r="Q46" s="438">
        <v>-496751.9</v>
      </c>
      <c r="R46" s="438">
        <f>P46+Q46</f>
        <v>2358241</v>
      </c>
      <c r="S46" s="1481">
        <f t="shared" si="30"/>
        <v>2716973.8</v>
      </c>
      <c r="T46" s="1372" t="s">
        <v>565</v>
      </c>
    </row>
    <row r="47" spans="1:24" ht="9.75" customHeight="1">
      <c r="A47" s="354" t="s">
        <v>566</v>
      </c>
      <c r="B47" s="250">
        <v>363817.8</v>
      </c>
      <c r="C47" s="454">
        <v>-312.8</v>
      </c>
      <c r="D47" s="454">
        <v>-5750.3</v>
      </c>
      <c r="E47" s="454">
        <f t="shared" si="9"/>
        <v>357754.7</v>
      </c>
      <c r="F47" s="454">
        <v>586012</v>
      </c>
      <c r="G47" s="454">
        <v>9041.4</v>
      </c>
      <c r="H47" s="454">
        <v>334372.5</v>
      </c>
      <c r="I47" s="454">
        <f t="shared" si="10"/>
        <v>929425.9</v>
      </c>
      <c r="J47" s="454">
        <v>32197.200000000001</v>
      </c>
      <c r="K47" s="454">
        <v>36.700000000000003</v>
      </c>
      <c r="L47" s="454">
        <f t="shared" si="11"/>
        <v>32233.9</v>
      </c>
      <c r="M47" s="454">
        <v>1796665.3</v>
      </c>
      <c r="N47" s="454">
        <v>107118.2</v>
      </c>
      <c r="O47" s="454">
        <f>M47+N47</f>
        <v>1903783.5</v>
      </c>
      <c r="P47" s="454">
        <f>I47+L47+O47</f>
        <v>2865443.3</v>
      </c>
      <c r="Q47" s="454">
        <v>-452175.1</v>
      </c>
      <c r="R47" s="454">
        <f>P47+Q47</f>
        <v>2413268.1999999997</v>
      </c>
      <c r="S47" s="454">
        <f t="shared" si="30"/>
        <v>2771022.9</v>
      </c>
      <c r="T47" s="1409" t="s">
        <v>566</v>
      </c>
    </row>
    <row r="48" spans="1:24">
      <c r="A48" s="1886" t="s">
        <v>557</v>
      </c>
      <c r="B48" s="211">
        <v>382043.1</v>
      </c>
      <c r="C48" s="438">
        <v>-284.5</v>
      </c>
      <c r="D48" s="438">
        <v>-5684.7</v>
      </c>
      <c r="E48" s="438">
        <f t="shared" si="9"/>
        <v>376073.89999999997</v>
      </c>
      <c r="F48" s="438">
        <v>656658.80000000005</v>
      </c>
      <c r="G48" s="438">
        <v>8750.1</v>
      </c>
      <c r="H48" s="438">
        <v>334003.90000000002</v>
      </c>
      <c r="I48" s="438">
        <f t="shared" si="10"/>
        <v>999412.8</v>
      </c>
      <c r="J48" s="438">
        <v>31607.1</v>
      </c>
      <c r="K48" s="438">
        <v>36.9</v>
      </c>
      <c r="L48" s="438">
        <f t="shared" si="11"/>
        <v>31644</v>
      </c>
      <c r="M48" s="438">
        <v>1806271.5</v>
      </c>
      <c r="N48" s="438">
        <v>106867</v>
      </c>
      <c r="O48" s="438">
        <f>M48+N48</f>
        <v>1913138.5</v>
      </c>
      <c r="P48" s="438">
        <f>I48+L48+O48</f>
        <v>2944195.3</v>
      </c>
      <c r="Q48" s="438">
        <v>-524680.6</v>
      </c>
      <c r="R48" s="438">
        <f>P48+Q48</f>
        <v>2419514.6999999997</v>
      </c>
      <c r="S48" s="438">
        <f t="shared" si="30"/>
        <v>2795588.5999999996</v>
      </c>
      <c r="T48" s="1372" t="s">
        <v>557</v>
      </c>
      <c r="U48" s="164"/>
    </row>
    <row r="49" spans="1:20">
      <c r="A49" s="1887" t="s">
        <v>2929</v>
      </c>
      <c r="B49" s="250"/>
      <c r="C49" s="438"/>
      <c r="D49" s="438"/>
      <c r="E49" s="438"/>
      <c r="F49" s="438"/>
      <c r="G49" s="438"/>
      <c r="H49" s="438"/>
      <c r="I49" s="438"/>
      <c r="J49" s="438"/>
      <c r="K49" s="438"/>
      <c r="L49" s="438"/>
      <c r="M49" s="438"/>
      <c r="N49" s="438"/>
      <c r="O49" s="438"/>
      <c r="P49" s="438"/>
      <c r="Q49" s="438"/>
      <c r="R49" s="438"/>
      <c r="S49" s="438"/>
      <c r="T49" s="318" t="s">
        <v>2929</v>
      </c>
    </row>
    <row r="50" spans="1:20" ht="12" thickBot="1">
      <c r="A50" s="958" t="s">
        <v>559</v>
      </c>
      <c r="B50" s="1676">
        <v>378651.2</v>
      </c>
      <c r="C50" s="1677">
        <v>-286.60000000000002</v>
      </c>
      <c r="D50" s="1677">
        <v>-5705</v>
      </c>
      <c r="E50" s="1677">
        <f t="shared" si="9"/>
        <v>372659.60000000003</v>
      </c>
      <c r="F50" s="1677">
        <v>671993.1</v>
      </c>
      <c r="G50" s="1677">
        <v>8464</v>
      </c>
      <c r="H50" s="1677">
        <v>336063.4</v>
      </c>
      <c r="I50" s="1677">
        <f t="shared" si="10"/>
        <v>1016520.5</v>
      </c>
      <c r="J50" s="1677">
        <v>32125.4</v>
      </c>
      <c r="K50" s="1677">
        <v>37</v>
      </c>
      <c r="L50" s="1677">
        <f t="shared" si="11"/>
        <v>32162.400000000001</v>
      </c>
      <c r="M50" s="1677">
        <v>1803264.9</v>
      </c>
      <c r="N50" s="1677">
        <v>107072.4</v>
      </c>
      <c r="O50" s="1677">
        <f>M50+N50</f>
        <v>1910337.2999999998</v>
      </c>
      <c r="P50" s="1677">
        <f>I50+L50+O50</f>
        <v>2959020.1999999997</v>
      </c>
      <c r="Q50" s="1677">
        <v>-527153.19999999995</v>
      </c>
      <c r="R50" s="1677">
        <f>P50+Q50</f>
        <v>2431867</v>
      </c>
      <c r="S50" s="1677">
        <f t="shared" ref="S50" si="32">E50+R50</f>
        <v>2804526.6</v>
      </c>
      <c r="T50" s="1433" t="s">
        <v>559</v>
      </c>
    </row>
    <row r="51" spans="1:20">
      <c r="A51" s="178" t="s">
        <v>1332</v>
      </c>
      <c r="B51" s="2192" t="s">
        <v>1208</v>
      </c>
      <c r="C51" s="2192"/>
      <c r="D51" s="2192"/>
      <c r="E51" s="2192"/>
      <c r="F51" s="2192"/>
      <c r="G51" s="236"/>
      <c r="H51" s="1054" t="s">
        <v>1296</v>
      </c>
      <c r="I51" s="696"/>
      <c r="J51" s="727"/>
      <c r="K51" s="727"/>
      <c r="L51" s="727"/>
      <c r="M51" s="177" t="s">
        <v>211</v>
      </c>
      <c r="N51" s="2196" t="s">
        <v>1323</v>
      </c>
      <c r="O51" s="2196"/>
      <c r="P51" s="2196"/>
      <c r="Q51" s="2196"/>
      <c r="R51" s="2196"/>
      <c r="S51" s="2196"/>
      <c r="T51" s="2196"/>
    </row>
    <row r="52" spans="1:20">
      <c r="B52" s="709"/>
      <c r="C52" s="709"/>
      <c r="D52" s="930"/>
      <c r="E52" s="727"/>
      <c r="F52" s="1399"/>
      <c r="G52" s="475"/>
      <c r="H52" s="1165"/>
      <c r="I52" s="990"/>
      <c r="J52" s="991"/>
      <c r="K52" s="991"/>
      <c r="L52" s="991"/>
      <c r="M52" s="468"/>
      <c r="N52" s="2150" t="s">
        <v>1362</v>
      </c>
      <c r="O52" s="2150"/>
      <c r="P52" s="2150"/>
      <c r="Q52" s="2150"/>
      <c r="R52" s="2150"/>
      <c r="S52" s="2150"/>
      <c r="T52" s="2150"/>
    </row>
    <row r="53" spans="1:20">
      <c r="A53" s="709"/>
      <c r="D53" s="164"/>
      <c r="G53" s="164"/>
      <c r="J53" s="161"/>
      <c r="K53" s="164"/>
      <c r="L53" s="164"/>
      <c r="N53" s="1400" t="s">
        <v>1282</v>
      </c>
      <c r="O53" s="571"/>
      <c r="P53" s="571"/>
      <c r="Q53" s="236" t="s">
        <v>1281</v>
      </c>
      <c r="R53" s="571"/>
      <c r="S53" s="571"/>
      <c r="T53" s="941"/>
    </row>
    <row r="54" spans="1:20">
      <c r="A54" s="164"/>
      <c r="B54" s="164"/>
      <c r="D54" s="164"/>
      <c r="F54" s="164"/>
      <c r="G54" s="164"/>
      <c r="J54" s="161"/>
      <c r="L54" s="436"/>
      <c r="M54" s="178"/>
      <c r="N54" s="2192" t="s">
        <v>1208</v>
      </c>
      <c r="O54" s="2192"/>
      <c r="P54" s="2192"/>
      <c r="Q54" s="2192"/>
      <c r="R54" s="2192"/>
      <c r="S54" s="2192"/>
      <c r="T54" s="2192"/>
    </row>
    <row r="55" spans="1:20">
      <c r="B55" s="164"/>
      <c r="C55" s="164"/>
      <c r="D55" s="1089"/>
      <c r="E55" s="1090"/>
      <c r="F55" s="164"/>
      <c r="G55" s="164"/>
      <c r="I55" s="164"/>
      <c r="L55" s="436"/>
      <c r="M55" s="436"/>
      <c r="N55" s="709"/>
      <c r="O55" s="164"/>
      <c r="P55" s="164"/>
      <c r="Q55" s="164"/>
      <c r="R55" s="1164"/>
      <c r="S55" s="164"/>
      <c r="T55" s="709"/>
    </row>
    <row r="56" spans="1:20" ht="12.75">
      <c r="B56" s="164"/>
      <c r="C56" s="164"/>
      <c r="D56" s="1089"/>
      <c r="E56" s="943"/>
      <c r="F56" s="164"/>
      <c r="G56" s="164"/>
      <c r="I56" s="164"/>
      <c r="K56" s="436"/>
      <c r="L56" s="436"/>
      <c r="M56" s="436"/>
      <c r="N56" s="164"/>
      <c r="O56" s="164"/>
      <c r="P56" s="164"/>
      <c r="Q56" s="164"/>
      <c r="R56" s="1164"/>
      <c r="S56" s="164"/>
      <c r="T56" s="153"/>
    </row>
    <row r="57" spans="1:20">
      <c r="B57" s="164"/>
      <c r="C57" s="164"/>
      <c r="D57" s="164"/>
      <c r="E57" s="164"/>
      <c r="F57" s="164"/>
      <c r="G57" s="164"/>
      <c r="H57" s="164"/>
      <c r="I57" s="164"/>
      <c r="J57" s="164"/>
      <c r="K57" s="436"/>
      <c r="L57" s="164"/>
      <c r="M57" s="436"/>
      <c r="N57" s="164"/>
      <c r="P57" s="164"/>
      <c r="Q57" s="164"/>
      <c r="R57" s="164"/>
      <c r="S57" s="164"/>
      <c r="T57" s="710"/>
    </row>
    <row r="58" spans="1:20">
      <c r="A58" s="1164"/>
      <c r="B58" s="164"/>
      <c r="C58" s="164"/>
      <c r="D58" s="164"/>
      <c r="E58" s="164"/>
      <c r="F58" s="164"/>
      <c r="G58" s="164"/>
      <c r="H58" s="164"/>
      <c r="I58" s="164"/>
      <c r="J58" s="164"/>
      <c r="K58" s="164"/>
      <c r="L58" s="164"/>
      <c r="M58" s="436"/>
      <c r="N58" s="436"/>
      <c r="O58" s="164"/>
      <c r="P58" s="164"/>
      <c r="Q58" s="164"/>
      <c r="R58" s="164"/>
      <c r="S58" s="164"/>
      <c r="T58" s="164"/>
    </row>
    <row r="59" spans="1:20"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4"/>
      <c r="R59" s="164"/>
      <c r="S59" s="164"/>
    </row>
    <row r="60" spans="1:20">
      <c r="B60" s="164"/>
      <c r="C60" s="164"/>
      <c r="D60" s="164"/>
      <c r="E60" s="164"/>
      <c r="F60" s="164"/>
      <c r="G60" s="164"/>
      <c r="H60" s="164"/>
      <c r="I60" s="164"/>
      <c r="J60" s="164"/>
      <c r="K60" s="164"/>
      <c r="L60" s="164"/>
      <c r="M60" s="164"/>
      <c r="N60" s="164"/>
      <c r="O60" s="164"/>
      <c r="P60" s="164"/>
      <c r="Q60" s="164"/>
      <c r="R60" s="164"/>
      <c r="S60" s="164"/>
    </row>
    <row r="61" spans="1:20">
      <c r="B61" s="164"/>
      <c r="C61" s="164"/>
      <c r="D61" s="164"/>
      <c r="E61" s="164"/>
      <c r="F61" s="164"/>
      <c r="G61" s="164"/>
      <c r="H61" s="164"/>
      <c r="I61" s="164"/>
      <c r="J61" s="164"/>
      <c r="K61" s="164"/>
      <c r="L61" s="164"/>
      <c r="M61" s="164"/>
      <c r="N61" s="164"/>
      <c r="O61" s="164"/>
      <c r="P61" s="164"/>
      <c r="Q61" s="164"/>
      <c r="R61" s="164"/>
      <c r="S61" s="164"/>
    </row>
    <row r="62" spans="1:20">
      <c r="B62" s="164"/>
      <c r="C62" s="164"/>
      <c r="D62" s="164"/>
      <c r="E62" s="164"/>
      <c r="F62" s="164"/>
      <c r="G62" s="164"/>
      <c r="H62" s="164"/>
      <c r="I62" s="164"/>
      <c r="J62" s="164"/>
      <c r="K62" s="164"/>
      <c r="L62" s="164"/>
      <c r="M62" s="164"/>
      <c r="N62" s="164"/>
      <c r="O62" s="164"/>
      <c r="P62" s="164"/>
      <c r="Q62" s="164"/>
      <c r="R62" s="164"/>
      <c r="S62" s="164"/>
    </row>
    <row r="63" spans="1:20">
      <c r="B63" s="164"/>
      <c r="C63" s="164"/>
      <c r="D63" s="164"/>
      <c r="E63" s="164"/>
      <c r="F63" s="164"/>
      <c r="G63" s="164"/>
      <c r="H63" s="164"/>
      <c r="I63" s="164"/>
      <c r="J63" s="164"/>
      <c r="K63" s="164"/>
      <c r="L63" s="164"/>
      <c r="M63" s="164"/>
      <c r="N63" s="164"/>
      <c r="O63" s="164"/>
      <c r="P63" s="164"/>
      <c r="Q63" s="164"/>
      <c r="R63" s="164"/>
      <c r="S63" s="164"/>
    </row>
    <row r="64" spans="1:20">
      <c r="F64" s="164"/>
      <c r="G64" s="164"/>
      <c r="H64" s="164"/>
      <c r="I64" s="164"/>
      <c r="J64" s="164"/>
      <c r="K64" s="164"/>
      <c r="L64" s="164"/>
      <c r="M64" s="164"/>
      <c r="N64" s="164"/>
      <c r="O64" s="164"/>
      <c r="P64" s="164"/>
      <c r="Q64" s="164"/>
      <c r="R64" s="164"/>
      <c r="S64" s="164"/>
    </row>
    <row r="65" spans="6:20">
      <c r="F65" s="164"/>
      <c r="G65" s="164"/>
      <c r="H65" s="164"/>
      <c r="I65" s="164"/>
      <c r="J65" s="164"/>
      <c r="K65" s="164"/>
      <c r="L65" s="164"/>
      <c r="M65" s="164"/>
      <c r="N65" s="164"/>
      <c r="O65" s="164"/>
      <c r="P65" s="164"/>
      <c r="Q65" s="164"/>
      <c r="R65" s="164"/>
      <c r="S65" s="164"/>
    </row>
    <row r="66" spans="6:20">
      <c r="M66" s="164"/>
      <c r="N66" s="164"/>
    </row>
    <row r="67" spans="6:20">
      <c r="N67" s="164"/>
    </row>
    <row r="68" spans="6:20">
      <c r="F68" s="164"/>
      <c r="G68" s="164"/>
      <c r="H68" s="164"/>
      <c r="I68" s="164"/>
      <c r="J68" s="164"/>
      <c r="K68" s="164"/>
      <c r="L68" s="164"/>
      <c r="M68" s="164"/>
      <c r="N68" s="164"/>
      <c r="O68" s="164"/>
      <c r="P68" s="164"/>
      <c r="Q68" s="164"/>
      <c r="R68" s="164"/>
      <c r="S68" s="164"/>
      <c r="T68" s="164"/>
    </row>
    <row r="69" spans="6:20"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4"/>
      <c r="Q69" s="164"/>
      <c r="R69" s="164"/>
      <c r="S69" s="164"/>
      <c r="T69" s="164"/>
    </row>
    <row r="70" spans="6:20">
      <c r="F70" s="164"/>
      <c r="G70" s="164"/>
      <c r="H70" s="164"/>
      <c r="I70" s="164"/>
      <c r="J70" s="164"/>
      <c r="K70" s="164"/>
      <c r="L70" s="164"/>
      <c r="M70" s="164"/>
      <c r="N70" s="164"/>
      <c r="O70" s="164"/>
      <c r="P70" s="164"/>
      <c r="Q70" s="164"/>
      <c r="R70" s="164"/>
      <c r="S70" s="164"/>
      <c r="T70" s="164"/>
    </row>
    <row r="71" spans="6:20">
      <c r="F71" s="164"/>
      <c r="G71" s="164"/>
      <c r="H71" s="164"/>
      <c r="I71" s="164"/>
      <c r="J71" s="164"/>
      <c r="K71" s="164"/>
      <c r="L71" s="164"/>
      <c r="M71" s="164"/>
      <c r="N71" s="164"/>
      <c r="O71" s="164"/>
      <c r="P71" s="164"/>
      <c r="Q71" s="164"/>
      <c r="R71" s="164"/>
      <c r="S71" s="164"/>
      <c r="T71" s="164"/>
    </row>
    <row r="72" spans="6:20">
      <c r="F72" s="164"/>
      <c r="G72" s="164"/>
      <c r="H72" s="164"/>
      <c r="I72" s="164"/>
      <c r="J72" s="164"/>
      <c r="K72" s="164"/>
      <c r="L72" s="164"/>
      <c r="M72" s="164"/>
      <c r="N72" s="164"/>
      <c r="O72" s="164"/>
      <c r="P72" s="164"/>
      <c r="Q72" s="164"/>
      <c r="R72" s="164"/>
      <c r="S72" s="164"/>
      <c r="T72" s="164"/>
    </row>
    <row r="73" spans="6:20">
      <c r="F73" s="164"/>
      <c r="G73" s="164"/>
      <c r="H73" s="164"/>
      <c r="I73" s="164"/>
      <c r="J73" s="164"/>
      <c r="K73" s="164"/>
      <c r="L73" s="164"/>
      <c r="M73" s="164"/>
      <c r="N73" s="164"/>
      <c r="O73" s="164"/>
      <c r="P73" s="164"/>
      <c r="Q73" s="164"/>
      <c r="R73" s="164"/>
      <c r="S73" s="164"/>
      <c r="T73" s="164"/>
    </row>
    <row r="74" spans="6:20">
      <c r="F74" s="164"/>
      <c r="G74" s="164"/>
      <c r="H74" s="164"/>
      <c r="I74" s="164"/>
      <c r="J74" s="164"/>
      <c r="K74" s="164"/>
      <c r="L74" s="164"/>
      <c r="M74" s="164"/>
      <c r="N74" s="164"/>
      <c r="O74" s="164"/>
      <c r="P74" s="164"/>
      <c r="Q74" s="164"/>
      <c r="R74" s="164"/>
      <c r="S74" s="164"/>
      <c r="T74" s="164"/>
    </row>
    <row r="75" spans="6:20">
      <c r="F75" s="164"/>
      <c r="G75" s="164"/>
      <c r="H75" s="164"/>
      <c r="I75" s="164"/>
      <c r="J75" s="164"/>
      <c r="K75" s="164"/>
      <c r="L75" s="164"/>
      <c r="M75" s="164"/>
      <c r="N75" s="164"/>
      <c r="O75" s="164"/>
      <c r="P75" s="164"/>
      <c r="Q75" s="164"/>
      <c r="R75" s="164"/>
      <c r="S75" s="164"/>
      <c r="T75" s="164"/>
    </row>
    <row r="76" spans="6:20">
      <c r="F76" s="164"/>
      <c r="G76" s="164"/>
      <c r="H76" s="164"/>
      <c r="I76" s="164"/>
      <c r="J76" s="164"/>
      <c r="K76" s="164"/>
      <c r="L76" s="164"/>
      <c r="M76" s="164"/>
      <c r="N76" s="164"/>
      <c r="O76" s="164"/>
      <c r="P76" s="164"/>
      <c r="Q76" s="164"/>
      <c r="R76" s="164"/>
      <c r="S76" s="164"/>
      <c r="T76" s="164"/>
    </row>
    <row r="77" spans="6:20">
      <c r="F77" s="164"/>
      <c r="G77" s="164"/>
      <c r="H77" s="164"/>
      <c r="I77" s="164"/>
      <c r="J77" s="164"/>
      <c r="K77" s="164"/>
      <c r="L77" s="164"/>
      <c r="M77" s="164"/>
      <c r="N77" s="164"/>
      <c r="O77" s="164"/>
      <c r="P77" s="164"/>
      <c r="Q77" s="164"/>
      <c r="R77" s="164"/>
      <c r="S77" s="164"/>
      <c r="T77" s="164"/>
    </row>
    <row r="78" spans="6:20">
      <c r="F78" s="164"/>
      <c r="G78" s="164"/>
      <c r="H78" s="164"/>
      <c r="I78" s="164"/>
      <c r="J78" s="164"/>
      <c r="K78" s="164"/>
      <c r="L78" s="164"/>
      <c r="M78" s="164"/>
      <c r="N78" s="164"/>
      <c r="O78" s="164"/>
      <c r="P78" s="164"/>
      <c r="Q78" s="164"/>
      <c r="R78" s="164"/>
      <c r="S78" s="164"/>
      <c r="T78" s="164"/>
    </row>
  </sheetData>
  <customSheetViews>
    <customSheetView guid="{A374FC54-96E3-45F0-9C12-8450400C12DF}" scale="180">
      <pane xSplit="1" ySplit="7" topLeftCell="P42" activePane="bottomRight" state="frozen"/>
      <selection pane="bottomRight" activeCell="S46" sqref="S46:S48"/>
      <pageMargins left="0.55118110236220497" right="0.47244094488188998" top="0.511811023622047" bottom="0.511811023622047" header="0" footer="0.39370078740157499"/>
      <pageSetup paperSize="132" firstPageNumber="18" orientation="portrait" useFirstPageNumber="1" r:id="rId1"/>
      <headerFooter alignWithMargins="0">
        <oddFooter>&amp;C&amp;"Times New Roman,Regular"&amp;8&amp;P</oddFooter>
      </headerFooter>
    </customSheetView>
  </customSheetViews>
  <mergeCells count="28">
    <mergeCell ref="R1:T1"/>
    <mergeCell ref="N54:T54"/>
    <mergeCell ref="C4:C6"/>
    <mergeCell ref="B4:B6"/>
    <mergeCell ref="M4:O4"/>
    <mergeCell ref="S3:S6"/>
    <mergeCell ref="S2:T2"/>
    <mergeCell ref="Q3:Q6"/>
    <mergeCell ref="M3:O3"/>
    <mergeCell ref="B51:F51"/>
    <mergeCell ref="N51:T51"/>
    <mergeCell ref="M5:M6"/>
    <mergeCell ref="N5:N6"/>
    <mergeCell ref="N52:T52"/>
    <mergeCell ref="H1:J1"/>
    <mergeCell ref="K1:N1"/>
    <mergeCell ref="T3:T7"/>
    <mergeCell ref="P4:P6"/>
    <mergeCell ref="O5:O6"/>
    <mergeCell ref="R3:R6"/>
    <mergeCell ref="A3:A7"/>
    <mergeCell ref="E4:E6"/>
    <mergeCell ref="F5:I5"/>
    <mergeCell ref="B3:E3"/>
    <mergeCell ref="F4:L4"/>
    <mergeCell ref="D4:D6"/>
    <mergeCell ref="J5:L5"/>
    <mergeCell ref="F3:L3"/>
  </mergeCells>
  <phoneticPr fontId="0" type="noConversion"/>
  <conditionalFormatting sqref="T34:T35 C51:D51 B36:S36 B8:T12 T8:T16 A8:A16 B8:S23 T41:T48 C8:S50">
    <cfRule type="expression" dxfId="2" priority="90" stopIfTrue="1">
      <formula>MOD(ROW(),2)=1</formula>
    </cfRule>
  </conditionalFormatting>
  <conditionalFormatting sqref="T13:T16 A13:A16">
    <cfRule type="expression" dxfId="1" priority="84" stopIfTrue="1">
      <formula>MOD(ROW(),2)=1</formula>
    </cfRule>
    <cfRule type="expression" priority="85" stopIfTrue="1">
      <formula>MOD(ROW(),2)=1</formula>
    </cfRule>
  </conditionalFormatting>
  <conditionalFormatting sqref="T14:T16 A14:A16">
    <cfRule type="expression" priority="81" stopIfTrue="1">
      <formula>MOD(row,0)=0</formula>
    </cfRule>
  </conditionalFormatting>
  <conditionalFormatting sqref="T14:T15 A14:A16">
    <cfRule type="expression" priority="76" stopIfTrue="1">
      <formula>MOD((((#REF!))),0)=0</formula>
    </cfRule>
  </conditionalFormatting>
  <conditionalFormatting sqref="T16">
    <cfRule type="expression" priority="30" stopIfTrue="1">
      <formula>MOD((((#REF!))),0)=0</formula>
    </cfRule>
  </conditionalFormatting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1"/>
  <dimension ref="A1:O79"/>
  <sheetViews>
    <sheetView zoomScale="130" zoomScaleNormal="130" workbookViewId="0">
      <pane xSplit="1" ySplit="5" topLeftCell="B15" activePane="bottomRight" state="frozen"/>
      <selection activeCell="Q6" sqref="Q6"/>
      <selection pane="topRight" activeCell="Q6" sqref="Q6"/>
      <selection pane="bottomLeft" activeCell="Q6" sqref="Q6"/>
      <selection pane="bottomRight" activeCell="K33" sqref="K33"/>
    </sheetView>
  </sheetViews>
  <sheetFormatPr defaultColWidth="9.140625" defaultRowHeight="12.75"/>
  <cols>
    <col min="1" max="1" width="8.85546875" style="393" customWidth="1"/>
    <col min="2" max="2" width="12.85546875" style="393" customWidth="1"/>
    <col min="3" max="3" width="13.5703125" style="393" customWidth="1"/>
    <col min="4" max="4" width="13" style="393" customWidth="1"/>
    <col min="5" max="5" width="14" style="393" customWidth="1"/>
    <col min="6" max="6" width="14.5703125" style="393" customWidth="1"/>
    <col min="7" max="7" width="15.28515625" style="393" customWidth="1"/>
    <col min="8" max="8" width="14.85546875" style="393" customWidth="1"/>
    <col min="9" max="9" width="15.85546875" style="393" customWidth="1"/>
    <col min="10" max="10" width="16" style="393" customWidth="1"/>
    <col min="11" max="11" width="15.28515625" style="393" customWidth="1"/>
    <col min="12" max="13" width="9.140625" style="393"/>
    <col min="14" max="14" width="10.42578125" style="393" customWidth="1"/>
    <col min="15" max="19" width="9.140625" style="393"/>
    <col min="20" max="20" width="10.140625" style="393" customWidth="1"/>
    <col min="21" max="16384" width="9.140625" style="393"/>
  </cols>
  <sheetData>
    <row r="1" spans="1:14" s="155" customFormat="1" ht="15" customHeight="1">
      <c r="B1" s="469"/>
      <c r="C1" s="469"/>
      <c r="D1" s="2159" t="s">
        <v>784</v>
      </c>
      <c r="E1" s="2159"/>
      <c r="F1" s="2159"/>
      <c r="G1" s="2163" t="s">
        <v>432</v>
      </c>
      <c r="H1" s="2163"/>
      <c r="I1" s="2163"/>
      <c r="J1" s="469"/>
      <c r="K1" s="1076" t="s">
        <v>212</v>
      </c>
    </row>
    <row r="2" spans="1:14" s="158" customFormat="1" ht="11.25" customHeight="1">
      <c r="F2" s="936"/>
      <c r="K2" s="1077" t="s">
        <v>24</v>
      </c>
    </row>
    <row r="3" spans="1:14" s="158" customFormat="1" ht="11.25" customHeight="1">
      <c r="A3" s="2034" t="s">
        <v>927</v>
      </c>
      <c r="B3" s="2199" t="s">
        <v>484</v>
      </c>
      <c r="C3" s="2202" t="s">
        <v>1168</v>
      </c>
      <c r="D3" s="2074" t="s">
        <v>801</v>
      </c>
      <c r="E3" s="2200"/>
      <c r="F3" s="2201"/>
      <c r="G3" s="2200" t="s">
        <v>150</v>
      </c>
      <c r="H3" s="2200"/>
      <c r="I3" s="2201"/>
      <c r="J3" s="2199" t="s">
        <v>752</v>
      </c>
      <c r="K3" s="2199" t="s">
        <v>879</v>
      </c>
    </row>
    <row r="4" spans="1:14" s="158" customFormat="1" ht="11.25" customHeight="1">
      <c r="A4" s="2034"/>
      <c r="B4" s="2018"/>
      <c r="C4" s="2018"/>
      <c r="D4" s="1074" t="s">
        <v>382</v>
      </c>
      <c r="E4" s="1074" t="s">
        <v>478</v>
      </c>
      <c r="F4" s="1074" t="s">
        <v>385</v>
      </c>
      <c r="G4" s="1074" t="s">
        <v>382</v>
      </c>
      <c r="H4" s="1074" t="s">
        <v>478</v>
      </c>
      <c r="I4" s="1075" t="s">
        <v>477</v>
      </c>
      <c r="J4" s="2018"/>
      <c r="K4" s="2018"/>
    </row>
    <row r="5" spans="1:14" s="471" customFormat="1" ht="16.5" customHeight="1">
      <c r="A5" s="2034"/>
      <c r="B5" s="296">
        <v>1</v>
      </c>
      <c r="C5" s="296">
        <v>2</v>
      </c>
      <c r="D5" s="470">
        <v>3</v>
      </c>
      <c r="E5" s="457">
        <v>4</v>
      </c>
      <c r="F5" s="470" t="s">
        <v>213</v>
      </c>
      <c r="G5" s="296">
        <v>6</v>
      </c>
      <c r="H5" s="296">
        <v>7</v>
      </c>
      <c r="I5" s="296" t="s">
        <v>216</v>
      </c>
      <c r="J5" s="457">
        <v>9</v>
      </c>
      <c r="K5" s="457" t="s">
        <v>214</v>
      </c>
    </row>
    <row r="6" spans="1:14" ht="11.85" customHeight="1">
      <c r="A6" s="273" t="s">
        <v>189</v>
      </c>
      <c r="B6" s="413">
        <v>137011.5</v>
      </c>
      <c r="C6" s="254">
        <v>9.4</v>
      </c>
      <c r="D6" s="413">
        <v>2162.1</v>
      </c>
      <c r="E6" s="254">
        <v>2320.9</v>
      </c>
      <c r="F6" s="254">
        <f t="shared" ref="F6" si="0">D6+E6</f>
        <v>4483</v>
      </c>
      <c r="G6" s="413">
        <v>14837.8</v>
      </c>
      <c r="H6" s="254">
        <v>273618.90000000002</v>
      </c>
      <c r="I6" s="254">
        <f t="shared" ref="I6" si="1">G6+H6</f>
        <v>288456.7</v>
      </c>
      <c r="J6" s="254">
        <v>83570.100000000006</v>
      </c>
      <c r="K6" s="254">
        <f t="shared" ref="K6" si="2">B6+C6+F6+I6+J6</f>
        <v>513530.69999999995</v>
      </c>
      <c r="M6" s="472"/>
    </row>
    <row r="7" spans="1:14" ht="11.85" customHeight="1">
      <c r="A7" s="1365" t="s">
        <v>701</v>
      </c>
      <c r="B7" s="416">
        <v>155823.70000000001</v>
      </c>
      <c r="C7" s="416">
        <v>5.8</v>
      </c>
      <c r="D7" s="416">
        <v>2533.9</v>
      </c>
      <c r="E7" s="416">
        <v>3231.1</v>
      </c>
      <c r="F7" s="416">
        <v>5765</v>
      </c>
      <c r="G7" s="416">
        <v>12790.5</v>
      </c>
      <c r="H7" s="416">
        <v>334233.59999999998</v>
      </c>
      <c r="I7" s="416">
        <v>347024.1</v>
      </c>
      <c r="J7" s="416">
        <v>92021.6</v>
      </c>
      <c r="K7" s="416">
        <v>600640.19999999995</v>
      </c>
      <c r="M7" s="472"/>
    </row>
    <row r="8" spans="1:14" s="313" customFormat="1" ht="11.85" customHeight="1">
      <c r="A8" s="354" t="s">
        <v>809</v>
      </c>
      <c r="B8" s="411">
        <v>174978.3</v>
      </c>
      <c r="C8" s="411">
        <v>2.2999999999999998</v>
      </c>
      <c r="D8" s="411">
        <v>3450</v>
      </c>
      <c r="E8" s="411">
        <v>5171.6000000000004</v>
      </c>
      <c r="F8" s="411">
        <v>8621.6</v>
      </c>
      <c r="G8" s="411">
        <v>5968.1</v>
      </c>
      <c r="H8" s="411">
        <v>371817.6</v>
      </c>
      <c r="I8" s="411">
        <v>377785.69999999995</v>
      </c>
      <c r="J8" s="411">
        <v>100452.9</v>
      </c>
      <c r="K8" s="411">
        <v>661840.79999999993</v>
      </c>
      <c r="M8" s="472"/>
    </row>
    <row r="9" spans="1:14" s="311" customFormat="1" ht="11.85" customHeight="1">
      <c r="A9" s="1365" t="s">
        <v>982</v>
      </c>
      <c r="B9" s="416">
        <v>194106.4</v>
      </c>
      <c r="C9" s="416">
        <v>0</v>
      </c>
      <c r="D9" s="416">
        <v>5184.7</v>
      </c>
      <c r="E9" s="416">
        <v>5839.1</v>
      </c>
      <c r="F9" s="416">
        <v>11023.8</v>
      </c>
      <c r="G9" s="416">
        <v>7468.8</v>
      </c>
      <c r="H9" s="416">
        <v>419702.1</v>
      </c>
      <c r="I9" s="416">
        <v>427170.89999999997</v>
      </c>
      <c r="J9" s="416">
        <v>112230.3</v>
      </c>
      <c r="K9" s="416">
        <v>744531.4</v>
      </c>
      <c r="L9" s="313"/>
      <c r="M9" s="472"/>
    </row>
    <row r="10" spans="1:14" s="311" customFormat="1" ht="11.85" customHeight="1">
      <c r="A10" s="354" t="s">
        <v>1033</v>
      </c>
      <c r="B10" s="411">
        <v>215482.2</v>
      </c>
      <c r="C10" s="411">
        <v>0</v>
      </c>
      <c r="D10" s="411">
        <v>5215.7</v>
      </c>
      <c r="E10" s="411">
        <v>7348.3</v>
      </c>
      <c r="F10" s="411">
        <v>12564</v>
      </c>
      <c r="G10" s="411">
        <v>11313.3</v>
      </c>
      <c r="H10" s="411">
        <v>475125.2</v>
      </c>
      <c r="I10" s="411">
        <v>486438.5</v>
      </c>
      <c r="J10" s="411">
        <v>124669.9</v>
      </c>
      <c r="K10" s="411">
        <v>839154.6</v>
      </c>
      <c r="M10" s="477"/>
    </row>
    <row r="11" spans="1:14" s="311" customFormat="1" ht="11.85" customHeight="1">
      <c r="A11" s="1365" t="s">
        <v>1154</v>
      </c>
      <c r="B11" s="416">
        <v>252862.6</v>
      </c>
      <c r="C11" s="416">
        <v>0</v>
      </c>
      <c r="D11" s="416">
        <v>6541.6</v>
      </c>
      <c r="E11" s="416">
        <v>9916</v>
      </c>
      <c r="F11" s="416">
        <v>16457.599999999999</v>
      </c>
      <c r="G11" s="416">
        <v>9139.7000000000007</v>
      </c>
      <c r="H11" s="416">
        <v>565645.19999999995</v>
      </c>
      <c r="I11" s="416">
        <v>574784.89999999991</v>
      </c>
      <c r="J11" s="416">
        <v>135861.70000000001</v>
      </c>
      <c r="K11" s="416">
        <v>979966.79999999981</v>
      </c>
      <c r="M11" s="477"/>
    </row>
    <row r="12" spans="1:14" s="311" customFormat="1" ht="11.85" customHeight="1">
      <c r="A12" s="354" t="s">
        <v>1178</v>
      </c>
      <c r="B12" s="411">
        <v>288377.59999999998</v>
      </c>
      <c r="C12" s="411">
        <v>0</v>
      </c>
      <c r="D12" s="411">
        <v>7732.4</v>
      </c>
      <c r="E12" s="411">
        <v>14235.7</v>
      </c>
      <c r="F12" s="411">
        <v>21968.1</v>
      </c>
      <c r="G12" s="411">
        <v>9154.4</v>
      </c>
      <c r="H12" s="411">
        <v>651090.5</v>
      </c>
      <c r="I12" s="411">
        <v>660244.9</v>
      </c>
      <c r="J12" s="411">
        <v>159057.29999999999</v>
      </c>
      <c r="K12" s="411">
        <v>1129647.8999999999</v>
      </c>
      <c r="M12" s="477"/>
    </row>
    <row r="13" spans="1:14" s="311" customFormat="1" ht="11.85" customHeight="1">
      <c r="A13" s="1365" t="s">
        <v>1298</v>
      </c>
      <c r="B13" s="416">
        <v>329523</v>
      </c>
      <c r="C13" s="416">
        <v>0</v>
      </c>
      <c r="D13" s="416">
        <v>1415.9</v>
      </c>
      <c r="E13" s="416">
        <v>20902.7</v>
      </c>
      <c r="F13" s="416">
        <v>22318.600000000002</v>
      </c>
      <c r="G13" s="416">
        <v>10709.7</v>
      </c>
      <c r="H13" s="416">
        <v>766225.4</v>
      </c>
      <c r="I13" s="416">
        <v>776935.1</v>
      </c>
      <c r="J13" s="416">
        <v>183088.4</v>
      </c>
      <c r="K13" s="416">
        <v>1311865.0999999999</v>
      </c>
      <c r="M13" s="477"/>
      <c r="N13" s="476"/>
    </row>
    <row r="14" spans="1:14" s="163" customFormat="1" ht="11.85" customHeight="1">
      <c r="A14" s="354" t="s">
        <v>1407</v>
      </c>
      <c r="B14" s="411">
        <v>398418.5</v>
      </c>
      <c r="C14" s="411">
        <v>0</v>
      </c>
      <c r="D14" s="411">
        <v>2252.4</v>
      </c>
      <c r="E14" s="411">
        <v>28546.6</v>
      </c>
      <c r="F14" s="411">
        <v>30799</v>
      </c>
      <c r="G14" s="411">
        <v>12577.7</v>
      </c>
      <c r="H14" s="411">
        <v>846542.1</v>
      </c>
      <c r="I14" s="411">
        <v>859119.79999999993</v>
      </c>
      <c r="J14" s="411">
        <v>203477.6</v>
      </c>
      <c r="K14" s="411">
        <v>1491814.9</v>
      </c>
    </row>
    <row r="15" spans="1:14" ht="11.85" customHeight="1">
      <c r="A15" s="1365" t="s">
        <v>1487</v>
      </c>
      <c r="B15" s="416">
        <v>483323.5</v>
      </c>
      <c r="C15" s="416">
        <v>0</v>
      </c>
      <c r="D15" s="416">
        <v>2519.4</v>
      </c>
      <c r="E15" s="416">
        <v>30302.1</v>
      </c>
      <c r="F15" s="416">
        <v>32821.5</v>
      </c>
      <c r="G15" s="416">
        <v>17966.599999999999</v>
      </c>
      <c r="H15" s="416">
        <v>922464.1</v>
      </c>
      <c r="I15" s="416">
        <v>940430.7</v>
      </c>
      <c r="J15" s="416">
        <v>214172.7</v>
      </c>
      <c r="K15" s="416">
        <v>1670748.4</v>
      </c>
      <c r="L15" s="472"/>
    </row>
    <row r="16" spans="1:14" ht="11.85" customHeight="1">
      <c r="A16" s="354" t="s">
        <v>1539</v>
      </c>
      <c r="B16" s="411">
        <v>564520</v>
      </c>
      <c r="C16" s="411">
        <v>0</v>
      </c>
      <c r="D16" s="411">
        <v>2522.8000000000002</v>
      </c>
      <c r="E16" s="411">
        <v>29500</v>
      </c>
      <c r="F16" s="411">
        <v>32022.799999999999</v>
      </c>
      <c r="G16" s="411">
        <v>18449.099999999999</v>
      </c>
      <c r="H16" s="411">
        <v>994526.9</v>
      </c>
      <c r="I16" s="411">
        <v>1012976</v>
      </c>
      <c r="J16" s="411">
        <v>235190</v>
      </c>
      <c r="K16" s="411">
        <v>1844708.8</v>
      </c>
      <c r="L16" s="472"/>
      <c r="M16" s="472"/>
    </row>
    <row r="17" spans="1:15" ht="11.85" customHeight="1">
      <c r="A17" s="1428" t="s">
        <v>1810</v>
      </c>
      <c r="B17" s="416">
        <v>647012.1</v>
      </c>
      <c r="C17" s="416">
        <v>0</v>
      </c>
      <c r="D17" s="416">
        <v>3617.6623075949301</v>
      </c>
      <c r="E17" s="416">
        <v>28991.292731279518</v>
      </c>
      <c r="F17" s="416">
        <v>32608.955038874446</v>
      </c>
      <c r="G17" s="416">
        <v>25434.9005207714</v>
      </c>
      <c r="H17" s="416">
        <v>1133333.5170284815</v>
      </c>
      <c r="I17" s="416">
        <v>1158768.417549253</v>
      </c>
      <c r="J17" s="416">
        <v>263754.42741187243</v>
      </c>
      <c r="K17" s="416">
        <v>2102143.9</v>
      </c>
      <c r="L17" s="472"/>
      <c r="M17" s="472"/>
      <c r="N17" s="472"/>
      <c r="O17" s="472"/>
    </row>
    <row r="18" spans="1:15" ht="11.85" customHeight="1">
      <c r="A18" s="354" t="s">
        <v>2056</v>
      </c>
      <c r="B18" s="411">
        <v>747846.852503762</v>
      </c>
      <c r="C18" s="411">
        <v>0</v>
      </c>
      <c r="D18" s="411">
        <v>3588.2760941767501</v>
      </c>
      <c r="E18" s="411">
        <v>30604.57865103833</v>
      </c>
      <c r="F18" s="411">
        <v>34192.854745215081</v>
      </c>
      <c r="G18" s="411">
        <v>33362.150288469296</v>
      </c>
      <c r="H18" s="411">
        <v>1245158.7816230939</v>
      </c>
      <c r="I18" s="411">
        <v>1278520.9319115633</v>
      </c>
      <c r="J18" s="411">
        <v>294103.7256432448</v>
      </c>
      <c r="K18" s="411">
        <v>2354664.3648037855</v>
      </c>
      <c r="L18" s="472"/>
      <c r="M18" s="472"/>
      <c r="N18" s="472"/>
      <c r="O18" s="472"/>
    </row>
    <row r="19" spans="1:15" ht="11.85" customHeight="1">
      <c r="A19" s="1902" t="s">
        <v>2188</v>
      </c>
      <c r="B19" s="416">
        <v>765636.51602964511</v>
      </c>
      <c r="C19" s="416">
        <v>0</v>
      </c>
      <c r="D19" s="416">
        <v>3347.7066646281901</v>
      </c>
      <c r="E19" s="416">
        <v>30452.255932425949</v>
      </c>
      <c r="F19" s="416">
        <v>33799.962597054138</v>
      </c>
      <c r="G19" s="416">
        <v>37659.8685549316</v>
      </c>
      <c r="H19" s="416">
        <v>1375521.9983677785</v>
      </c>
      <c r="I19" s="416">
        <v>1413181.8669227101</v>
      </c>
      <c r="J19" s="416">
        <v>313899.63275917998</v>
      </c>
      <c r="K19" s="416">
        <v>2526517.9783085892</v>
      </c>
      <c r="L19" s="472"/>
      <c r="M19" s="472"/>
      <c r="N19" s="472"/>
      <c r="O19" s="472"/>
    </row>
    <row r="20" spans="1:15" ht="11.85" customHeight="1">
      <c r="A20" s="1921" t="s">
        <v>2439</v>
      </c>
      <c r="B20" s="492">
        <f>B32</f>
        <v>830346.8</v>
      </c>
      <c r="C20" s="492">
        <f t="shared" ref="C20:K20" si="3">C32</f>
        <v>0</v>
      </c>
      <c r="D20" s="492">
        <f t="shared" si="3"/>
        <v>2363.1434585245097</v>
      </c>
      <c r="E20" s="492">
        <f t="shared" si="3"/>
        <v>30826.308748839998</v>
      </c>
      <c r="F20" s="492">
        <f t="shared" si="3"/>
        <v>33189.452207364506</v>
      </c>
      <c r="G20" s="492">
        <f t="shared" si="3"/>
        <v>35246.962483798205</v>
      </c>
      <c r="H20" s="492">
        <f t="shared" si="3"/>
        <v>1477817.1887107571</v>
      </c>
      <c r="I20" s="492">
        <f t="shared" si="3"/>
        <v>1513064.1511945552</v>
      </c>
      <c r="J20" s="492">
        <f t="shared" si="3"/>
        <v>322194.65000000002</v>
      </c>
      <c r="K20" s="492">
        <f t="shared" si="3"/>
        <v>2698795.0534019195</v>
      </c>
      <c r="L20" s="472"/>
      <c r="M20" s="472"/>
      <c r="N20" s="472"/>
      <c r="O20" s="472"/>
    </row>
    <row r="21" spans="1:15" ht="11.85" customHeight="1">
      <c r="A21" s="1282" t="s">
        <v>559</v>
      </c>
      <c r="B21" s="402">
        <v>780521.18719323212</v>
      </c>
      <c r="C21" s="416">
        <v>0</v>
      </c>
      <c r="D21" s="416">
        <v>3349.5211236978398</v>
      </c>
      <c r="E21" s="416">
        <v>29095.88714588113</v>
      </c>
      <c r="F21" s="416">
        <f>D21+E21</f>
        <v>32445.408269578969</v>
      </c>
      <c r="G21" s="416">
        <v>38206.559980418497</v>
      </c>
      <c r="H21" s="416">
        <v>1371757.0071629062</v>
      </c>
      <c r="I21" s="416">
        <f>G21+H21</f>
        <v>1409963.5671433248</v>
      </c>
      <c r="J21" s="416">
        <v>313196.2095992</v>
      </c>
      <c r="K21" s="416">
        <f t="shared" ref="K21:K31" si="4">B21+C21+F21+I21+J21</f>
        <v>2536126.3722053361</v>
      </c>
      <c r="L21" s="472"/>
      <c r="M21" s="472"/>
    </row>
    <row r="22" spans="1:15" ht="11.85" customHeight="1">
      <c r="A22" s="354" t="s">
        <v>560</v>
      </c>
      <c r="B22" s="415">
        <v>771847.366706923</v>
      </c>
      <c r="C22" s="411">
        <v>0</v>
      </c>
      <c r="D22" s="411">
        <v>3362.2743543024199</v>
      </c>
      <c r="E22" s="411">
        <v>28191.901033495134</v>
      </c>
      <c r="F22" s="411">
        <f>D22+E22</f>
        <v>31554.175387797553</v>
      </c>
      <c r="G22" s="411">
        <v>37453.427583310098</v>
      </c>
      <c r="H22" s="411">
        <v>1382513.1799171905</v>
      </c>
      <c r="I22" s="411">
        <f>G22+H22</f>
        <v>1419966.6075005005</v>
      </c>
      <c r="J22" s="411">
        <v>310602.3</v>
      </c>
      <c r="K22" s="411">
        <f t="shared" si="4"/>
        <v>2533970.4495952209</v>
      </c>
      <c r="L22" s="472"/>
      <c r="M22" s="472"/>
    </row>
    <row r="23" spans="1:15" ht="11.85" customHeight="1">
      <c r="A23" s="1287" t="s">
        <v>554</v>
      </c>
      <c r="B23" s="402">
        <v>756973.22217422794</v>
      </c>
      <c r="C23" s="416">
        <v>0</v>
      </c>
      <c r="D23" s="416">
        <v>3363.3486986155503</v>
      </c>
      <c r="E23" s="416">
        <v>28379.458638885437</v>
      </c>
      <c r="F23" s="416">
        <f>D23+E23</f>
        <v>31742.807337500988</v>
      </c>
      <c r="G23" s="416">
        <v>35855.137606929602</v>
      </c>
      <c r="H23" s="416">
        <v>1391902.42333643</v>
      </c>
      <c r="I23" s="416">
        <f>G23+H23</f>
        <v>1427757.5609433595</v>
      </c>
      <c r="J23" s="416">
        <f>310875.111206243-358.2</f>
        <v>310516.91120624298</v>
      </c>
      <c r="K23" s="416">
        <f t="shared" si="4"/>
        <v>2526990.5016613314</v>
      </c>
      <c r="L23" s="472"/>
      <c r="M23" s="472"/>
    </row>
    <row r="24" spans="1:15" ht="11.85" customHeight="1">
      <c r="A24" s="354" t="s">
        <v>561</v>
      </c>
      <c r="B24" s="415">
        <v>774269.72781654098</v>
      </c>
      <c r="C24" s="411">
        <v>0</v>
      </c>
      <c r="D24" s="411">
        <v>3358.1168288926597</v>
      </c>
      <c r="E24" s="411">
        <v>27858.564996198249</v>
      </c>
      <c r="F24" s="411">
        <f>D24+E24</f>
        <v>31216.681825090909</v>
      </c>
      <c r="G24" s="411">
        <v>36103.061625065704</v>
      </c>
      <c r="H24" s="411">
        <v>1396108.6126015091</v>
      </c>
      <c r="I24" s="411">
        <f>G24+H24</f>
        <v>1432211.6742265748</v>
      </c>
      <c r="J24" s="411">
        <f>311158.174897001-268.4</f>
        <v>310889.77489700099</v>
      </c>
      <c r="K24" s="411">
        <f t="shared" si="4"/>
        <v>2548587.8587652072</v>
      </c>
      <c r="L24" s="472"/>
      <c r="M24" s="472"/>
    </row>
    <row r="25" spans="1:15" ht="11.85" customHeight="1">
      <c r="A25" s="1502" t="s">
        <v>562</v>
      </c>
      <c r="B25" s="402">
        <v>782572.64833041595</v>
      </c>
      <c r="C25" s="416">
        <v>0</v>
      </c>
      <c r="D25" s="416">
        <v>3369.2399343349102</v>
      </c>
      <c r="E25" s="416">
        <v>28888.074022416171</v>
      </c>
      <c r="F25" s="416">
        <f t="shared" ref="F25:F45" si="5">D25+E25</f>
        <v>32257.313956751081</v>
      </c>
      <c r="G25" s="416">
        <v>36467.936621685098</v>
      </c>
      <c r="H25" s="416">
        <v>1401363.9988405711</v>
      </c>
      <c r="I25" s="416">
        <f t="shared" ref="I25:I32" si="6">G25+H25</f>
        <v>1437831.9354622562</v>
      </c>
      <c r="J25" s="416">
        <v>312476.34215790615</v>
      </c>
      <c r="K25" s="416">
        <f t="shared" si="4"/>
        <v>2565138.239907329</v>
      </c>
      <c r="L25" s="472"/>
      <c r="M25" s="472"/>
    </row>
    <row r="26" spans="1:15" ht="11.85" customHeight="1">
      <c r="A26" s="354" t="s">
        <v>555</v>
      </c>
      <c r="B26" s="415">
        <v>754936.03911423299</v>
      </c>
      <c r="C26" s="411">
        <v>0</v>
      </c>
      <c r="D26" s="411">
        <v>3403.0604523292295</v>
      </c>
      <c r="E26" s="411">
        <v>31781.956093920198</v>
      </c>
      <c r="F26" s="411">
        <f t="shared" si="5"/>
        <v>35185.016546249426</v>
      </c>
      <c r="G26" s="411">
        <v>37229.588436028796</v>
      </c>
      <c r="H26" s="411">
        <v>1415584.0197307547</v>
      </c>
      <c r="I26" s="411">
        <f t="shared" si="6"/>
        <v>1452813.6081667833</v>
      </c>
      <c r="J26" s="411">
        <v>317968.0524178202</v>
      </c>
      <c r="K26" s="411">
        <f t="shared" si="4"/>
        <v>2560902.7162450859</v>
      </c>
      <c r="L26" s="472"/>
      <c r="M26" s="472"/>
    </row>
    <row r="27" spans="1:15" ht="11.85" customHeight="1">
      <c r="A27" s="1547" t="s">
        <v>563</v>
      </c>
      <c r="B27" s="402">
        <v>768434.93216388696</v>
      </c>
      <c r="C27" s="416">
        <v>0</v>
      </c>
      <c r="D27" s="416">
        <v>3492.7162286396497</v>
      </c>
      <c r="E27" s="416">
        <v>30819.745028139911</v>
      </c>
      <c r="F27" s="416">
        <f t="shared" si="5"/>
        <v>34312.461256779563</v>
      </c>
      <c r="G27" s="416">
        <v>36992.657663816797</v>
      </c>
      <c r="H27" s="416">
        <v>1412588.2557263509</v>
      </c>
      <c r="I27" s="416">
        <f t="shared" si="6"/>
        <v>1449580.9133901678</v>
      </c>
      <c r="J27" s="416">
        <f>317618.856849579-303.8</f>
        <v>317315.05684957904</v>
      </c>
      <c r="K27" s="416">
        <f t="shared" si="4"/>
        <v>2569643.3636604133</v>
      </c>
      <c r="L27" s="472"/>
      <c r="M27" s="472"/>
    </row>
    <row r="28" spans="1:15" ht="11.85" customHeight="1">
      <c r="A28" s="354" t="s">
        <v>564</v>
      </c>
      <c r="B28" s="415">
        <v>766321.9449</v>
      </c>
      <c r="C28" s="411">
        <v>0</v>
      </c>
      <c r="D28" s="411">
        <v>3504.4029171529796</v>
      </c>
      <c r="E28" s="411">
        <v>29802.574082518295</v>
      </c>
      <c r="F28" s="411">
        <f t="shared" si="5"/>
        <v>33306.976999671271</v>
      </c>
      <c r="G28" s="411">
        <v>37295.063553688196</v>
      </c>
      <c r="H28" s="411">
        <v>1415744.831824739</v>
      </c>
      <c r="I28" s="411">
        <f t="shared" si="6"/>
        <v>1453039.8953784271</v>
      </c>
      <c r="J28" s="411">
        <f>319413.594327992-57.6</f>
        <v>319355.99432799203</v>
      </c>
      <c r="K28" s="411">
        <f t="shared" si="4"/>
        <v>2572024.8116060905</v>
      </c>
      <c r="L28" s="472"/>
      <c r="M28" s="472"/>
    </row>
    <row r="29" spans="1:15" ht="11.85" customHeight="1">
      <c r="A29" s="1635" t="s">
        <v>556</v>
      </c>
      <c r="B29" s="402">
        <v>791750.1949</v>
      </c>
      <c r="C29" s="416">
        <v>0</v>
      </c>
      <c r="D29" s="416">
        <v>2346.1754934597493</v>
      </c>
      <c r="E29" s="416">
        <v>30547.731198409427</v>
      </c>
      <c r="F29" s="416">
        <f t="shared" si="5"/>
        <v>32893.906691869175</v>
      </c>
      <c r="G29" s="416">
        <v>36835.265007108399</v>
      </c>
      <c r="H29" s="416">
        <v>1452236.4951334489</v>
      </c>
      <c r="I29" s="416">
        <f t="shared" si="6"/>
        <v>1489071.7601405573</v>
      </c>
      <c r="J29" s="416">
        <f>320104.592656134-234.1</f>
        <v>319870.49265613401</v>
      </c>
      <c r="K29" s="416">
        <f t="shared" si="4"/>
        <v>2633586.3543885606</v>
      </c>
      <c r="L29" s="472"/>
      <c r="M29" s="472"/>
    </row>
    <row r="30" spans="1:15" ht="11.85" customHeight="1">
      <c r="A30" s="354" t="s">
        <v>565</v>
      </c>
      <c r="B30" s="415">
        <v>796948.4449</v>
      </c>
      <c r="C30" s="411">
        <v>0</v>
      </c>
      <c r="D30" s="411">
        <v>2366.7200259968699</v>
      </c>
      <c r="E30" s="411">
        <v>30888.751557107276</v>
      </c>
      <c r="F30" s="411">
        <f t="shared" si="5"/>
        <v>33255.471583104147</v>
      </c>
      <c r="G30" s="411">
        <v>37863.014437127102</v>
      </c>
      <c r="H30" s="411">
        <v>1454746.9079170206</v>
      </c>
      <c r="I30" s="411">
        <f t="shared" si="6"/>
        <v>1492609.9223541478</v>
      </c>
      <c r="J30" s="411">
        <v>319385.7</v>
      </c>
      <c r="K30" s="411">
        <f t="shared" si="4"/>
        <v>2642199.5388372522</v>
      </c>
      <c r="L30" s="472"/>
      <c r="M30" s="472"/>
    </row>
    <row r="31" spans="1:15" ht="11.85" customHeight="1">
      <c r="A31" s="1673" t="s">
        <v>566</v>
      </c>
      <c r="B31" s="402">
        <v>812351.10000000009</v>
      </c>
      <c r="C31" s="416">
        <v>0</v>
      </c>
      <c r="D31" s="416">
        <v>2393.9569095119195</v>
      </c>
      <c r="E31" s="416">
        <v>31679.562948849794</v>
      </c>
      <c r="F31" s="416">
        <f t="shared" si="5"/>
        <v>34073.519858361717</v>
      </c>
      <c r="G31" s="416">
        <v>37722.110859254106</v>
      </c>
      <c r="H31" s="416">
        <v>1469238.6530765411</v>
      </c>
      <c r="I31" s="416">
        <f t="shared" si="6"/>
        <v>1506960.7639357953</v>
      </c>
      <c r="J31" s="416">
        <v>322013.92851204216</v>
      </c>
      <c r="K31" s="416">
        <f t="shared" si="4"/>
        <v>2675399.3123061992</v>
      </c>
      <c r="L31" s="472"/>
      <c r="M31" s="472"/>
    </row>
    <row r="32" spans="1:15" s="430" customFormat="1" ht="11.85" customHeight="1">
      <c r="A32" s="354" t="s">
        <v>557</v>
      </c>
      <c r="B32" s="415">
        <v>830346.8</v>
      </c>
      <c r="C32" s="411">
        <v>0</v>
      </c>
      <c r="D32" s="411">
        <v>2363.1434585245097</v>
      </c>
      <c r="E32" s="411">
        <v>30826.308748839998</v>
      </c>
      <c r="F32" s="411">
        <f t="shared" si="5"/>
        <v>33189.452207364506</v>
      </c>
      <c r="G32" s="411">
        <v>35246.962483798205</v>
      </c>
      <c r="H32" s="411">
        <v>1477817.1887107571</v>
      </c>
      <c r="I32" s="411">
        <f t="shared" si="6"/>
        <v>1513064.1511945552</v>
      </c>
      <c r="J32" s="411">
        <f>322592.25-397.6</f>
        <v>322194.65000000002</v>
      </c>
      <c r="K32" s="411">
        <f>B32+C32+F32+I32+J32</f>
        <v>2698795.0534019195</v>
      </c>
      <c r="L32" s="477"/>
      <c r="M32" s="472"/>
    </row>
    <row r="33" spans="1:15" s="430" customFormat="1" ht="11.85" customHeight="1">
      <c r="A33" s="763" t="s">
        <v>2663</v>
      </c>
      <c r="B33" s="490">
        <f>B45</f>
        <v>999412.8</v>
      </c>
      <c r="C33" s="490">
        <f t="shared" ref="C33:K33" si="7">C45</f>
        <v>0</v>
      </c>
      <c r="D33" s="490">
        <f t="shared" si="7"/>
        <v>1698.70461776971</v>
      </c>
      <c r="E33" s="490">
        <f t="shared" si="7"/>
        <v>34415.263357681695</v>
      </c>
      <c r="F33" s="490">
        <f t="shared" si="7"/>
        <v>36113.967975451407</v>
      </c>
      <c r="G33" s="490">
        <f t="shared" si="7"/>
        <v>29935.7189685753</v>
      </c>
      <c r="H33" s="490">
        <f t="shared" si="7"/>
        <v>1541656.3936739832</v>
      </c>
      <c r="I33" s="490">
        <f t="shared" si="7"/>
        <v>1571592.1126425585</v>
      </c>
      <c r="J33" s="490">
        <f t="shared" si="7"/>
        <v>334878.23982821323</v>
      </c>
      <c r="K33" s="490">
        <f t="shared" si="7"/>
        <v>2941997.1204462228</v>
      </c>
      <c r="L33" s="477"/>
      <c r="M33" s="477"/>
    </row>
    <row r="34" spans="1:15" s="430" customFormat="1" ht="11.85" customHeight="1">
      <c r="A34" s="354" t="s">
        <v>559</v>
      </c>
      <c r="B34" s="415">
        <v>844360.2</v>
      </c>
      <c r="C34" s="411">
        <v>0</v>
      </c>
      <c r="D34" s="411">
        <v>2357.9221153169597</v>
      </c>
      <c r="E34" s="411">
        <v>31094.161157334038</v>
      </c>
      <c r="F34" s="411">
        <f>D34+E34</f>
        <v>33452.083272650998</v>
      </c>
      <c r="G34" s="411">
        <v>35294.348074684298</v>
      </c>
      <c r="H34" s="411">
        <v>1473500.1974859473</v>
      </c>
      <c r="I34" s="411">
        <f>G34+H34</f>
        <v>1508794.5455606317</v>
      </c>
      <c r="J34" s="411">
        <v>321374.17</v>
      </c>
      <c r="K34" s="411">
        <f>B34+C34+F34+I34+J34</f>
        <v>2707980.9988332824</v>
      </c>
      <c r="L34" s="477"/>
      <c r="M34" s="472"/>
      <c r="O34" s="477"/>
    </row>
    <row r="35" spans="1:15" s="430" customFormat="1" ht="11.85" customHeight="1">
      <c r="A35" s="1440" t="s">
        <v>560</v>
      </c>
      <c r="B35" s="402">
        <v>840870.9</v>
      </c>
      <c r="C35" s="416">
        <v>0</v>
      </c>
      <c r="D35" s="416">
        <v>2372.9327232946998</v>
      </c>
      <c r="E35" s="416">
        <v>31185.058726930059</v>
      </c>
      <c r="F35" s="416">
        <f t="shared" si="5"/>
        <v>33557.991450224756</v>
      </c>
      <c r="G35" s="416">
        <v>35046.845301626301</v>
      </c>
      <c r="H35" s="416">
        <v>1483083.8833944988</v>
      </c>
      <c r="I35" s="416">
        <f t="shared" ref="I35:I45" si="8">G35+H35</f>
        <v>1518130.7286961251</v>
      </c>
      <c r="J35" s="416">
        <v>316911.86000000004</v>
      </c>
      <c r="K35" s="416">
        <f t="shared" ref="K35" si="9">B35+C35+F35+I35+J35</f>
        <v>2709471.4801463499</v>
      </c>
      <c r="L35" s="477"/>
      <c r="M35" s="472"/>
      <c r="O35" s="477"/>
    </row>
    <row r="36" spans="1:15" s="430" customFormat="1" ht="11.85" customHeight="1">
      <c r="A36" s="354" t="s">
        <v>554</v>
      </c>
      <c r="B36" s="415">
        <v>861302.9</v>
      </c>
      <c r="C36" s="411">
        <v>0</v>
      </c>
      <c r="D36" s="411">
        <v>2361.2279255758804</v>
      </c>
      <c r="E36" s="411">
        <v>32463.340779104485</v>
      </c>
      <c r="F36" s="411">
        <f t="shared" si="5"/>
        <v>34824.568704680365</v>
      </c>
      <c r="G36" s="411">
        <v>34027.523289573706</v>
      </c>
      <c r="H36" s="411">
        <v>1489040.0366952822</v>
      </c>
      <c r="I36" s="411">
        <f t="shared" si="8"/>
        <v>1523067.5599848558</v>
      </c>
      <c r="J36" s="411">
        <v>319196.74800000002</v>
      </c>
      <c r="K36" s="411">
        <f>B36+C36+F36+I36+J36</f>
        <v>2738391.7766895364</v>
      </c>
      <c r="L36" s="477"/>
      <c r="M36" s="472"/>
      <c r="O36" s="477"/>
    </row>
    <row r="37" spans="1:15" s="544" customFormat="1" ht="11.85" customHeight="1">
      <c r="A37" s="1502" t="s">
        <v>561</v>
      </c>
      <c r="B37" s="402">
        <v>875143.10000000009</v>
      </c>
      <c r="C37" s="416">
        <v>0</v>
      </c>
      <c r="D37" s="416">
        <v>1747.54975283467</v>
      </c>
      <c r="E37" s="416">
        <v>32199.346778212959</v>
      </c>
      <c r="F37" s="416">
        <f t="shared" si="5"/>
        <v>33946.896531047627</v>
      </c>
      <c r="G37" s="416">
        <v>33336.024391438899</v>
      </c>
      <c r="H37" s="416">
        <v>1493847.2200389204</v>
      </c>
      <c r="I37" s="416">
        <f t="shared" si="8"/>
        <v>1527183.2444303592</v>
      </c>
      <c r="J37" s="416">
        <v>320552.47840984102</v>
      </c>
      <c r="K37" s="416">
        <f>B37+C37+F37+I37+J37</f>
        <v>2756825.719371248</v>
      </c>
      <c r="L37" s="472"/>
      <c r="M37" s="472"/>
      <c r="O37" s="477"/>
    </row>
    <row r="38" spans="1:15" s="430" customFormat="1" ht="11.85" customHeight="1">
      <c r="A38" s="354" t="s">
        <v>562</v>
      </c>
      <c r="B38" s="415">
        <v>898860.1</v>
      </c>
      <c r="C38" s="411">
        <v>0</v>
      </c>
      <c r="D38" s="411">
        <v>1753.18434033989</v>
      </c>
      <c r="E38" s="411">
        <v>32923.222509957588</v>
      </c>
      <c r="F38" s="411">
        <f t="shared" si="5"/>
        <v>34676.406850297477</v>
      </c>
      <c r="G38" s="411">
        <v>32737.4471652346</v>
      </c>
      <c r="H38" s="411">
        <v>1504663.686452375</v>
      </c>
      <c r="I38" s="411">
        <f t="shared" si="8"/>
        <v>1537401.1336176097</v>
      </c>
      <c r="J38" s="411">
        <v>323605.714460271</v>
      </c>
      <c r="K38" s="411">
        <f t="shared" ref="K38:K45" si="10">B38+C38+F38+I38+J38</f>
        <v>2794543.3549281782</v>
      </c>
      <c r="L38" s="472"/>
      <c r="M38" s="472"/>
      <c r="O38" s="477"/>
    </row>
    <row r="39" spans="1:15" s="430" customFormat="1" ht="11.85" customHeight="1">
      <c r="A39" s="1547" t="s">
        <v>555</v>
      </c>
      <c r="B39" s="402">
        <v>894728.6</v>
      </c>
      <c r="C39" s="402">
        <v>0</v>
      </c>
      <c r="D39" s="416">
        <v>1763.02312879139</v>
      </c>
      <c r="E39" s="416">
        <v>35275.887175611875</v>
      </c>
      <c r="F39" s="416">
        <f t="shared" si="5"/>
        <v>37038.910304403267</v>
      </c>
      <c r="G39" s="416">
        <v>34844.899361571202</v>
      </c>
      <c r="H39" s="416">
        <v>1501833.0216296341</v>
      </c>
      <c r="I39" s="416">
        <f t="shared" si="8"/>
        <v>1536677.9209912054</v>
      </c>
      <c r="J39" s="416">
        <v>328456.21999999997</v>
      </c>
      <c r="K39" s="416">
        <f t="shared" si="10"/>
        <v>2796901.6512956088</v>
      </c>
      <c r="L39" s="472"/>
      <c r="M39" s="472"/>
      <c r="O39" s="477"/>
    </row>
    <row r="40" spans="1:15" s="430" customFormat="1" ht="11.25" customHeight="1">
      <c r="A40" s="354" t="s">
        <v>563</v>
      </c>
      <c r="B40" s="415">
        <v>906885.5</v>
      </c>
      <c r="C40" s="411">
        <v>0</v>
      </c>
      <c r="D40" s="411">
        <v>1760.8579035028499</v>
      </c>
      <c r="E40" s="411">
        <v>34873.216525411051</v>
      </c>
      <c r="F40" s="411">
        <f t="shared" si="5"/>
        <v>36634.074428913904</v>
      </c>
      <c r="G40" s="411">
        <v>35047.970393342504</v>
      </c>
      <c r="H40" s="411">
        <v>1496646.3605801992</v>
      </c>
      <c r="I40" s="411">
        <f t="shared" si="8"/>
        <v>1531694.3309735416</v>
      </c>
      <c r="J40" s="411">
        <v>327543.99997478502</v>
      </c>
      <c r="K40" s="411">
        <f t="shared" si="10"/>
        <v>2802757.9053772404</v>
      </c>
      <c r="L40" s="472"/>
      <c r="M40" s="472"/>
      <c r="O40" s="477"/>
    </row>
    <row r="41" spans="1:15" s="430" customFormat="1" ht="11.25" customHeight="1">
      <c r="A41" s="1635" t="s">
        <v>564</v>
      </c>
      <c r="B41" s="402">
        <v>921965.1</v>
      </c>
      <c r="C41" s="402">
        <v>0</v>
      </c>
      <c r="D41" s="416">
        <v>1710.35448648478</v>
      </c>
      <c r="E41" s="416">
        <v>34767.802201105827</v>
      </c>
      <c r="F41" s="416">
        <f t="shared" si="5"/>
        <v>36478.156687590606</v>
      </c>
      <c r="G41" s="416">
        <v>35218.337266759205</v>
      </c>
      <c r="H41" s="416">
        <v>1500570.9911528328</v>
      </c>
      <c r="I41" s="416">
        <f t="shared" si="8"/>
        <v>1535789.328419592</v>
      </c>
      <c r="J41" s="416">
        <v>328568.06239284202</v>
      </c>
      <c r="K41" s="416">
        <f t="shared" si="10"/>
        <v>2822800.6475000246</v>
      </c>
      <c r="L41" s="472"/>
      <c r="M41" s="472"/>
      <c r="O41" s="477"/>
    </row>
    <row r="42" spans="1:15" s="430" customFormat="1" ht="11.25" customHeight="1">
      <c r="A42" s="354" t="s">
        <v>556</v>
      </c>
      <c r="B42" s="415">
        <v>956677</v>
      </c>
      <c r="C42" s="415">
        <v>0</v>
      </c>
      <c r="D42" s="411">
        <v>1709.96001750759</v>
      </c>
      <c r="E42" s="411">
        <v>35238.128256156888</v>
      </c>
      <c r="F42" s="411">
        <f t="shared" si="5"/>
        <v>36948.088273664478</v>
      </c>
      <c r="G42" s="411">
        <v>32816.7535317906</v>
      </c>
      <c r="H42" s="411">
        <v>1514312.33179936</v>
      </c>
      <c r="I42" s="411">
        <f t="shared" si="8"/>
        <v>1547129.0853311506</v>
      </c>
      <c r="J42" s="411">
        <v>329880.72295672505</v>
      </c>
      <c r="K42" s="411">
        <f t="shared" si="10"/>
        <v>2870634.8965615402</v>
      </c>
      <c r="L42" s="472"/>
      <c r="M42" s="472"/>
      <c r="O42" s="477"/>
    </row>
    <row r="43" spans="1:15" s="430" customFormat="1" ht="11.25" customHeight="1">
      <c r="A43" s="1673" t="s">
        <v>565</v>
      </c>
      <c r="B43" s="402">
        <v>938772.4</v>
      </c>
      <c r="C43" s="402">
        <v>0</v>
      </c>
      <c r="D43" s="416">
        <v>1719.1237306814598</v>
      </c>
      <c r="E43" s="416">
        <v>33911.414453183272</v>
      </c>
      <c r="F43" s="416">
        <f t="shared" si="5"/>
        <v>35630.53818386473</v>
      </c>
      <c r="G43" s="416">
        <v>32547.466358405698</v>
      </c>
      <c r="H43" s="416">
        <v>1516224.5096773526</v>
      </c>
      <c r="I43" s="416">
        <f t="shared" si="8"/>
        <v>1548771.9760357584</v>
      </c>
      <c r="J43" s="416">
        <v>331818.03207526001</v>
      </c>
      <c r="K43" s="416">
        <f t="shared" si="10"/>
        <v>2854992.9462948833</v>
      </c>
      <c r="L43" s="472"/>
      <c r="M43" s="472"/>
      <c r="O43" s="477"/>
    </row>
    <row r="44" spans="1:15" s="430" customFormat="1" ht="11.25" customHeight="1">
      <c r="A44" s="354" t="s">
        <v>566</v>
      </c>
      <c r="B44" s="415">
        <v>929425.9</v>
      </c>
      <c r="C44" s="415">
        <v>0</v>
      </c>
      <c r="D44" s="411">
        <v>1729.04730524509</v>
      </c>
      <c r="E44" s="411">
        <v>33901.185104895201</v>
      </c>
      <c r="F44" s="411">
        <f t="shared" si="5"/>
        <v>35630.232410140292</v>
      </c>
      <c r="G44" s="411">
        <v>30440.161787017598</v>
      </c>
      <c r="H44" s="411">
        <v>1535177.927111167</v>
      </c>
      <c r="I44" s="411">
        <f t="shared" si="8"/>
        <v>1565618.0888981847</v>
      </c>
      <c r="J44" s="411">
        <v>334911.40979527193</v>
      </c>
      <c r="K44" s="411">
        <f t="shared" si="10"/>
        <v>2865585.6311035967</v>
      </c>
      <c r="L44" s="472"/>
      <c r="M44" s="472"/>
      <c r="O44" s="477"/>
    </row>
    <row r="45" spans="1:15" s="430" customFormat="1" ht="11.25" customHeight="1" thickBot="1">
      <c r="A45" s="958" t="s">
        <v>557</v>
      </c>
      <c r="B45" s="1552">
        <v>999412.8</v>
      </c>
      <c r="C45" s="1552">
        <v>0</v>
      </c>
      <c r="D45" s="1477">
        <v>1698.70461776971</v>
      </c>
      <c r="E45" s="1477">
        <v>34415.263357681695</v>
      </c>
      <c r="F45" s="1477">
        <f t="shared" si="5"/>
        <v>36113.967975451407</v>
      </c>
      <c r="G45" s="1477">
        <v>29935.7189685753</v>
      </c>
      <c r="H45" s="1477">
        <v>1541656.3936739832</v>
      </c>
      <c r="I45" s="1477">
        <f t="shared" si="8"/>
        <v>1571592.1126425585</v>
      </c>
      <c r="J45" s="1477">
        <v>334878.23982821323</v>
      </c>
      <c r="K45" s="1477">
        <f t="shared" si="10"/>
        <v>2941997.1204462228</v>
      </c>
      <c r="L45" s="472"/>
      <c r="M45" s="472"/>
    </row>
    <row r="46" spans="1:15" ht="11.25" customHeight="1">
      <c r="A46" s="473" t="s">
        <v>215</v>
      </c>
      <c r="B46" s="236" t="s">
        <v>1360</v>
      </c>
      <c r="C46" s="236"/>
      <c r="D46" s="236"/>
      <c r="E46" s="236"/>
      <c r="F46" s="236"/>
      <c r="G46" s="474" t="s">
        <v>1209</v>
      </c>
      <c r="H46" s="475"/>
      <c r="I46" s="475"/>
      <c r="J46" s="475"/>
      <c r="K46" s="475"/>
      <c r="L46" s="472"/>
    </row>
    <row r="47" spans="1:15" ht="11.25" customHeight="1">
      <c r="A47" s="205"/>
      <c r="B47" s="237" t="s">
        <v>1339</v>
      </c>
      <c r="C47" s="237"/>
      <c r="D47" s="237"/>
      <c r="E47" s="994" t="s">
        <v>1296</v>
      </c>
      <c r="F47" s="824"/>
      <c r="G47" s="943"/>
      <c r="H47" s="824"/>
      <c r="I47" s="824"/>
      <c r="J47" s="824"/>
      <c r="K47" s="824"/>
      <c r="L47" s="472"/>
    </row>
    <row r="48" spans="1:15" ht="11.25" customHeight="1">
      <c r="A48" s="472"/>
      <c r="B48" s="472"/>
      <c r="C48" s="472"/>
      <c r="D48" s="824"/>
      <c r="E48" s="472"/>
      <c r="F48" s="824"/>
      <c r="G48" s="824"/>
      <c r="H48" s="824"/>
      <c r="I48" s="824"/>
      <c r="J48" s="824"/>
      <c r="K48" s="824"/>
      <c r="L48" s="472"/>
    </row>
    <row r="49" spans="1:12" ht="11.25" customHeight="1">
      <c r="A49" s="472"/>
      <c r="B49" s="472"/>
      <c r="C49" s="472"/>
      <c r="D49" s="824"/>
      <c r="E49" s="472"/>
      <c r="F49" s="824"/>
      <c r="G49" s="824"/>
      <c r="H49" s="824"/>
      <c r="I49" s="824"/>
      <c r="J49" s="477"/>
      <c r="K49" s="824"/>
      <c r="L49" s="477"/>
    </row>
    <row r="50" spans="1:12" ht="11.25" customHeight="1">
      <c r="A50" s="472"/>
      <c r="B50" s="472"/>
      <c r="C50" s="472"/>
      <c r="D50" s="824"/>
      <c r="E50" s="472"/>
      <c r="F50" s="824"/>
      <c r="G50" s="824"/>
      <c r="H50" s="824"/>
      <c r="I50" s="824"/>
      <c r="J50" s="477"/>
      <c r="K50" s="824"/>
      <c r="L50" s="477"/>
    </row>
    <row r="51" spans="1:12" ht="11.25" customHeight="1">
      <c r="A51" s="472"/>
      <c r="B51" s="472"/>
      <c r="C51" s="472"/>
      <c r="D51" s="824"/>
      <c r="E51" s="472"/>
      <c r="F51" s="824"/>
      <c r="G51" s="824"/>
      <c r="H51" s="824"/>
      <c r="I51" s="824"/>
      <c r="J51" s="477"/>
      <c r="K51" s="824"/>
      <c r="L51" s="477"/>
    </row>
    <row r="52" spans="1:12" ht="11.25" customHeight="1">
      <c r="A52" s="472"/>
      <c r="B52" s="472"/>
      <c r="C52" s="472"/>
      <c r="D52" s="824"/>
      <c r="E52" s="472"/>
      <c r="F52" s="824"/>
      <c r="G52" s="824"/>
      <c r="H52" s="824"/>
      <c r="I52" s="824"/>
      <c r="J52" s="824"/>
      <c r="K52" s="824"/>
      <c r="L52" s="477"/>
    </row>
    <row r="53" spans="1:12" ht="11.25" customHeight="1">
      <c r="A53" s="472"/>
      <c r="B53" s="472"/>
      <c r="C53" s="472"/>
      <c r="D53" s="824"/>
      <c r="E53" s="472"/>
      <c r="F53" s="824"/>
      <c r="G53" s="824"/>
      <c r="H53" s="824"/>
      <c r="I53" s="824"/>
      <c r="J53" s="824"/>
      <c r="K53" s="824"/>
      <c r="L53" s="477"/>
    </row>
    <row r="54" spans="1:12" ht="11.25" customHeight="1">
      <c r="A54" s="472"/>
      <c r="B54" s="472"/>
      <c r="C54" s="472"/>
      <c r="D54" s="824"/>
      <c r="E54" s="472"/>
      <c r="F54" s="824"/>
      <c r="G54" s="824"/>
      <c r="H54" s="824"/>
      <c r="I54" s="824"/>
      <c r="J54" s="824"/>
      <c r="K54" s="824"/>
      <c r="L54" s="477"/>
    </row>
    <row r="55" spans="1:12" ht="11.25" customHeight="1">
      <c r="A55" s="472"/>
      <c r="B55" s="472"/>
      <c r="C55" s="472"/>
      <c r="D55" s="824"/>
      <c r="E55" s="472"/>
      <c r="F55" s="824"/>
      <c r="G55" s="824"/>
      <c r="H55" s="824"/>
      <c r="I55" s="824"/>
      <c r="K55" s="824"/>
      <c r="L55" s="477"/>
    </row>
    <row r="56" spans="1:12" ht="11.25" customHeight="1">
      <c r="A56" s="472"/>
      <c r="B56" s="472"/>
      <c r="C56" s="472"/>
      <c r="D56" s="824"/>
      <c r="E56" s="472"/>
      <c r="F56" s="824"/>
      <c r="G56" s="824"/>
      <c r="H56" s="824"/>
      <c r="I56" s="824"/>
      <c r="J56" s="824"/>
      <c r="K56" s="824"/>
      <c r="L56" s="477"/>
    </row>
    <row r="57" spans="1:12" ht="11.25" customHeight="1">
      <c r="A57" s="472"/>
      <c r="B57" s="472"/>
      <c r="C57" s="472"/>
      <c r="D57" s="824"/>
      <c r="E57" s="472"/>
      <c r="F57" s="824"/>
      <c r="G57" s="477"/>
      <c r="H57" s="824"/>
      <c r="I57" s="824"/>
      <c r="J57" s="824"/>
      <c r="K57" s="824"/>
    </row>
    <row r="58" spans="1:12" ht="11.25" customHeight="1">
      <c r="A58" s="472"/>
      <c r="B58" s="472"/>
      <c r="C58" s="472"/>
      <c r="D58" s="824"/>
      <c r="E58" s="472"/>
      <c r="F58" s="824"/>
      <c r="G58" s="477"/>
      <c r="H58" s="477"/>
      <c r="I58" s="824"/>
      <c r="J58" s="477"/>
      <c r="K58" s="824"/>
    </row>
    <row r="59" spans="1:12" ht="11.25" customHeight="1">
      <c r="A59" s="472"/>
      <c r="B59" s="472"/>
      <c r="C59" s="472"/>
      <c r="D59" s="824"/>
      <c r="E59" s="477"/>
      <c r="F59" s="472"/>
      <c r="G59" s="477"/>
      <c r="H59" s="477"/>
      <c r="I59" s="472"/>
      <c r="J59" s="477"/>
    </row>
    <row r="60" spans="1:12" ht="11.25" customHeight="1">
      <c r="B60" s="472"/>
      <c r="C60" s="472"/>
      <c r="D60" s="824"/>
      <c r="E60" s="477"/>
      <c r="F60" s="472"/>
      <c r="G60" s="477"/>
      <c r="H60" s="477"/>
      <c r="I60" s="472"/>
      <c r="J60" s="477"/>
    </row>
    <row r="61" spans="1:12" ht="11.25" customHeight="1">
      <c r="B61" s="472"/>
      <c r="C61" s="472"/>
      <c r="D61" s="477"/>
      <c r="E61" s="477"/>
      <c r="G61" s="477"/>
      <c r="H61" s="477"/>
      <c r="J61" s="477"/>
    </row>
    <row r="62" spans="1:12" ht="11.25" customHeight="1">
      <c r="B62" s="472"/>
      <c r="C62" s="472"/>
      <c r="D62" s="477"/>
      <c r="E62" s="477"/>
      <c r="G62" s="477"/>
      <c r="H62" s="477"/>
      <c r="J62" s="477"/>
    </row>
    <row r="63" spans="1:12" ht="11.25" customHeight="1">
      <c r="B63" s="472"/>
      <c r="C63" s="477"/>
      <c r="D63" s="477"/>
      <c r="E63" s="477"/>
      <c r="G63" s="477"/>
      <c r="H63" s="477"/>
      <c r="J63" s="477"/>
    </row>
    <row r="64" spans="1:12" ht="11.25" customHeight="1">
      <c r="B64" s="472"/>
      <c r="C64" s="477"/>
      <c r="D64" s="477"/>
      <c r="E64" s="477"/>
      <c r="G64" s="477"/>
      <c r="H64" s="477"/>
      <c r="J64" s="477"/>
    </row>
    <row r="65" spans="2:11" ht="11.25" customHeight="1">
      <c r="B65" s="472"/>
      <c r="C65" s="477"/>
      <c r="D65" s="477"/>
      <c r="E65" s="477"/>
      <c r="G65" s="477"/>
      <c r="H65" s="477"/>
      <c r="J65" s="477"/>
    </row>
    <row r="66" spans="2:11" ht="11.25" customHeight="1">
      <c r="B66" s="472"/>
      <c r="C66" s="477"/>
      <c r="D66" s="477"/>
      <c r="E66" s="477"/>
      <c r="G66" s="477"/>
      <c r="H66" s="477"/>
      <c r="J66" s="477"/>
    </row>
    <row r="67" spans="2:11" ht="11.25" customHeight="1">
      <c r="B67" s="472"/>
      <c r="C67" s="477"/>
      <c r="D67" s="477"/>
      <c r="E67" s="477"/>
      <c r="G67" s="477"/>
      <c r="H67" s="477"/>
      <c r="J67" s="477"/>
    </row>
    <row r="68" spans="2:11" ht="11.25" customHeight="1">
      <c r="B68" s="472"/>
      <c r="C68" s="477"/>
      <c r="D68" s="477"/>
      <c r="E68" s="477"/>
      <c r="G68" s="477"/>
      <c r="H68" s="477"/>
    </row>
    <row r="69" spans="2:11" ht="11.25" customHeight="1">
      <c r="B69" s="472"/>
      <c r="C69" s="472"/>
      <c r="D69" s="472"/>
      <c r="E69" s="477"/>
      <c r="F69" s="472"/>
      <c r="G69" s="472"/>
      <c r="H69" s="472"/>
      <c r="I69" s="472"/>
      <c r="J69" s="472"/>
      <c r="K69" s="472"/>
    </row>
    <row r="70" spans="2:11">
      <c r="B70" s="472"/>
      <c r="C70" s="472"/>
      <c r="D70" s="472"/>
      <c r="E70" s="472"/>
      <c r="F70" s="472"/>
      <c r="G70" s="472"/>
      <c r="H70" s="472"/>
      <c r="I70" s="472"/>
      <c r="J70" s="472"/>
      <c r="K70" s="472"/>
    </row>
    <row r="71" spans="2:11">
      <c r="B71" s="472"/>
      <c r="C71" s="472"/>
      <c r="D71" s="472"/>
      <c r="E71" s="472"/>
      <c r="F71" s="472"/>
      <c r="G71" s="472"/>
      <c r="H71" s="472"/>
      <c r="I71" s="472"/>
      <c r="J71" s="472"/>
      <c r="K71" s="472"/>
    </row>
    <row r="72" spans="2:11">
      <c r="B72" s="472"/>
      <c r="C72" s="472"/>
      <c r="D72" s="472"/>
      <c r="E72" s="472"/>
      <c r="F72" s="472"/>
      <c r="G72" s="472"/>
      <c r="H72" s="472"/>
      <c r="I72" s="472"/>
      <c r="J72" s="472"/>
      <c r="K72" s="472"/>
    </row>
    <row r="73" spans="2:11">
      <c r="B73" s="472"/>
      <c r="C73" s="472"/>
      <c r="D73" s="472"/>
      <c r="E73" s="472"/>
      <c r="F73" s="472"/>
      <c r="G73" s="472"/>
      <c r="H73" s="472"/>
      <c r="I73" s="472"/>
      <c r="J73" s="472"/>
      <c r="K73" s="472"/>
    </row>
    <row r="74" spans="2:11">
      <c r="B74" s="472"/>
      <c r="C74" s="472"/>
      <c r="D74" s="472"/>
      <c r="E74" s="472"/>
      <c r="F74" s="472"/>
      <c r="G74" s="472"/>
      <c r="H74" s="472"/>
      <c r="I74" s="472"/>
      <c r="J74" s="472"/>
      <c r="K74" s="472"/>
    </row>
    <row r="75" spans="2:11">
      <c r="B75" s="472"/>
      <c r="C75" s="472"/>
      <c r="D75" s="472"/>
      <c r="E75" s="472"/>
      <c r="F75" s="472"/>
      <c r="G75" s="472"/>
      <c r="H75" s="472"/>
      <c r="I75" s="472"/>
      <c r="J75" s="472"/>
      <c r="K75" s="472"/>
    </row>
    <row r="76" spans="2:11">
      <c r="B76" s="472"/>
      <c r="C76" s="472"/>
      <c r="D76" s="472"/>
      <c r="E76" s="472"/>
      <c r="F76" s="472"/>
      <c r="G76" s="472"/>
      <c r="H76" s="472"/>
      <c r="I76" s="472"/>
      <c r="J76" s="472"/>
      <c r="K76" s="472"/>
    </row>
    <row r="77" spans="2:11">
      <c r="B77" s="472"/>
      <c r="C77" s="472"/>
      <c r="D77" s="472"/>
      <c r="E77" s="472"/>
      <c r="F77" s="472"/>
      <c r="G77" s="472"/>
      <c r="H77" s="472"/>
      <c r="I77" s="472"/>
      <c r="J77" s="472"/>
      <c r="K77" s="472"/>
    </row>
    <row r="78" spans="2:11">
      <c r="B78" s="472"/>
      <c r="C78" s="472"/>
      <c r="D78" s="472"/>
      <c r="E78" s="472"/>
      <c r="F78" s="472"/>
      <c r="G78" s="472"/>
      <c r="H78" s="472"/>
      <c r="I78" s="472"/>
      <c r="J78" s="472"/>
      <c r="K78" s="472"/>
    </row>
    <row r="79" spans="2:11">
      <c r="B79" s="472"/>
      <c r="C79" s="472"/>
      <c r="D79" s="472"/>
      <c r="E79" s="472"/>
      <c r="F79" s="472"/>
      <c r="G79" s="472"/>
      <c r="H79" s="472"/>
      <c r="I79" s="472"/>
      <c r="J79" s="472"/>
      <c r="K79" s="472"/>
    </row>
  </sheetData>
  <customSheetViews>
    <customSheetView guid="{A374FC54-96E3-45F0-9C12-8450400C12DF}" scale="150">
      <pane xSplit="1" ySplit="5" topLeftCell="G42" activePane="bottomRight" state="frozen"/>
      <selection pane="bottomRight" activeCell="M50" sqref="M50"/>
      <pageMargins left="0.62992125984252001" right="0.511811023622047" top="0.511811023622047" bottom="0.31496062992126" header="0" footer="0.31496062992126"/>
      <pageSetup paperSize="132" firstPageNumber="20" orientation="portrait" useFirstPageNumber="1" r:id="rId1"/>
      <headerFooter alignWithMargins="0">
        <oddFooter>&amp;C&amp;"Times New Roman,Regular"&amp;8&amp;P</oddFooter>
      </headerFooter>
    </customSheetView>
  </customSheetViews>
  <mergeCells count="9">
    <mergeCell ref="K3:K4"/>
    <mergeCell ref="G3:I3"/>
    <mergeCell ref="B3:B4"/>
    <mergeCell ref="A3:A5"/>
    <mergeCell ref="G1:I1"/>
    <mergeCell ref="J3:J4"/>
    <mergeCell ref="D1:F1"/>
    <mergeCell ref="C3:C4"/>
    <mergeCell ref="D3:F3"/>
  </mergeCells>
  <phoneticPr fontId="6" type="noConversion"/>
  <conditionalFormatting sqref="A6:K6">
    <cfRule type="expression" dxfId="0" priority="60" stopIfTrue="1">
      <formula>MOD(ROW(),2)=1</formula>
    </cfRule>
  </conditionalFormatting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2"/>
  <dimension ref="A1:DF71"/>
  <sheetViews>
    <sheetView zoomScale="140" zoomScaleNormal="140" zoomScaleSheetLayoutView="110" workbookViewId="0">
      <pane xSplit="1" ySplit="8" topLeftCell="AX30" activePane="bottomRight" state="frozen"/>
      <selection activeCell="Q6" sqref="Q6"/>
      <selection pane="topRight" activeCell="Q6" sqref="Q6"/>
      <selection pane="bottomLeft" activeCell="Q6" sqref="Q6"/>
      <selection pane="bottomRight" activeCell="BU32" sqref="BU32"/>
    </sheetView>
  </sheetViews>
  <sheetFormatPr defaultRowHeight="12.75"/>
  <cols>
    <col min="1" max="1" width="7.85546875" style="1448" customWidth="1"/>
    <col min="2" max="2" width="7.28515625" style="1448" customWidth="1"/>
    <col min="3" max="3" width="8" style="1448" customWidth="1"/>
    <col min="4" max="4" width="5.85546875" style="1448" customWidth="1"/>
    <col min="5" max="5" width="6" style="1448" customWidth="1"/>
    <col min="6" max="6" width="7.42578125" style="1448" customWidth="1"/>
    <col min="7" max="7" width="7.7109375" style="1448" customWidth="1"/>
    <col min="8" max="8" width="8" style="1448" customWidth="1"/>
    <col min="9" max="9" width="6.85546875" style="1448" customWidth="1"/>
    <col min="10" max="10" width="6.7109375" style="1448" customWidth="1"/>
    <col min="11" max="11" width="6" style="1448" customWidth="1"/>
    <col min="12" max="12" width="5.7109375" style="1448" customWidth="1"/>
    <col min="13" max="13" width="4.28515625" style="1448" customWidth="1"/>
    <col min="14" max="14" width="7.140625" style="1448" customWidth="1"/>
    <col min="15" max="15" width="5.85546875" style="1448" customWidth="1"/>
    <col min="16" max="16" width="7.42578125" style="1448" bestFit="1" customWidth="1"/>
    <col min="17" max="17" width="5.7109375" style="1448" customWidth="1"/>
    <col min="18" max="18" width="7.28515625" style="1448" customWidth="1"/>
    <col min="19" max="20" width="6.140625" style="1448" customWidth="1"/>
    <col min="21" max="21" width="5.28515625" style="1448" customWidth="1"/>
    <col min="22" max="22" width="7" style="1448" customWidth="1"/>
    <col min="23" max="23" width="6.7109375" style="1448" bestFit="1" customWidth="1"/>
    <col min="24" max="24" width="6" style="1448" customWidth="1"/>
    <col min="25" max="25" width="7" style="1448" customWidth="1"/>
    <col min="26" max="26" width="8.140625" style="1448" customWidth="1"/>
    <col min="27" max="27" width="6.85546875" style="1448" customWidth="1"/>
    <col min="28" max="28" width="6.140625" style="1448" customWidth="1"/>
    <col min="29" max="29" width="5.28515625" style="1448" customWidth="1"/>
    <col min="30" max="30" width="6.85546875" style="1448" customWidth="1"/>
    <col min="31" max="31" width="6" style="1448" customWidth="1"/>
    <col min="32" max="32" width="6.5703125" style="1448" customWidth="1"/>
    <col min="33" max="33" width="5" style="1448" customWidth="1"/>
    <col min="34" max="34" width="7.28515625" style="1448" customWidth="1"/>
    <col min="35" max="35" width="5.42578125" style="1448" customWidth="1"/>
    <col min="36" max="36" width="6.140625" style="1448" customWidth="1"/>
    <col min="37" max="37" width="5.42578125" style="1448" customWidth="1"/>
    <col min="38" max="38" width="8.28515625" style="1448" customWidth="1"/>
    <col min="39" max="39" width="7.7109375" style="1448" customWidth="1"/>
    <col min="40" max="40" width="6.5703125" style="1448" customWidth="1"/>
    <col min="41" max="41" width="5.85546875" style="1448" bestFit="1" customWidth="1"/>
    <col min="42" max="42" width="6.5703125" style="1448" customWidth="1"/>
    <col min="43" max="43" width="5.140625" style="1448" customWidth="1"/>
    <col min="44" max="44" width="6.7109375" style="1448" customWidth="1"/>
    <col min="45" max="45" width="5.28515625" style="1448" customWidth="1"/>
    <col min="46" max="46" width="6.85546875" style="1448" customWidth="1"/>
    <col min="47" max="47" width="5.140625" style="1448" customWidth="1"/>
    <col min="48" max="48" width="6.28515625" style="1448" customWidth="1"/>
    <col min="49" max="49" width="5" style="1448" customWidth="1"/>
    <col min="50" max="50" width="6.7109375" style="1448" customWidth="1"/>
    <col min="51" max="51" width="6.140625" style="1448" customWidth="1"/>
    <col min="52" max="52" width="5" style="1448" customWidth="1"/>
    <col min="53" max="53" width="8" style="1448" customWidth="1"/>
    <col min="54" max="54" width="6.5703125" style="1448" customWidth="1"/>
    <col min="55" max="55" width="6.7109375" style="172" customWidth="1"/>
    <col min="56" max="56" width="6.85546875" style="1448" customWidth="1"/>
    <col min="57" max="57" width="6.140625" style="1448" customWidth="1"/>
    <col min="58" max="58" width="7.140625" style="1448" customWidth="1"/>
    <col min="59" max="59" width="6.85546875" style="1448" customWidth="1"/>
    <col min="60" max="60" width="7.7109375" style="1448" customWidth="1"/>
    <col min="61" max="62" width="7.28515625" style="1448" customWidth="1"/>
    <col min="63" max="63" width="10.28515625" style="1448" customWidth="1"/>
    <col min="64" max="64" width="7.42578125" style="1448" customWidth="1"/>
    <col min="65" max="65" width="9.5703125" style="1448" customWidth="1"/>
    <col min="66" max="66" width="6.42578125" style="1448" customWidth="1"/>
    <col min="67" max="67" width="7.85546875" style="1448" customWidth="1"/>
    <col min="68" max="68" width="7.7109375" style="1448" customWidth="1"/>
    <col min="69" max="69" width="9.140625" style="1448" customWidth="1"/>
    <col min="70" max="70" width="7.140625" style="1448" customWidth="1"/>
    <col min="71" max="71" width="6.140625" style="1448" customWidth="1"/>
    <col min="72" max="72" width="9.140625" style="1448"/>
    <col min="73" max="75" width="11.85546875" style="1448" bestFit="1" customWidth="1"/>
    <col min="76" max="16384" width="9.140625" style="1448"/>
  </cols>
  <sheetData>
    <row r="1" spans="1:75" ht="16.5" customHeight="1">
      <c r="A1" s="511"/>
      <c r="B1" s="511"/>
      <c r="C1" s="511"/>
      <c r="D1" s="511"/>
      <c r="E1" s="511"/>
      <c r="F1" s="512"/>
      <c r="G1" s="512"/>
      <c r="H1" s="512"/>
      <c r="I1" s="2210" t="s">
        <v>2757</v>
      </c>
      <c r="J1" s="2210"/>
      <c r="K1" s="2210"/>
      <c r="L1" s="2211" t="s">
        <v>2756</v>
      </c>
      <c r="M1" s="2211"/>
      <c r="N1" s="2211"/>
      <c r="O1" s="2211"/>
      <c r="P1" s="2211"/>
      <c r="Q1" s="2211"/>
      <c r="R1" s="512"/>
      <c r="S1" s="511"/>
      <c r="T1" s="511"/>
      <c r="U1" s="2295" t="s">
        <v>1520</v>
      </c>
      <c r="V1" s="2295"/>
      <c r="W1" s="2295"/>
      <c r="X1" s="2295"/>
      <c r="Y1" s="537"/>
      <c r="Z1" s="511"/>
      <c r="AA1" s="511"/>
      <c r="AB1" s="511"/>
      <c r="AC1" s="511"/>
      <c r="AD1" s="511"/>
      <c r="AE1" s="511"/>
      <c r="AF1" s="512"/>
      <c r="AG1" s="512"/>
      <c r="AH1" s="2210" t="s">
        <v>2757</v>
      </c>
      <c r="AI1" s="2210"/>
      <c r="AJ1" s="2210"/>
      <c r="AK1" s="2210"/>
      <c r="AL1" s="2211" t="s">
        <v>2756</v>
      </c>
      <c r="AM1" s="2211"/>
      <c r="AN1" s="2211"/>
      <c r="AO1" s="2211"/>
      <c r="AP1" s="2211"/>
      <c r="AQ1" s="2211"/>
      <c r="AR1" s="511"/>
      <c r="AS1" s="2209" t="s">
        <v>1965</v>
      </c>
      <c r="AT1" s="2209"/>
      <c r="AU1" s="2209"/>
      <c r="AV1" s="2209"/>
      <c r="AW1" s="2209"/>
      <c r="AX1" s="1453"/>
      <c r="AY1" s="511"/>
      <c r="AZ1" s="511"/>
      <c r="BA1" s="511"/>
      <c r="BB1" s="511"/>
      <c r="BC1" s="512"/>
      <c r="BD1" s="512"/>
      <c r="BE1" s="512"/>
      <c r="BF1" s="2210" t="s">
        <v>2757</v>
      </c>
      <c r="BG1" s="2210"/>
      <c r="BH1" s="2210"/>
      <c r="BI1" s="2210"/>
      <c r="BJ1" s="2211" t="s">
        <v>2756</v>
      </c>
      <c r="BK1" s="2211"/>
      <c r="BL1" s="2211"/>
      <c r="BM1" s="2211"/>
      <c r="BN1" s="2211"/>
      <c r="BO1" s="2211"/>
      <c r="BP1" s="2209" t="s">
        <v>1966</v>
      </c>
      <c r="BQ1" s="2209"/>
      <c r="BR1" s="2209"/>
      <c r="BS1" s="2209"/>
      <c r="BT1" s="1453"/>
      <c r="BU1" s="1453"/>
    </row>
    <row r="2" spans="1:75" ht="12.75" customHeight="1">
      <c r="A2" s="513"/>
      <c r="B2" s="513"/>
      <c r="C2" s="513"/>
      <c r="D2" s="513"/>
      <c r="E2" s="513"/>
      <c r="F2" s="513"/>
      <c r="G2" s="513"/>
      <c r="H2" s="513"/>
      <c r="I2" s="1455"/>
      <c r="J2" s="1455"/>
      <c r="K2" s="1455"/>
      <c r="L2" s="1455"/>
      <c r="M2" s="1455"/>
      <c r="N2" s="1455"/>
      <c r="O2" s="1455"/>
      <c r="P2" s="1455"/>
      <c r="Q2" s="1455"/>
      <c r="R2" s="1455"/>
      <c r="S2" s="511"/>
      <c r="T2" s="511"/>
      <c r="U2" s="2294" t="s">
        <v>1527</v>
      </c>
      <c r="V2" s="2294"/>
      <c r="W2" s="2294"/>
      <c r="X2" s="2294"/>
      <c r="Y2" s="537"/>
      <c r="Z2" s="511"/>
      <c r="AA2" s="511"/>
      <c r="AB2" s="511"/>
      <c r="AC2" s="511"/>
      <c r="AD2" s="511"/>
      <c r="AE2" s="511"/>
      <c r="AF2" s="511"/>
      <c r="AG2" s="1455"/>
      <c r="AH2" s="1455"/>
      <c r="AI2" s="1455"/>
      <c r="AJ2" s="1455"/>
      <c r="AK2" s="1455"/>
      <c r="AL2" s="1455"/>
      <c r="AM2" s="1455"/>
      <c r="AN2" s="1455"/>
      <c r="AO2" s="511"/>
      <c r="AP2" s="511"/>
      <c r="AQ2" s="511"/>
      <c r="AR2" s="511"/>
      <c r="AS2" s="2294" t="s">
        <v>1967</v>
      </c>
      <c r="AT2" s="2294"/>
      <c r="AU2" s="2294"/>
      <c r="AV2" s="2294"/>
      <c r="AW2" s="2294"/>
      <c r="AX2" s="183"/>
      <c r="AY2" s="511"/>
      <c r="AZ2" s="511"/>
      <c r="BA2" s="511"/>
      <c r="BB2" s="1455"/>
      <c r="BC2" s="1455"/>
      <c r="BD2" s="1455"/>
      <c r="BE2" s="1455"/>
      <c r="BF2" s="1455"/>
      <c r="BG2" s="1455"/>
      <c r="BH2" s="1455"/>
      <c r="BI2" s="511"/>
      <c r="BJ2" s="511"/>
      <c r="BK2" s="511"/>
      <c r="BL2" s="1455"/>
      <c r="BM2" s="1455"/>
      <c r="BN2" s="1455"/>
      <c r="BO2" s="1455"/>
      <c r="BP2" s="1455"/>
      <c r="BQ2" s="2207" t="s">
        <v>24</v>
      </c>
      <c r="BR2" s="2208"/>
      <c r="BS2" s="2208"/>
      <c r="BT2" s="183"/>
      <c r="BU2" s="183"/>
    </row>
    <row r="3" spans="1:75" ht="10.5" customHeight="1">
      <c r="A3" s="2252" t="s">
        <v>481</v>
      </c>
      <c r="B3" s="2226" t="s">
        <v>1082</v>
      </c>
      <c r="C3" s="2227"/>
      <c r="D3" s="2227"/>
      <c r="E3" s="2227"/>
      <c r="F3" s="2227"/>
      <c r="G3" s="2228"/>
      <c r="H3" s="2255" t="s">
        <v>2108</v>
      </c>
      <c r="I3" s="2256"/>
      <c r="J3" s="2261" t="s">
        <v>2363</v>
      </c>
      <c r="K3" s="2262"/>
      <c r="L3" s="2262"/>
      <c r="M3" s="2262"/>
      <c r="N3" s="2262"/>
      <c r="O3" s="2262"/>
      <c r="P3" s="2262"/>
      <c r="Q3" s="2262"/>
      <c r="R3" s="2262"/>
      <c r="S3" s="2262"/>
      <c r="T3" s="2262"/>
      <c r="U3" s="2262"/>
      <c r="V3" s="2262"/>
      <c r="W3" s="2262"/>
      <c r="X3" s="2206"/>
      <c r="Y3" s="2263" t="s">
        <v>1968</v>
      </c>
      <c r="Z3" s="1454"/>
      <c r="AA3" s="1336"/>
      <c r="AB3" s="1336"/>
      <c r="AC3" s="1336"/>
      <c r="AD3" s="1336"/>
      <c r="AE3" s="1336"/>
      <c r="AF3" s="1336"/>
      <c r="AG3" s="1336"/>
      <c r="AH3" s="1336"/>
      <c r="AI3" s="1336"/>
      <c r="AJ3" s="1336" t="s">
        <v>1969</v>
      </c>
      <c r="AK3" s="1336"/>
      <c r="AL3" s="1336" t="s">
        <v>1970</v>
      </c>
      <c r="AM3" s="1336"/>
      <c r="AN3" s="1336"/>
      <c r="AO3" s="1336"/>
      <c r="AP3" s="1336"/>
      <c r="AQ3" s="1336"/>
      <c r="AR3" s="1336"/>
      <c r="AS3" s="1336"/>
      <c r="AT3" s="1336"/>
      <c r="AU3" s="2276"/>
      <c r="AV3" s="2276"/>
      <c r="AW3" s="2277"/>
      <c r="AX3" s="2279" t="s">
        <v>481</v>
      </c>
      <c r="AY3" s="2282" t="s">
        <v>1971</v>
      </c>
      <c r="AZ3" s="2282"/>
      <c r="BA3" s="2282"/>
      <c r="BB3" s="2282"/>
      <c r="BC3" s="2226" t="s">
        <v>1153</v>
      </c>
      <c r="BD3" s="2227"/>
      <c r="BE3" s="2227"/>
      <c r="BF3" s="2228"/>
      <c r="BG3" s="2226" t="s">
        <v>1109</v>
      </c>
      <c r="BH3" s="2283"/>
      <c r="BI3" s="2284"/>
      <c r="BJ3" s="2226" t="s">
        <v>2222</v>
      </c>
      <c r="BK3" s="2227"/>
      <c r="BL3" s="2227"/>
      <c r="BM3" s="2228"/>
      <c r="BN3" s="2226" t="s">
        <v>1083</v>
      </c>
      <c r="BO3" s="2227"/>
      <c r="BP3" s="2227"/>
      <c r="BQ3" s="2228"/>
      <c r="BR3" s="2224" t="s">
        <v>1972</v>
      </c>
      <c r="BS3" s="2224" t="s">
        <v>1973</v>
      </c>
    </row>
    <row r="4" spans="1:75" ht="9" customHeight="1">
      <c r="A4" s="2253"/>
      <c r="B4" s="2229"/>
      <c r="C4" s="2230"/>
      <c r="D4" s="2230"/>
      <c r="E4" s="2230"/>
      <c r="F4" s="2230"/>
      <c r="G4" s="2231"/>
      <c r="H4" s="2257"/>
      <c r="I4" s="2258"/>
      <c r="J4" s="2275" t="s">
        <v>1084</v>
      </c>
      <c r="K4" s="2276"/>
      <c r="L4" s="2276"/>
      <c r="M4" s="2276"/>
      <c r="N4" s="2276"/>
      <c r="O4" s="2276"/>
      <c r="P4" s="2276"/>
      <c r="Q4" s="2276"/>
      <c r="R4" s="2276"/>
      <c r="S4" s="2276"/>
      <c r="T4" s="2276"/>
      <c r="U4" s="2276"/>
      <c r="V4" s="2276"/>
      <c r="W4" s="2276"/>
      <c r="X4" s="2277"/>
      <c r="Y4" s="2264"/>
      <c r="Z4" s="2275" t="s">
        <v>1085</v>
      </c>
      <c r="AA4" s="2276"/>
      <c r="AB4" s="2276"/>
      <c r="AC4" s="2276"/>
      <c r="AD4" s="2276"/>
      <c r="AE4" s="2276"/>
      <c r="AF4" s="2276"/>
      <c r="AG4" s="2276"/>
      <c r="AH4" s="2276"/>
      <c r="AI4" s="2276"/>
      <c r="AJ4" s="2276"/>
      <c r="AK4" s="2276"/>
      <c r="AL4" s="2276"/>
      <c r="AM4" s="2277"/>
      <c r="AN4" s="2233" t="s">
        <v>1086</v>
      </c>
      <c r="AO4" s="2234"/>
      <c r="AP4" s="2234"/>
      <c r="AQ4" s="2235"/>
      <c r="AR4" s="2239" t="s">
        <v>1087</v>
      </c>
      <c r="AS4" s="2240"/>
      <c r="AT4" s="2240"/>
      <c r="AU4" s="2240"/>
      <c r="AV4" s="2240"/>
      <c r="AW4" s="2241"/>
      <c r="AX4" s="2280"/>
      <c r="AY4" s="2245" t="s">
        <v>1087</v>
      </c>
      <c r="AZ4" s="2246"/>
      <c r="BA4" s="2226" t="s">
        <v>477</v>
      </c>
      <c r="BB4" s="2228"/>
      <c r="BC4" s="2229"/>
      <c r="BD4" s="2230"/>
      <c r="BE4" s="2230"/>
      <c r="BF4" s="2231"/>
      <c r="BG4" s="2285"/>
      <c r="BH4" s="2286"/>
      <c r="BI4" s="2287"/>
      <c r="BJ4" s="2229"/>
      <c r="BK4" s="2230"/>
      <c r="BL4" s="2230"/>
      <c r="BM4" s="2231"/>
      <c r="BN4" s="2229"/>
      <c r="BO4" s="2230"/>
      <c r="BP4" s="2230"/>
      <c r="BQ4" s="2231"/>
      <c r="BR4" s="2232"/>
      <c r="BS4" s="2232"/>
    </row>
    <row r="5" spans="1:75" ht="21" customHeight="1">
      <c r="A5" s="2253"/>
      <c r="B5" s="2255" t="s">
        <v>2109</v>
      </c>
      <c r="C5" s="2256"/>
      <c r="D5" s="2255" t="s">
        <v>1088</v>
      </c>
      <c r="E5" s="2256"/>
      <c r="F5" s="2255" t="s">
        <v>2110</v>
      </c>
      <c r="G5" s="2256"/>
      <c r="H5" s="2257"/>
      <c r="I5" s="2258"/>
      <c r="J5" s="2296" t="s">
        <v>2364</v>
      </c>
      <c r="K5" s="2262"/>
      <c r="L5" s="2262"/>
      <c r="M5" s="2206"/>
      <c r="N5" s="2266" t="s">
        <v>1089</v>
      </c>
      <c r="O5" s="2267"/>
      <c r="P5" s="2267"/>
      <c r="Q5" s="2268"/>
      <c r="R5" s="2266" t="s">
        <v>1090</v>
      </c>
      <c r="S5" s="2267"/>
      <c r="T5" s="2267"/>
      <c r="U5" s="2268"/>
      <c r="V5" s="2269" t="s">
        <v>477</v>
      </c>
      <c r="W5" s="2270"/>
      <c r="X5" s="2273" t="s">
        <v>2589</v>
      </c>
      <c r="Y5" s="2264"/>
      <c r="Z5" s="2266" t="s">
        <v>1498</v>
      </c>
      <c r="AA5" s="2267"/>
      <c r="AB5" s="2267"/>
      <c r="AC5" s="2268"/>
      <c r="AD5" s="2266" t="s">
        <v>1089</v>
      </c>
      <c r="AE5" s="2267"/>
      <c r="AF5" s="2267"/>
      <c r="AG5" s="2268"/>
      <c r="AH5" s="2266" t="s">
        <v>1091</v>
      </c>
      <c r="AI5" s="2267"/>
      <c r="AJ5" s="2267"/>
      <c r="AK5" s="2268"/>
      <c r="AL5" s="2269" t="s">
        <v>477</v>
      </c>
      <c r="AM5" s="2270"/>
      <c r="AN5" s="2236"/>
      <c r="AO5" s="2237"/>
      <c r="AP5" s="2237"/>
      <c r="AQ5" s="2238"/>
      <c r="AR5" s="2242"/>
      <c r="AS5" s="2243"/>
      <c r="AT5" s="2243"/>
      <c r="AU5" s="2243"/>
      <c r="AV5" s="2243"/>
      <c r="AW5" s="2244"/>
      <c r="AX5" s="2280"/>
      <c r="AY5" s="2247"/>
      <c r="AZ5" s="2248"/>
      <c r="BA5" s="2292"/>
      <c r="BB5" s="2293"/>
      <c r="BC5" s="2224" t="s">
        <v>1084</v>
      </c>
      <c r="BD5" s="2224" t="s">
        <v>1085</v>
      </c>
      <c r="BE5" s="2224" t="s">
        <v>1092</v>
      </c>
      <c r="BF5" s="2224" t="s">
        <v>477</v>
      </c>
      <c r="BG5" s="2290" t="s">
        <v>1093</v>
      </c>
      <c r="BH5" s="2255" t="s">
        <v>2365</v>
      </c>
      <c r="BI5" s="2256"/>
      <c r="BJ5" s="2224" t="s">
        <v>2223</v>
      </c>
      <c r="BK5" s="2214" t="s">
        <v>2224</v>
      </c>
      <c r="BL5" s="2215"/>
      <c r="BM5" s="2222" t="s">
        <v>2225</v>
      </c>
      <c r="BN5" s="2212" t="s">
        <v>1094</v>
      </c>
      <c r="BO5" s="2214" t="s">
        <v>1095</v>
      </c>
      <c r="BP5" s="2215"/>
      <c r="BQ5" s="2249" t="s">
        <v>1096</v>
      </c>
      <c r="BR5" s="2232"/>
      <c r="BS5" s="2232"/>
    </row>
    <row r="6" spans="1:75" ht="41.25" customHeight="1">
      <c r="A6" s="2253"/>
      <c r="B6" s="2259"/>
      <c r="C6" s="2260"/>
      <c r="D6" s="2259"/>
      <c r="E6" s="2260"/>
      <c r="F6" s="2259"/>
      <c r="G6" s="2260"/>
      <c r="H6" s="2259"/>
      <c r="I6" s="2260"/>
      <c r="J6" s="2218" t="s">
        <v>1974</v>
      </c>
      <c r="K6" s="2219"/>
      <c r="L6" s="2218" t="s">
        <v>1098</v>
      </c>
      <c r="M6" s="2219"/>
      <c r="N6" s="2218" t="s">
        <v>1097</v>
      </c>
      <c r="O6" s="2219"/>
      <c r="P6" s="2218" t="s">
        <v>1098</v>
      </c>
      <c r="Q6" s="2219"/>
      <c r="R6" s="2218" t="s">
        <v>1097</v>
      </c>
      <c r="S6" s="2219"/>
      <c r="T6" s="2218" t="s">
        <v>1098</v>
      </c>
      <c r="U6" s="2219"/>
      <c r="V6" s="2271"/>
      <c r="W6" s="2272"/>
      <c r="X6" s="2274"/>
      <c r="Y6" s="2264"/>
      <c r="Z6" s="2218" t="s">
        <v>1097</v>
      </c>
      <c r="AA6" s="2219"/>
      <c r="AB6" s="2218" t="s">
        <v>1098</v>
      </c>
      <c r="AC6" s="2219"/>
      <c r="AD6" s="2218" t="s">
        <v>1097</v>
      </c>
      <c r="AE6" s="2219"/>
      <c r="AF6" s="2218" t="s">
        <v>1098</v>
      </c>
      <c r="AG6" s="2219"/>
      <c r="AH6" s="2218" t="s">
        <v>1097</v>
      </c>
      <c r="AI6" s="2219"/>
      <c r="AJ6" s="2218" t="s">
        <v>1098</v>
      </c>
      <c r="AK6" s="2219"/>
      <c r="AL6" s="2271"/>
      <c r="AM6" s="2272"/>
      <c r="AN6" s="2218" t="s">
        <v>1097</v>
      </c>
      <c r="AO6" s="2219"/>
      <c r="AP6" s="2218" t="s">
        <v>1098</v>
      </c>
      <c r="AQ6" s="2219"/>
      <c r="AR6" s="2220" t="s">
        <v>1499</v>
      </c>
      <c r="AS6" s="2221"/>
      <c r="AT6" s="2220" t="s">
        <v>1099</v>
      </c>
      <c r="AU6" s="2221"/>
      <c r="AV6" s="2220" t="s">
        <v>1100</v>
      </c>
      <c r="AW6" s="2221"/>
      <c r="AX6" s="2280"/>
      <c r="AY6" s="2220" t="s">
        <v>477</v>
      </c>
      <c r="AZ6" s="2221"/>
      <c r="BA6" s="2229"/>
      <c r="BB6" s="2231"/>
      <c r="BC6" s="2225"/>
      <c r="BD6" s="2225"/>
      <c r="BE6" s="2225"/>
      <c r="BF6" s="2251"/>
      <c r="BG6" s="2291"/>
      <c r="BH6" s="2259"/>
      <c r="BI6" s="2260"/>
      <c r="BJ6" s="2225"/>
      <c r="BK6" s="2216"/>
      <c r="BL6" s="2217"/>
      <c r="BM6" s="2223"/>
      <c r="BN6" s="2213"/>
      <c r="BO6" s="2216"/>
      <c r="BP6" s="2217"/>
      <c r="BQ6" s="2250"/>
      <c r="BR6" s="2225"/>
      <c r="BS6" s="2225"/>
    </row>
    <row r="7" spans="1:75" ht="29.25" customHeight="1">
      <c r="A7" s="2253"/>
      <c r="B7" s="514" t="s">
        <v>1975</v>
      </c>
      <c r="C7" s="514" t="s">
        <v>1521</v>
      </c>
      <c r="D7" s="514" t="s">
        <v>1101</v>
      </c>
      <c r="E7" s="514" t="s">
        <v>1521</v>
      </c>
      <c r="F7" s="1337" t="s">
        <v>1101</v>
      </c>
      <c r="G7" s="1337" t="s">
        <v>1521</v>
      </c>
      <c r="H7" s="514" t="s">
        <v>1101</v>
      </c>
      <c r="I7" s="514" t="s">
        <v>1521</v>
      </c>
      <c r="J7" s="514" t="s">
        <v>1101</v>
      </c>
      <c r="K7" s="514" t="s">
        <v>1521</v>
      </c>
      <c r="L7" s="514" t="s">
        <v>1101</v>
      </c>
      <c r="M7" s="927" t="s">
        <v>1521</v>
      </c>
      <c r="N7" s="514" t="s">
        <v>1101</v>
      </c>
      <c r="O7" s="515" t="s">
        <v>1521</v>
      </c>
      <c r="P7" s="514" t="s">
        <v>1101</v>
      </c>
      <c r="Q7" s="515" t="s">
        <v>1521</v>
      </c>
      <c r="R7" s="514" t="s">
        <v>1101</v>
      </c>
      <c r="S7" s="515" t="s">
        <v>1521</v>
      </c>
      <c r="T7" s="514" t="s">
        <v>1101</v>
      </c>
      <c r="U7" s="515" t="s">
        <v>1521</v>
      </c>
      <c r="V7" s="514" t="s">
        <v>1101</v>
      </c>
      <c r="W7" s="515" t="s">
        <v>1521</v>
      </c>
      <c r="X7" s="514" t="s">
        <v>1521</v>
      </c>
      <c r="Y7" s="2264"/>
      <c r="Z7" s="514" t="s">
        <v>1101</v>
      </c>
      <c r="AA7" s="514" t="s">
        <v>1521</v>
      </c>
      <c r="AB7" s="514" t="s">
        <v>1101</v>
      </c>
      <c r="AC7" s="514" t="s">
        <v>1521</v>
      </c>
      <c r="AD7" s="514" t="s">
        <v>1101</v>
      </c>
      <c r="AE7" s="514" t="s">
        <v>1522</v>
      </c>
      <c r="AF7" s="514" t="s">
        <v>1101</v>
      </c>
      <c r="AG7" s="514" t="s">
        <v>1521</v>
      </c>
      <c r="AH7" s="514" t="s">
        <v>1101</v>
      </c>
      <c r="AI7" s="514" t="s">
        <v>1521</v>
      </c>
      <c r="AJ7" s="514" t="s">
        <v>1101</v>
      </c>
      <c r="AK7" s="514" t="s">
        <v>1521</v>
      </c>
      <c r="AL7" s="514" t="s">
        <v>1101</v>
      </c>
      <c r="AM7" s="514" t="s">
        <v>1521</v>
      </c>
      <c r="AN7" s="514" t="s">
        <v>1101</v>
      </c>
      <c r="AO7" s="514" t="s">
        <v>1521</v>
      </c>
      <c r="AP7" s="514" t="s">
        <v>1101</v>
      </c>
      <c r="AQ7" s="514" t="s">
        <v>1521</v>
      </c>
      <c r="AR7" s="514" t="s">
        <v>1101</v>
      </c>
      <c r="AS7" s="514" t="s">
        <v>1521</v>
      </c>
      <c r="AT7" s="514" t="s">
        <v>1101</v>
      </c>
      <c r="AU7" s="514" t="s">
        <v>1521</v>
      </c>
      <c r="AV7" s="514" t="s">
        <v>1101</v>
      </c>
      <c r="AW7" s="514" t="s">
        <v>1521</v>
      </c>
      <c r="AX7" s="2280"/>
      <c r="AY7" s="514" t="s">
        <v>1101</v>
      </c>
      <c r="AZ7" s="514" t="s">
        <v>1521</v>
      </c>
      <c r="BA7" s="514" t="s">
        <v>1101</v>
      </c>
      <c r="BB7" s="514" t="s">
        <v>1521</v>
      </c>
      <c r="BC7" s="514" t="s">
        <v>1152</v>
      </c>
      <c r="BD7" s="514" t="s">
        <v>1152</v>
      </c>
      <c r="BE7" s="514" t="s">
        <v>1102</v>
      </c>
      <c r="BF7" s="514" t="s">
        <v>1102</v>
      </c>
      <c r="BG7" s="514" t="s">
        <v>1102</v>
      </c>
      <c r="BH7" s="514" t="s">
        <v>1101</v>
      </c>
      <c r="BI7" s="514" t="s">
        <v>1521</v>
      </c>
      <c r="BJ7" s="514" t="s">
        <v>1102</v>
      </c>
      <c r="BK7" s="514" t="s">
        <v>1101</v>
      </c>
      <c r="BL7" s="514" t="s">
        <v>1521</v>
      </c>
      <c r="BM7" s="514" t="s">
        <v>1102</v>
      </c>
      <c r="BN7" s="514" t="s">
        <v>1102</v>
      </c>
      <c r="BO7" s="514" t="s">
        <v>1101</v>
      </c>
      <c r="BP7" s="514" t="s">
        <v>1521</v>
      </c>
      <c r="BQ7" s="514" t="s">
        <v>1102</v>
      </c>
      <c r="BR7" s="514" t="s">
        <v>1102</v>
      </c>
      <c r="BS7" s="514" t="s">
        <v>1102</v>
      </c>
    </row>
    <row r="8" spans="1:75" ht="9" customHeight="1">
      <c r="A8" s="2254"/>
      <c r="B8" s="2203">
        <v>1</v>
      </c>
      <c r="C8" s="2204"/>
      <c r="D8" s="2203">
        <v>2</v>
      </c>
      <c r="E8" s="2205"/>
      <c r="F8" s="2203" t="s">
        <v>1103</v>
      </c>
      <c r="G8" s="2204"/>
      <c r="H8" s="2203">
        <v>4</v>
      </c>
      <c r="I8" s="2204"/>
      <c r="J8" s="2203">
        <v>5</v>
      </c>
      <c r="K8" s="2204"/>
      <c r="L8" s="2203">
        <v>6</v>
      </c>
      <c r="M8" s="2204"/>
      <c r="N8" s="2203">
        <v>7</v>
      </c>
      <c r="O8" s="2204"/>
      <c r="P8" s="2203">
        <v>8</v>
      </c>
      <c r="Q8" s="2204"/>
      <c r="R8" s="2203">
        <v>9</v>
      </c>
      <c r="S8" s="2204"/>
      <c r="T8" s="2203">
        <v>10</v>
      </c>
      <c r="U8" s="2204"/>
      <c r="V8" s="2203" t="s">
        <v>1104</v>
      </c>
      <c r="W8" s="2204"/>
      <c r="X8" s="789">
        <v>12</v>
      </c>
      <c r="Y8" s="2265"/>
      <c r="Z8" s="2203">
        <v>13</v>
      </c>
      <c r="AA8" s="2204"/>
      <c r="AB8" s="2203">
        <v>14</v>
      </c>
      <c r="AC8" s="2204"/>
      <c r="AD8" s="2203">
        <v>15</v>
      </c>
      <c r="AE8" s="2206"/>
      <c r="AF8" s="2203">
        <v>16</v>
      </c>
      <c r="AG8" s="2204"/>
      <c r="AH8" s="2203">
        <v>17</v>
      </c>
      <c r="AI8" s="2206"/>
      <c r="AJ8" s="2203">
        <v>18</v>
      </c>
      <c r="AK8" s="2204"/>
      <c r="AL8" s="2203" t="s">
        <v>1105</v>
      </c>
      <c r="AM8" s="2204"/>
      <c r="AN8" s="2203">
        <v>20</v>
      </c>
      <c r="AO8" s="2204"/>
      <c r="AP8" s="2203">
        <v>21</v>
      </c>
      <c r="AQ8" s="2204"/>
      <c r="AR8" s="2203">
        <v>22</v>
      </c>
      <c r="AS8" s="2204"/>
      <c r="AT8" s="2203">
        <v>23</v>
      </c>
      <c r="AU8" s="2204"/>
      <c r="AV8" s="2203">
        <v>24</v>
      </c>
      <c r="AW8" s="2204"/>
      <c r="AX8" s="2281"/>
      <c r="AY8" s="2288" t="s">
        <v>1106</v>
      </c>
      <c r="AZ8" s="2206"/>
      <c r="BA8" s="2289" t="s">
        <v>1107</v>
      </c>
      <c r="BB8" s="2206"/>
      <c r="BC8" s="789">
        <v>27</v>
      </c>
      <c r="BD8" s="789">
        <v>28</v>
      </c>
      <c r="BE8" s="789">
        <v>29</v>
      </c>
      <c r="BF8" s="924" t="s">
        <v>1151</v>
      </c>
      <c r="BG8" s="789">
        <v>31</v>
      </c>
      <c r="BH8" s="789">
        <v>32</v>
      </c>
      <c r="BI8" s="789">
        <v>33</v>
      </c>
      <c r="BJ8" s="789">
        <v>34</v>
      </c>
      <c r="BK8" s="2203">
        <v>35</v>
      </c>
      <c r="BL8" s="2204"/>
      <c r="BM8" s="789">
        <v>36</v>
      </c>
      <c r="BN8" s="789">
        <v>37</v>
      </c>
      <c r="BO8" s="2203">
        <v>38</v>
      </c>
      <c r="BP8" s="2204"/>
      <c r="BQ8" s="789">
        <v>39</v>
      </c>
      <c r="BR8" s="789">
        <v>40</v>
      </c>
      <c r="BS8" s="789">
        <v>41</v>
      </c>
    </row>
    <row r="9" spans="1:75" s="172" customFormat="1" ht="10.5" customHeight="1">
      <c r="A9" s="1270" t="s">
        <v>1033</v>
      </c>
      <c r="B9" s="1270">
        <v>23978480</v>
      </c>
      <c r="C9" s="1935">
        <v>1464009.7289322768</v>
      </c>
      <c r="D9" s="1270">
        <v>44278</v>
      </c>
      <c r="E9" s="1935">
        <v>1018.6778832269999</v>
      </c>
      <c r="F9" s="1270">
        <v>24022758</v>
      </c>
      <c r="G9" s="1935">
        <v>1465028.3768155039</v>
      </c>
      <c r="H9" s="1270">
        <v>10239509</v>
      </c>
      <c r="I9" s="1935">
        <v>71466.937429648984</v>
      </c>
      <c r="J9" s="1270">
        <v>998449</v>
      </c>
      <c r="K9" s="1935">
        <v>646.08967006300009</v>
      </c>
      <c r="L9" s="1270">
        <v>28021</v>
      </c>
      <c r="M9" s="1935">
        <v>58.784323374000003</v>
      </c>
      <c r="N9" s="1270">
        <v>6761512</v>
      </c>
      <c r="O9" s="1935">
        <v>4060.5280064609997</v>
      </c>
      <c r="P9" s="1270">
        <v>696549</v>
      </c>
      <c r="Q9" s="1935">
        <v>925.00183520100018</v>
      </c>
      <c r="R9" s="1270">
        <v>253116</v>
      </c>
      <c r="S9" s="1935">
        <v>33.120208383000005</v>
      </c>
      <c r="T9" s="1270">
        <v>100313</v>
      </c>
      <c r="U9" s="1935">
        <v>148.52871070899999</v>
      </c>
      <c r="V9" s="1270">
        <v>8837960</v>
      </c>
      <c r="W9" s="1935">
        <v>5872.1027541909998</v>
      </c>
      <c r="X9" s="1935">
        <v>2848.2799999999997</v>
      </c>
      <c r="Y9" s="1270" t="s">
        <v>1033</v>
      </c>
      <c r="Z9" s="1270">
        <v>109437869</v>
      </c>
      <c r="AA9" s="1935">
        <v>82463.211347299992</v>
      </c>
      <c r="AB9" s="1270">
        <v>32304</v>
      </c>
      <c r="AC9" s="1935">
        <v>72.503609452000006</v>
      </c>
      <c r="AD9" s="1270">
        <v>4471176</v>
      </c>
      <c r="AE9" s="1935">
        <v>5484.155814492</v>
      </c>
      <c r="AF9" s="1270">
        <v>68426</v>
      </c>
      <c r="AG9" s="1935">
        <v>67.242002869999993</v>
      </c>
      <c r="AH9" s="1270">
        <v>689996</v>
      </c>
      <c r="AI9" s="1935">
        <v>77.175405626</v>
      </c>
      <c r="AJ9" s="1270">
        <v>15022</v>
      </c>
      <c r="AK9" s="1935">
        <v>17.501102213199999</v>
      </c>
      <c r="AL9" s="1270">
        <v>114714793</v>
      </c>
      <c r="AM9" s="1935">
        <v>88181.789374014203</v>
      </c>
      <c r="AN9" s="1270">
        <v>413236</v>
      </c>
      <c r="AO9" s="1935">
        <v>246.07698346200002</v>
      </c>
      <c r="AP9" s="1270">
        <v>87958</v>
      </c>
      <c r="AQ9" s="1935">
        <v>178.202189041</v>
      </c>
      <c r="AR9" s="1270">
        <v>1230385</v>
      </c>
      <c r="AS9" s="1935">
        <v>1225.122370545</v>
      </c>
      <c r="AT9" s="1270">
        <v>3413293</v>
      </c>
      <c r="AU9" s="1935">
        <v>2328.170729938</v>
      </c>
      <c r="AV9" s="1270">
        <v>19647</v>
      </c>
      <c r="AW9" s="1935">
        <v>49.56867063</v>
      </c>
      <c r="AX9" s="1270" t="s">
        <v>1033</v>
      </c>
      <c r="AY9" s="1270">
        <v>4663325</v>
      </c>
      <c r="AZ9" s="1935">
        <v>3602.8217711130005</v>
      </c>
      <c r="BA9" s="1270">
        <v>128717272</v>
      </c>
      <c r="BB9" s="1935">
        <v>98075.655860283223</v>
      </c>
      <c r="BC9" s="1270">
        <v>583209</v>
      </c>
      <c r="BD9" s="1270">
        <v>8547688</v>
      </c>
      <c r="BE9" s="1270">
        <v>113248</v>
      </c>
      <c r="BF9" s="1270">
        <v>9244145</v>
      </c>
      <c r="BG9" s="1270">
        <v>1460092</v>
      </c>
      <c r="BH9" s="1270">
        <v>5863004</v>
      </c>
      <c r="BI9" s="1935">
        <v>18357.901878275999</v>
      </c>
      <c r="BJ9" s="1270">
        <v>547407</v>
      </c>
      <c r="BK9" s="1270">
        <v>939607060</v>
      </c>
      <c r="BL9" s="1935">
        <v>142292.75133781202</v>
      </c>
      <c r="BM9" s="1270">
        <v>28625074</v>
      </c>
      <c r="BN9" s="1270">
        <v>100</v>
      </c>
      <c r="BO9" s="1270">
        <v>243530</v>
      </c>
      <c r="BP9" s="1935">
        <v>301.16054062199998</v>
      </c>
      <c r="BQ9" s="1270">
        <v>37052</v>
      </c>
      <c r="BR9" s="1270">
        <v>6346</v>
      </c>
      <c r="BS9" s="1270">
        <v>28587</v>
      </c>
    </row>
    <row r="10" spans="1:75" s="172" customFormat="1" ht="10.5" customHeight="1">
      <c r="A10" s="1936" t="s">
        <v>1154</v>
      </c>
      <c r="B10" s="1936">
        <v>22289753</v>
      </c>
      <c r="C10" s="1937">
        <v>1669465.3599999999</v>
      </c>
      <c r="D10" s="1936">
        <v>37182</v>
      </c>
      <c r="E10" s="1937">
        <v>1056.9699999999998</v>
      </c>
      <c r="F10" s="1936">
        <v>22326935</v>
      </c>
      <c r="G10" s="1937">
        <v>1670522.24</v>
      </c>
      <c r="H10" s="1936">
        <v>13548271</v>
      </c>
      <c r="I10" s="1937">
        <v>90953.55</v>
      </c>
      <c r="J10" s="1936">
        <v>1068730</v>
      </c>
      <c r="K10" s="1937">
        <v>704.32</v>
      </c>
      <c r="L10" s="1936">
        <v>31335</v>
      </c>
      <c r="M10" s="1937">
        <v>55.879999999999995</v>
      </c>
      <c r="N10" s="1936">
        <v>8541661</v>
      </c>
      <c r="O10" s="1937">
        <v>4957.66</v>
      </c>
      <c r="P10" s="1936">
        <v>907456</v>
      </c>
      <c r="Q10" s="1937">
        <v>1110.93</v>
      </c>
      <c r="R10" s="1936">
        <v>479308</v>
      </c>
      <c r="S10" s="1937">
        <v>71.839999999999975</v>
      </c>
      <c r="T10" s="1936">
        <v>199561</v>
      </c>
      <c r="U10" s="1937">
        <v>209.04000000000002</v>
      </c>
      <c r="V10" s="1936">
        <v>11228051</v>
      </c>
      <c r="W10" s="1937">
        <v>7109.7800000000007</v>
      </c>
      <c r="X10" s="1937">
        <v>3002.09</v>
      </c>
      <c r="Y10" s="1936" t="s">
        <v>1154</v>
      </c>
      <c r="Z10" s="1936">
        <v>144624702</v>
      </c>
      <c r="AA10" s="1937">
        <v>103942.53</v>
      </c>
      <c r="AB10" s="1936">
        <v>18111</v>
      </c>
      <c r="AC10" s="1937">
        <v>61.669999999999995</v>
      </c>
      <c r="AD10" s="1936">
        <v>6600050</v>
      </c>
      <c r="AE10" s="1937">
        <v>6668.11</v>
      </c>
      <c r="AF10" s="1936">
        <v>47953</v>
      </c>
      <c r="AG10" s="1937">
        <v>71.12</v>
      </c>
      <c r="AH10" s="1936">
        <v>586851</v>
      </c>
      <c r="AI10" s="1937">
        <v>79.209999999999994</v>
      </c>
      <c r="AJ10" s="1936">
        <v>17265</v>
      </c>
      <c r="AK10" s="1937">
        <v>22</v>
      </c>
      <c r="AL10" s="1936">
        <v>151894932</v>
      </c>
      <c r="AM10" s="1937">
        <v>110844.63999999998</v>
      </c>
      <c r="AN10" s="1936">
        <v>562137</v>
      </c>
      <c r="AO10" s="1937">
        <v>359.77000000000004</v>
      </c>
      <c r="AP10" s="1936">
        <v>97635</v>
      </c>
      <c r="AQ10" s="1937">
        <v>111.22999999999999</v>
      </c>
      <c r="AR10" s="1936">
        <v>790240</v>
      </c>
      <c r="AS10" s="1937">
        <v>1179.3</v>
      </c>
      <c r="AT10" s="1936">
        <v>2307859</v>
      </c>
      <c r="AU10" s="1937">
        <v>2180.1</v>
      </c>
      <c r="AV10" s="1936">
        <v>261323</v>
      </c>
      <c r="AW10" s="1937">
        <v>71.890000000000015</v>
      </c>
      <c r="AX10" s="1936" t="s">
        <v>1154</v>
      </c>
      <c r="AY10" s="1936">
        <v>3359422</v>
      </c>
      <c r="AZ10" s="1937">
        <v>3431.24</v>
      </c>
      <c r="BA10" s="1936">
        <v>167122535</v>
      </c>
      <c r="BB10" s="1937">
        <v>121795.34999999998</v>
      </c>
      <c r="BC10" s="1936">
        <v>769296</v>
      </c>
      <c r="BD10" s="1936">
        <v>9062049</v>
      </c>
      <c r="BE10" s="1936">
        <v>160225</v>
      </c>
      <c r="BF10" s="1936">
        <v>9991570</v>
      </c>
      <c r="BG10" s="1936">
        <v>1436837</v>
      </c>
      <c r="BH10" s="1936">
        <v>7457338</v>
      </c>
      <c r="BI10" s="1937">
        <v>25524.160000000003</v>
      </c>
      <c r="BJ10" s="1936">
        <v>617418</v>
      </c>
      <c r="BK10" s="1936">
        <v>1354198797</v>
      </c>
      <c r="BL10" s="1937">
        <v>196061.47</v>
      </c>
      <c r="BM10" s="1936">
        <v>36333933</v>
      </c>
      <c r="BN10" s="1936">
        <v>610</v>
      </c>
      <c r="BO10" s="1936">
        <v>2115664</v>
      </c>
      <c r="BP10" s="1937">
        <v>3579.19</v>
      </c>
      <c r="BQ10" s="1936">
        <v>261693</v>
      </c>
      <c r="BR10" s="1936">
        <v>8517</v>
      </c>
      <c r="BS10" s="1936">
        <v>32270</v>
      </c>
      <c r="BT10" s="1012"/>
    </row>
    <row r="11" spans="1:75" s="172" customFormat="1" ht="10.5" customHeight="1">
      <c r="A11" s="1270" t="s">
        <v>1178</v>
      </c>
      <c r="B11" s="1270">
        <v>22322674</v>
      </c>
      <c r="C11" s="1935">
        <v>1890492.57</v>
      </c>
      <c r="D11" s="1270">
        <v>28084</v>
      </c>
      <c r="E11" s="1935">
        <v>1795.25</v>
      </c>
      <c r="F11" s="1270">
        <v>22350758</v>
      </c>
      <c r="G11" s="1935">
        <v>1892287.75</v>
      </c>
      <c r="H11" s="1270">
        <v>13740301</v>
      </c>
      <c r="I11" s="1935">
        <v>106392.4</v>
      </c>
      <c r="J11" s="1270">
        <v>1232084</v>
      </c>
      <c r="K11" s="1935">
        <v>865.73</v>
      </c>
      <c r="L11" s="1270">
        <v>39679</v>
      </c>
      <c r="M11" s="1935">
        <v>68.77</v>
      </c>
      <c r="N11" s="1270">
        <v>10419658</v>
      </c>
      <c r="O11" s="1935">
        <v>5608.25</v>
      </c>
      <c r="P11" s="1270">
        <v>1315626</v>
      </c>
      <c r="Q11" s="1935">
        <v>1353.7</v>
      </c>
      <c r="R11" s="1270">
        <v>976634</v>
      </c>
      <c r="S11" s="1935">
        <v>188.72999999999996</v>
      </c>
      <c r="T11" s="1270">
        <v>363752</v>
      </c>
      <c r="U11" s="1935">
        <v>353.77</v>
      </c>
      <c r="V11" s="1270">
        <v>14347433</v>
      </c>
      <c r="W11" s="1935">
        <v>8439.2599999999984</v>
      </c>
      <c r="X11" s="1935">
        <v>3490.8100000000004</v>
      </c>
      <c r="Y11" s="1270" t="s">
        <v>1178</v>
      </c>
      <c r="Z11" s="1270">
        <v>146235630</v>
      </c>
      <c r="AA11" s="1935">
        <v>110256.77</v>
      </c>
      <c r="AB11" s="1270">
        <v>17173</v>
      </c>
      <c r="AC11" s="1935">
        <v>41.2</v>
      </c>
      <c r="AD11" s="1270">
        <v>7537435</v>
      </c>
      <c r="AE11" s="1935">
        <v>5396.44</v>
      </c>
      <c r="AF11" s="1270">
        <v>54815</v>
      </c>
      <c r="AG11" s="1935">
        <v>91.14</v>
      </c>
      <c r="AH11" s="1270">
        <v>861696</v>
      </c>
      <c r="AI11" s="1935">
        <v>159.82999999999998</v>
      </c>
      <c r="AJ11" s="1270">
        <v>20053</v>
      </c>
      <c r="AK11" s="1935">
        <v>22.61</v>
      </c>
      <c r="AL11" s="1270">
        <v>154726802</v>
      </c>
      <c r="AM11" s="1935">
        <v>115968.20999999999</v>
      </c>
      <c r="AN11" s="1270">
        <v>707730</v>
      </c>
      <c r="AO11" s="1935">
        <v>484.18999999999994</v>
      </c>
      <c r="AP11" s="1270">
        <v>135948</v>
      </c>
      <c r="AQ11" s="1935">
        <v>200.08</v>
      </c>
      <c r="AR11" s="1270">
        <v>673548</v>
      </c>
      <c r="AS11" s="1935">
        <v>1013.99</v>
      </c>
      <c r="AT11" s="1270">
        <v>993729</v>
      </c>
      <c r="AU11" s="1935">
        <v>920.83999999999992</v>
      </c>
      <c r="AV11" s="1270">
        <v>624526</v>
      </c>
      <c r="AW11" s="1935">
        <v>116.24000000000001</v>
      </c>
      <c r="AX11" s="1270" t="s">
        <v>1178</v>
      </c>
      <c r="AY11" s="1270">
        <v>2291803</v>
      </c>
      <c r="AZ11" s="1935">
        <v>2051.16</v>
      </c>
      <c r="BA11" s="1270">
        <v>172160012</v>
      </c>
      <c r="BB11" s="1935">
        <v>127025.1</v>
      </c>
      <c r="BC11" s="1270">
        <v>936148</v>
      </c>
      <c r="BD11" s="1270">
        <v>10802217</v>
      </c>
      <c r="BE11" s="1270">
        <v>205285</v>
      </c>
      <c r="BF11" s="1270">
        <v>11943650</v>
      </c>
      <c r="BG11" s="1270">
        <v>1621377</v>
      </c>
      <c r="BH11" s="1270">
        <v>7110797</v>
      </c>
      <c r="BI11" s="1935">
        <v>35753.89</v>
      </c>
      <c r="BJ11" s="1270">
        <v>758570</v>
      </c>
      <c r="BK11" s="1270">
        <v>1663219636</v>
      </c>
      <c r="BL11" s="1935">
        <v>277072.70999999996</v>
      </c>
      <c r="BM11" s="1270">
        <v>53702690</v>
      </c>
      <c r="BN11" s="1270">
        <v>2891</v>
      </c>
      <c r="BO11" s="1270">
        <v>6773093</v>
      </c>
      <c r="BP11" s="1935">
        <v>12556.86</v>
      </c>
      <c r="BQ11" s="1270">
        <v>845699</v>
      </c>
      <c r="BR11" s="1270">
        <v>9246</v>
      </c>
      <c r="BS11" s="1270">
        <v>36288</v>
      </c>
      <c r="BT11" s="1012"/>
      <c r="BU11" s="1012"/>
      <c r="BV11" s="1012"/>
      <c r="BW11" s="1012"/>
    </row>
    <row r="12" spans="1:75" s="172" customFormat="1" ht="10.5" customHeight="1">
      <c r="A12" s="1936" t="s">
        <v>1298</v>
      </c>
      <c r="B12" s="1936">
        <v>22627089</v>
      </c>
      <c r="C12" s="1937">
        <v>2161164.56</v>
      </c>
      <c r="D12" s="1936">
        <v>23670</v>
      </c>
      <c r="E12" s="1937">
        <v>927.43000000000006</v>
      </c>
      <c r="F12" s="1936">
        <v>22650759</v>
      </c>
      <c r="G12" s="1937">
        <v>2162091.9900000002</v>
      </c>
      <c r="H12" s="1936">
        <v>17876492</v>
      </c>
      <c r="I12" s="1937">
        <v>146257.59</v>
      </c>
      <c r="J12" s="1936">
        <v>1561972</v>
      </c>
      <c r="K12" s="1937">
        <v>1109.03</v>
      </c>
      <c r="L12" s="1936">
        <v>49077</v>
      </c>
      <c r="M12" s="1937">
        <v>142.41999999999999</v>
      </c>
      <c r="N12" s="1936">
        <v>12465119</v>
      </c>
      <c r="O12" s="1937">
        <v>6980.8300000000017</v>
      </c>
      <c r="P12" s="1936">
        <v>1613052</v>
      </c>
      <c r="Q12" s="1937">
        <v>1615.1100000000001</v>
      </c>
      <c r="R12" s="1936">
        <v>1981491</v>
      </c>
      <c r="S12" s="1937">
        <v>337.93999999999994</v>
      </c>
      <c r="T12" s="1936">
        <v>595913</v>
      </c>
      <c r="U12" s="1937">
        <v>598.15</v>
      </c>
      <c r="V12" s="1936">
        <v>18266624</v>
      </c>
      <c r="W12" s="1937">
        <v>10783.369999999999</v>
      </c>
      <c r="X12" s="1937">
        <v>4257.9500000000007</v>
      </c>
      <c r="Y12" s="1936" t="s">
        <v>1298</v>
      </c>
      <c r="Z12" s="1936">
        <v>163642668</v>
      </c>
      <c r="AA12" s="1937">
        <v>124401.26999999999</v>
      </c>
      <c r="AB12" s="1936">
        <v>17071</v>
      </c>
      <c r="AC12" s="1937">
        <v>44.7</v>
      </c>
      <c r="AD12" s="1936">
        <v>9043546</v>
      </c>
      <c r="AE12" s="1937">
        <v>5563.4999999999991</v>
      </c>
      <c r="AF12" s="1936">
        <v>60230</v>
      </c>
      <c r="AG12" s="1937">
        <v>113.01</v>
      </c>
      <c r="AH12" s="1936">
        <v>3002978</v>
      </c>
      <c r="AI12" s="1937">
        <v>307.50000000000006</v>
      </c>
      <c r="AJ12" s="1936">
        <v>32101</v>
      </c>
      <c r="AK12" s="1937">
        <v>36</v>
      </c>
      <c r="AL12" s="1936">
        <v>175798594</v>
      </c>
      <c r="AM12" s="1937">
        <v>130466.12</v>
      </c>
      <c r="AN12" s="1936">
        <v>902167</v>
      </c>
      <c r="AO12" s="1937">
        <v>611.38</v>
      </c>
      <c r="AP12" s="1936">
        <v>328135</v>
      </c>
      <c r="AQ12" s="1937">
        <v>372.05</v>
      </c>
      <c r="AR12" s="1936">
        <v>468092</v>
      </c>
      <c r="AS12" s="1937">
        <v>1175.83</v>
      </c>
      <c r="AT12" s="1936">
        <v>1397236</v>
      </c>
      <c r="AU12" s="1937">
        <v>1330.15</v>
      </c>
      <c r="AV12" s="1936">
        <v>821042</v>
      </c>
      <c r="AW12" s="1937">
        <v>157.22999999999999</v>
      </c>
      <c r="AX12" s="1936" t="s">
        <v>1298</v>
      </c>
      <c r="AY12" s="1936">
        <v>2686370</v>
      </c>
      <c r="AZ12" s="1937">
        <v>2663.25</v>
      </c>
      <c r="BA12" s="1936">
        <v>197921660</v>
      </c>
      <c r="BB12" s="1937">
        <v>144743.41999999998</v>
      </c>
      <c r="BC12" s="1936">
        <v>1000474</v>
      </c>
      <c r="BD12" s="1936">
        <v>12575605</v>
      </c>
      <c r="BE12" s="1936">
        <v>158526</v>
      </c>
      <c r="BF12" s="1936">
        <v>13734605</v>
      </c>
      <c r="BG12" s="1936">
        <v>1856866</v>
      </c>
      <c r="BH12" s="1936">
        <v>8420438</v>
      </c>
      <c r="BI12" s="1937">
        <v>32842.019999999997</v>
      </c>
      <c r="BJ12" s="1936">
        <v>829783</v>
      </c>
      <c r="BK12" s="1936">
        <v>2035798140</v>
      </c>
      <c r="BL12" s="1937">
        <v>348295.24</v>
      </c>
      <c r="BM12" s="1936">
        <v>61862982</v>
      </c>
      <c r="BN12" s="1936">
        <v>3598</v>
      </c>
      <c r="BO12" s="1936">
        <v>15412359</v>
      </c>
      <c r="BP12" s="1937">
        <v>35093.81</v>
      </c>
      <c r="BQ12" s="1936">
        <v>1783156</v>
      </c>
      <c r="BR12" s="1936">
        <v>9747</v>
      </c>
      <c r="BS12" s="1936">
        <v>41130</v>
      </c>
      <c r="BT12" s="1012"/>
      <c r="BU12" s="1012"/>
      <c r="BV12" s="1012"/>
      <c r="BW12" s="1012"/>
    </row>
    <row r="13" spans="1:75" s="172" customFormat="1" ht="10.5" customHeight="1">
      <c r="A13" s="1270" t="s">
        <v>1407</v>
      </c>
      <c r="B13" s="1270">
        <v>22799904</v>
      </c>
      <c r="C13" s="1935">
        <v>2282770.0784365749</v>
      </c>
      <c r="D13" s="1270">
        <v>146133</v>
      </c>
      <c r="E13" s="1935">
        <v>6719.4699999999993</v>
      </c>
      <c r="F13" s="1270">
        <v>22946037</v>
      </c>
      <c r="G13" s="1935">
        <v>2289489.5484365751</v>
      </c>
      <c r="H13" s="1270">
        <v>26758871</v>
      </c>
      <c r="I13" s="1935">
        <v>178032.39367637</v>
      </c>
      <c r="J13" s="1270">
        <v>1951880</v>
      </c>
      <c r="K13" s="1935">
        <v>1313.06</v>
      </c>
      <c r="L13" s="1270">
        <v>50720</v>
      </c>
      <c r="M13" s="1935">
        <v>92.95999999999998</v>
      </c>
      <c r="N13" s="1270">
        <v>15028508</v>
      </c>
      <c r="O13" s="1935">
        <v>8290.52</v>
      </c>
      <c r="P13" s="1270">
        <v>1923225</v>
      </c>
      <c r="Q13" s="1935">
        <v>1702.96</v>
      </c>
      <c r="R13" s="1270">
        <v>3124193</v>
      </c>
      <c r="S13" s="1935">
        <v>672.61000000000013</v>
      </c>
      <c r="T13" s="1270">
        <v>963802</v>
      </c>
      <c r="U13" s="1935">
        <v>771.59000000000015</v>
      </c>
      <c r="V13" s="1270">
        <v>23042328</v>
      </c>
      <c r="W13" s="1935">
        <v>12843.560000000001</v>
      </c>
      <c r="X13" s="1935">
        <v>5056.17</v>
      </c>
      <c r="Y13" s="1270" t="s">
        <v>1407</v>
      </c>
      <c r="Z13" s="1270">
        <v>188970118</v>
      </c>
      <c r="AA13" s="1935">
        <v>148183.74999999997</v>
      </c>
      <c r="AB13" s="1270">
        <v>19830</v>
      </c>
      <c r="AC13" s="1935">
        <v>54.44</v>
      </c>
      <c r="AD13" s="1270">
        <v>11477894</v>
      </c>
      <c r="AE13" s="1935">
        <v>5802.16</v>
      </c>
      <c r="AF13" s="1270">
        <v>70659</v>
      </c>
      <c r="AG13" s="1935">
        <v>133.76999999999998</v>
      </c>
      <c r="AH13" s="1270">
        <v>11499453</v>
      </c>
      <c r="AI13" s="1935">
        <v>527.10000000000014</v>
      </c>
      <c r="AJ13" s="1270">
        <v>53845</v>
      </c>
      <c r="AK13" s="1935">
        <v>48.650000000000006</v>
      </c>
      <c r="AL13" s="1270">
        <v>212091799</v>
      </c>
      <c r="AM13" s="1935">
        <v>154749.99</v>
      </c>
      <c r="AN13" s="1270">
        <v>1423955</v>
      </c>
      <c r="AO13" s="1935">
        <v>932.91</v>
      </c>
      <c r="AP13" s="1270">
        <v>780021</v>
      </c>
      <c r="AQ13" s="1935">
        <v>279</v>
      </c>
      <c r="AR13" s="1270">
        <v>712417</v>
      </c>
      <c r="AS13" s="1935">
        <v>1272.06</v>
      </c>
      <c r="AT13" s="1270">
        <v>1330714</v>
      </c>
      <c r="AU13" s="1935">
        <v>1415.1799999999998</v>
      </c>
      <c r="AV13" s="1270">
        <v>619956</v>
      </c>
      <c r="AW13" s="1935">
        <v>148.99</v>
      </c>
      <c r="AX13" s="1270" t="s">
        <v>1407</v>
      </c>
      <c r="AY13" s="1270">
        <v>2762794</v>
      </c>
      <c r="AZ13" s="1935">
        <v>2861.84</v>
      </c>
      <c r="BA13" s="1270">
        <v>240003413</v>
      </c>
      <c r="BB13" s="1935">
        <v>171462.15000000002</v>
      </c>
      <c r="BC13" s="1270">
        <v>1394675</v>
      </c>
      <c r="BD13" s="1270">
        <v>16915478</v>
      </c>
      <c r="BE13" s="1270">
        <v>320235</v>
      </c>
      <c r="BF13" s="1270">
        <v>18630388</v>
      </c>
      <c r="BG13" s="1270">
        <v>2251764</v>
      </c>
      <c r="BH13" s="1270">
        <v>11711906</v>
      </c>
      <c r="BI13" s="1935">
        <v>47615.11</v>
      </c>
      <c r="BJ13" s="1270">
        <v>1024772</v>
      </c>
      <c r="BK13" s="1270">
        <v>2467033312</v>
      </c>
      <c r="BL13" s="1935">
        <v>402913.265935726</v>
      </c>
      <c r="BM13" s="1270">
        <v>73778610</v>
      </c>
      <c r="BN13" s="1270">
        <v>6073</v>
      </c>
      <c r="BO13" s="1270">
        <v>32530626</v>
      </c>
      <c r="BP13" s="1935">
        <v>312040.26</v>
      </c>
      <c r="BQ13" s="1270">
        <v>3416020</v>
      </c>
      <c r="BR13" s="1270">
        <v>10722</v>
      </c>
      <c r="BS13" s="1270">
        <v>52846</v>
      </c>
      <c r="BT13" s="1"/>
      <c r="BU13" s="1072"/>
      <c r="BV13" s="1013"/>
    </row>
    <row r="14" spans="1:75" s="685" customFormat="1" ht="10.5" customHeight="1">
      <c r="A14" s="1936" t="s">
        <v>1487</v>
      </c>
      <c r="B14" s="1936">
        <v>19692996</v>
      </c>
      <c r="C14" s="1937">
        <v>2134775.6</v>
      </c>
      <c r="D14" s="1936">
        <v>202165</v>
      </c>
      <c r="E14" s="1937">
        <v>9638.827665630999</v>
      </c>
      <c r="F14" s="1936">
        <v>19895161</v>
      </c>
      <c r="G14" s="1937">
        <v>2144414.4</v>
      </c>
      <c r="H14" s="1936">
        <v>50257666</v>
      </c>
      <c r="I14" s="1937">
        <v>257440.06646475603</v>
      </c>
      <c r="J14" s="1936">
        <v>2376130</v>
      </c>
      <c r="K14" s="1937">
        <v>1571.4124550470001</v>
      </c>
      <c r="L14" s="1936">
        <v>39082</v>
      </c>
      <c r="M14" s="1937">
        <v>63.543494757600008</v>
      </c>
      <c r="N14" s="1936">
        <v>15306481</v>
      </c>
      <c r="O14" s="1937">
        <v>7966.2977085550001</v>
      </c>
      <c r="P14" s="1936">
        <v>1535082</v>
      </c>
      <c r="Q14" s="1937">
        <v>1266.0935939600001</v>
      </c>
      <c r="R14" s="1936">
        <v>4046124</v>
      </c>
      <c r="S14" s="1937">
        <v>1346.5782712749999</v>
      </c>
      <c r="T14" s="1936">
        <v>1202470</v>
      </c>
      <c r="U14" s="1937">
        <v>437.25777197175</v>
      </c>
      <c r="V14" s="1936">
        <v>24505369</v>
      </c>
      <c r="W14" s="1937">
        <v>12651.183295566349</v>
      </c>
      <c r="X14" s="1937">
        <v>5231.1335752910009</v>
      </c>
      <c r="Y14" s="1936" t="s">
        <v>1487</v>
      </c>
      <c r="Z14" s="1936">
        <v>193762532</v>
      </c>
      <c r="AA14" s="1937">
        <v>156878.86528764101</v>
      </c>
      <c r="AB14" s="1936">
        <v>21928</v>
      </c>
      <c r="AC14" s="1937">
        <v>55.000389470150004</v>
      </c>
      <c r="AD14" s="1936">
        <v>10367099</v>
      </c>
      <c r="AE14" s="1937">
        <v>5107.0373490185002</v>
      </c>
      <c r="AF14" s="1936">
        <v>89133</v>
      </c>
      <c r="AG14" s="1937">
        <v>92.192790867699998</v>
      </c>
      <c r="AH14" s="1936">
        <v>9820620</v>
      </c>
      <c r="AI14" s="1937">
        <v>1112.1988214419998</v>
      </c>
      <c r="AJ14" s="1936">
        <v>112794</v>
      </c>
      <c r="AK14" s="1937">
        <v>49.724057373549989</v>
      </c>
      <c r="AL14" s="1936">
        <v>214174106</v>
      </c>
      <c r="AM14" s="1937">
        <v>163295.01869581288</v>
      </c>
      <c r="AN14" s="1936">
        <v>1952354</v>
      </c>
      <c r="AO14" s="1937">
        <v>1329.0257139841999</v>
      </c>
      <c r="AP14" s="1936">
        <v>1275782</v>
      </c>
      <c r="AQ14" s="1937">
        <v>295.33457085704998</v>
      </c>
      <c r="AR14" s="1936">
        <v>747458</v>
      </c>
      <c r="AS14" s="1937">
        <v>904.85434712599999</v>
      </c>
      <c r="AT14" s="1936">
        <v>897425</v>
      </c>
      <c r="AU14" s="1937">
        <v>890.52063242899999</v>
      </c>
      <c r="AV14" s="1936">
        <v>330007</v>
      </c>
      <c r="AW14" s="1937">
        <v>104.929424063</v>
      </c>
      <c r="AX14" s="1936" t="s">
        <v>1487</v>
      </c>
      <c r="AY14" s="1936">
        <v>1974890</v>
      </c>
      <c r="AZ14" s="1937">
        <v>1900.3044036180002</v>
      </c>
      <c r="BA14" s="1936">
        <v>243882501</v>
      </c>
      <c r="BB14" s="1937">
        <v>179470.86667983848</v>
      </c>
      <c r="BC14" s="1936">
        <v>1560459</v>
      </c>
      <c r="BD14" s="1936">
        <v>19725783</v>
      </c>
      <c r="BE14" s="1936">
        <v>586230</v>
      </c>
      <c r="BF14" s="1936">
        <v>21872472</v>
      </c>
      <c r="BG14" s="1936">
        <v>2742241</v>
      </c>
      <c r="BH14" s="1936">
        <v>19897516</v>
      </c>
      <c r="BI14" s="1937">
        <v>71561.035925468008</v>
      </c>
      <c r="BJ14" s="1338">
        <v>1160121</v>
      </c>
      <c r="BK14" s="1936">
        <v>2859543446</v>
      </c>
      <c r="BL14" s="1937">
        <v>489558.87528139201</v>
      </c>
      <c r="BM14" s="1936">
        <v>107475632</v>
      </c>
      <c r="BN14" s="1936">
        <v>8812</v>
      </c>
      <c r="BO14" s="1936">
        <v>66181962</v>
      </c>
      <c r="BP14" s="1937">
        <v>191433.25811183645</v>
      </c>
      <c r="BQ14" s="1936">
        <v>7357466</v>
      </c>
      <c r="BR14" s="1936">
        <v>11047</v>
      </c>
      <c r="BS14" s="1936">
        <v>65946</v>
      </c>
      <c r="BT14" s="964"/>
      <c r="BU14" s="1073"/>
      <c r="BV14" s="1012"/>
    </row>
    <row r="15" spans="1:75" s="685" customFormat="1" ht="10.5" customHeight="1">
      <c r="A15" s="1270" t="s">
        <v>1539</v>
      </c>
      <c r="B15" s="1270">
        <v>20659521</v>
      </c>
      <c r="C15" s="1935">
        <v>2423173.8888500961</v>
      </c>
      <c r="D15" s="1270">
        <v>439633</v>
      </c>
      <c r="E15" s="1935">
        <v>10717.059649764</v>
      </c>
      <c r="F15" s="1944">
        <v>21099154</v>
      </c>
      <c r="G15" s="1935">
        <v>2433890.9484998598</v>
      </c>
      <c r="H15" s="1270">
        <v>133383702</v>
      </c>
      <c r="I15" s="1935">
        <v>424084.19240942295</v>
      </c>
      <c r="J15" s="1270">
        <v>3107852</v>
      </c>
      <c r="K15" s="1935">
        <v>2648.7021078270004</v>
      </c>
      <c r="L15" s="1270">
        <v>14382</v>
      </c>
      <c r="M15" s="1935">
        <v>29.033245158550002</v>
      </c>
      <c r="N15" s="1270">
        <v>16955039</v>
      </c>
      <c r="O15" s="1935">
        <v>10577.675231101</v>
      </c>
      <c r="P15" s="1270">
        <v>714030</v>
      </c>
      <c r="Q15" s="1935">
        <v>477.35958799905001</v>
      </c>
      <c r="R15" s="1270">
        <v>7411758</v>
      </c>
      <c r="S15" s="1935">
        <v>3820.1791295130001</v>
      </c>
      <c r="T15" s="1270">
        <v>1114214</v>
      </c>
      <c r="U15" s="1935">
        <v>419.69825229380001</v>
      </c>
      <c r="V15" s="1270">
        <v>29317275</v>
      </c>
      <c r="W15" s="1935">
        <v>17972.647553892399</v>
      </c>
      <c r="X15" s="1935">
        <v>6452.2631663700004</v>
      </c>
      <c r="Y15" s="1270" t="s">
        <v>1539</v>
      </c>
      <c r="Z15" s="1270">
        <v>241633196</v>
      </c>
      <c r="AA15" s="1935">
        <v>212200.39009012704</v>
      </c>
      <c r="AB15" s="1270">
        <v>13230</v>
      </c>
      <c r="AC15" s="1935">
        <v>51.706051254700007</v>
      </c>
      <c r="AD15" s="1270">
        <v>15692084</v>
      </c>
      <c r="AE15" s="1935">
        <v>6093.4694801100004</v>
      </c>
      <c r="AF15" s="1270">
        <v>84064</v>
      </c>
      <c r="AG15" s="1935">
        <v>44.073489145549999</v>
      </c>
      <c r="AH15" s="1270">
        <v>15493699</v>
      </c>
      <c r="AI15" s="1935">
        <v>4069.9201925638004</v>
      </c>
      <c r="AJ15" s="1270">
        <v>234778</v>
      </c>
      <c r="AK15" s="1935">
        <v>67.917196810749999</v>
      </c>
      <c r="AL15" s="1270">
        <v>273151051</v>
      </c>
      <c r="AM15" s="1935">
        <v>222527.47650001181</v>
      </c>
      <c r="AN15" s="1270">
        <v>2722079</v>
      </c>
      <c r="AO15" s="1935">
        <v>1828.257555976</v>
      </c>
      <c r="AP15" s="1270">
        <v>1271573</v>
      </c>
      <c r="AQ15" s="1935">
        <v>223.65855985310003</v>
      </c>
      <c r="AR15" s="1270">
        <v>817466</v>
      </c>
      <c r="AS15" s="1935">
        <v>972.30655500199998</v>
      </c>
      <c r="AT15" s="1270">
        <v>823656</v>
      </c>
      <c r="AU15" s="1935">
        <v>612.35550458149999</v>
      </c>
      <c r="AV15" s="1270">
        <v>472592</v>
      </c>
      <c r="AW15" s="1935">
        <v>123.242801439</v>
      </c>
      <c r="AX15" s="1270" t="s">
        <v>1539</v>
      </c>
      <c r="AY15" s="1270">
        <v>2113714</v>
      </c>
      <c r="AZ15" s="1935">
        <v>1707.9048610225002</v>
      </c>
      <c r="BA15" s="1270">
        <v>308575692</v>
      </c>
      <c r="BB15" s="1935">
        <v>244259.9450307558</v>
      </c>
      <c r="BC15" s="1270">
        <v>1734418</v>
      </c>
      <c r="BD15" s="1270">
        <v>23363702</v>
      </c>
      <c r="BE15" s="1270">
        <v>934250</v>
      </c>
      <c r="BF15" s="1270">
        <v>26032370</v>
      </c>
      <c r="BG15" s="1270">
        <v>3638433</v>
      </c>
      <c r="BH15" s="1270">
        <v>28762491</v>
      </c>
      <c r="BI15" s="1935">
        <v>101060.36294114799</v>
      </c>
      <c r="BJ15" s="1270">
        <v>1377616</v>
      </c>
      <c r="BK15" s="1270">
        <v>3892218366</v>
      </c>
      <c r="BL15" s="1935">
        <v>759556.04742055829</v>
      </c>
      <c r="BM15" s="1270">
        <v>152462267</v>
      </c>
      <c r="BN15" s="1270">
        <v>12930</v>
      </c>
      <c r="BO15" s="1270">
        <v>115849678</v>
      </c>
      <c r="BP15" s="1935">
        <v>394068.63955505099</v>
      </c>
      <c r="BQ15" s="1270">
        <v>12202370</v>
      </c>
      <c r="BR15" s="1270">
        <v>12337</v>
      </c>
      <c r="BS15" s="1270">
        <v>82098</v>
      </c>
      <c r="BT15" s="682"/>
      <c r="BU15" s="1271"/>
    </row>
    <row r="16" spans="1:75" s="685" customFormat="1" ht="10.5" customHeight="1">
      <c r="A16" s="1936" t="s">
        <v>1810</v>
      </c>
      <c r="B16" s="1936">
        <v>22051673</v>
      </c>
      <c r="C16" s="1937">
        <v>2560438.2513423832</v>
      </c>
      <c r="D16" s="1338">
        <v>298366</v>
      </c>
      <c r="E16" s="1937">
        <v>6825.6877742659999</v>
      </c>
      <c r="F16" s="1338">
        <v>22350039</v>
      </c>
      <c r="G16" s="1937">
        <v>2567263.9391166489</v>
      </c>
      <c r="H16" s="1338">
        <v>185601004</v>
      </c>
      <c r="I16" s="1937">
        <v>575743.87912449497</v>
      </c>
      <c r="J16" s="1338">
        <v>5535126</v>
      </c>
      <c r="K16" s="1937">
        <v>5684.4229899359998</v>
      </c>
      <c r="L16" s="1936">
        <v>32269</v>
      </c>
      <c r="M16" s="1936">
        <v>58.300769251000006</v>
      </c>
      <c r="N16" s="1936">
        <v>22368746</v>
      </c>
      <c r="O16" s="1937">
        <v>13326.307397372999</v>
      </c>
      <c r="P16" s="1936">
        <v>1522495</v>
      </c>
      <c r="Q16" s="1937">
        <v>1377.65658089868</v>
      </c>
      <c r="R16" s="1936">
        <v>9143604</v>
      </c>
      <c r="S16" s="1937">
        <v>4548.9042892340003</v>
      </c>
      <c r="T16" s="1936">
        <v>1540947</v>
      </c>
      <c r="U16" s="1937">
        <v>629.00407213825997</v>
      </c>
      <c r="V16" s="1936">
        <v>40143187</v>
      </c>
      <c r="W16" s="1937">
        <v>25624.596098830942</v>
      </c>
      <c r="X16" s="1937">
        <v>7507.0998574979994</v>
      </c>
      <c r="Y16" s="1936" t="s">
        <v>1810</v>
      </c>
      <c r="Z16" s="1936">
        <v>288240242</v>
      </c>
      <c r="AA16" s="1937">
        <v>295272.32001764502</v>
      </c>
      <c r="AB16" s="1936">
        <v>43588</v>
      </c>
      <c r="AC16" s="1937">
        <v>91.441976603099988</v>
      </c>
      <c r="AD16" s="1936">
        <v>21168832</v>
      </c>
      <c r="AE16" s="1936">
        <v>7795.3005784440002</v>
      </c>
      <c r="AF16" s="1936">
        <v>287315</v>
      </c>
      <c r="AG16" s="1936">
        <v>158.35927568939999</v>
      </c>
      <c r="AH16" s="1936">
        <v>22155076</v>
      </c>
      <c r="AI16" s="1937">
        <v>4000.2566246310002</v>
      </c>
      <c r="AJ16" s="1936">
        <v>680047</v>
      </c>
      <c r="AK16" s="1937">
        <v>184.41482989099998</v>
      </c>
      <c r="AL16" s="1936">
        <v>332575100</v>
      </c>
      <c r="AM16" s="1937">
        <v>307502.09330290352</v>
      </c>
      <c r="AN16" s="1936">
        <v>3546881</v>
      </c>
      <c r="AO16" s="1937">
        <v>2232.7237356689998</v>
      </c>
      <c r="AP16" s="1936">
        <v>1583371</v>
      </c>
      <c r="AQ16" s="1936">
        <v>445.14578276359998</v>
      </c>
      <c r="AR16" s="1936">
        <v>1139587</v>
      </c>
      <c r="AS16" s="1937">
        <v>1295.7154900000003</v>
      </c>
      <c r="AT16" s="1936">
        <v>1260346</v>
      </c>
      <c r="AU16" s="1937">
        <v>1031.81594416695</v>
      </c>
      <c r="AV16" s="1936">
        <v>741131</v>
      </c>
      <c r="AW16" s="1937">
        <v>282.48465722899999</v>
      </c>
      <c r="AX16" s="1936" t="s">
        <v>1810</v>
      </c>
      <c r="AY16" s="1936">
        <v>3141064</v>
      </c>
      <c r="AZ16" s="1937">
        <v>2610.0160913959503</v>
      </c>
      <c r="BA16" s="1936">
        <v>380989603</v>
      </c>
      <c r="BB16" s="1937">
        <v>338414.57501156308</v>
      </c>
      <c r="BC16" s="1936">
        <v>1978196</v>
      </c>
      <c r="BD16" s="1936">
        <v>27623986</v>
      </c>
      <c r="BE16" s="1936">
        <v>1869559</v>
      </c>
      <c r="BF16" s="1936">
        <v>31471741</v>
      </c>
      <c r="BG16" s="1936">
        <v>5355586</v>
      </c>
      <c r="BH16" s="1936">
        <v>54043607</v>
      </c>
      <c r="BI16" s="1937">
        <v>224959.66134032118</v>
      </c>
      <c r="BJ16" s="1936">
        <v>1515665</v>
      </c>
      <c r="BK16" s="1936">
        <v>4769246590</v>
      </c>
      <c r="BL16" s="1937">
        <v>990004.04799868248</v>
      </c>
      <c r="BM16" s="1936">
        <v>178639642</v>
      </c>
      <c r="BN16" s="1936">
        <v>14300</v>
      </c>
      <c r="BO16" s="1936">
        <v>162287061</v>
      </c>
      <c r="BP16" s="1937">
        <v>564845.24125884299</v>
      </c>
      <c r="BQ16" s="1936">
        <v>16073962</v>
      </c>
      <c r="BR16" s="1936">
        <v>13036</v>
      </c>
      <c r="BS16" s="1936">
        <v>101341</v>
      </c>
      <c r="BU16" s="1271"/>
      <c r="BV16" s="1271"/>
    </row>
    <row r="17" spans="1:74" s="1962" customFormat="1" ht="10.5" customHeight="1">
      <c r="A17" s="1955" t="s">
        <v>2056</v>
      </c>
      <c r="B17" s="1959">
        <v>22105217</v>
      </c>
      <c r="C17" s="1960">
        <v>2533194.6094060373</v>
      </c>
      <c r="D17" s="1959">
        <v>109534</v>
      </c>
      <c r="E17" s="1960">
        <v>3975.4970206029998</v>
      </c>
      <c r="F17" s="1961">
        <v>22214751</v>
      </c>
      <c r="G17" s="1960">
        <v>2537170.1064266395</v>
      </c>
      <c r="H17" s="1959">
        <v>219089874</v>
      </c>
      <c r="I17" s="1960">
        <v>670019.14837376401</v>
      </c>
      <c r="J17" s="1959">
        <v>3682886</v>
      </c>
      <c r="K17" s="1960">
        <v>3474.4970948813007</v>
      </c>
      <c r="L17" s="1959">
        <v>128412</v>
      </c>
      <c r="M17" s="1960">
        <v>217.39425144783999</v>
      </c>
      <c r="N17" s="1959">
        <v>26898127</v>
      </c>
      <c r="O17" s="1960">
        <v>16252.378549088999</v>
      </c>
      <c r="P17" s="1959">
        <v>3167660</v>
      </c>
      <c r="Q17" s="1960">
        <v>2918.4303676456998</v>
      </c>
      <c r="R17" s="1959">
        <v>11444462</v>
      </c>
      <c r="S17" s="1960">
        <v>6179.2140340400001</v>
      </c>
      <c r="T17" s="1959">
        <v>1712865</v>
      </c>
      <c r="U17" s="1960">
        <v>920.10588678559998</v>
      </c>
      <c r="V17" s="1959">
        <v>47034412</v>
      </c>
      <c r="W17" s="1960">
        <v>29962.551968044143</v>
      </c>
      <c r="X17" s="1960">
        <v>8937.9329594219998</v>
      </c>
      <c r="Y17" s="1955" t="s">
        <v>2056</v>
      </c>
      <c r="Z17" s="1959">
        <v>409898744</v>
      </c>
      <c r="AA17" s="1960">
        <v>439004.38322004798</v>
      </c>
      <c r="AB17" s="1959">
        <v>314651</v>
      </c>
      <c r="AC17" s="1960">
        <v>763.68512718900001</v>
      </c>
      <c r="AD17" s="1959">
        <v>27422298</v>
      </c>
      <c r="AE17" s="1960">
        <v>9807.2154761680013</v>
      </c>
      <c r="AF17" s="1959">
        <v>876606</v>
      </c>
      <c r="AG17" s="1960">
        <v>662.12720842249996</v>
      </c>
      <c r="AH17" s="1959">
        <v>31158912</v>
      </c>
      <c r="AI17" s="1960">
        <v>5576.3546097880007</v>
      </c>
      <c r="AJ17" s="1959">
        <v>1271210</v>
      </c>
      <c r="AK17" s="1960">
        <v>387.21434887300001</v>
      </c>
      <c r="AL17" s="1959">
        <v>470942421</v>
      </c>
      <c r="AM17" s="1960">
        <v>456200.97999048844</v>
      </c>
      <c r="AN17" s="1959">
        <v>4465347</v>
      </c>
      <c r="AO17" s="1960">
        <v>2897.479066206</v>
      </c>
      <c r="AP17" s="1959">
        <v>1766000</v>
      </c>
      <c r="AQ17" s="1960">
        <v>1024.591761500802</v>
      </c>
      <c r="AR17" s="1959">
        <v>506060</v>
      </c>
      <c r="AS17" s="1960">
        <v>705.80543589399997</v>
      </c>
      <c r="AT17" s="1959">
        <v>923852</v>
      </c>
      <c r="AU17" s="1960">
        <v>889.62142875981976</v>
      </c>
      <c r="AV17" s="1959">
        <v>803872</v>
      </c>
      <c r="AW17" s="1960">
        <v>309.46437661200002</v>
      </c>
      <c r="AX17" s="1955" t="s">
        <v>2056</v>
      </c>
      <c r="AY17" s="1959">
        <v>2233784</v>
      </c>
      <c r="AZ17" s="1960">
        <v>1904.8912412658196</v>
      </c>
      <c r="BA17" s="1959">
        <v>526441964</v>
      </c>
      <c r="BB17" s="1960">
        <v>491990.49402750528</v>
      </c>
      <c r="BC17" s="1959">
        <v>2238663</v>
      </c>
      <c r="BD17" s="1959">
        <v>32131984</v>
      </c>
      <c r="BE17" s="1959">
        <v>4269805</v>
      </c>
      <c r="BF17" s="1959">
        <v>38640452</v>
      </c>
      <c r="BG17" s="1959">
        <v>7237380</v>
      </c>
      <c r="BH17" s="1959">
        <v>78148370</v>
      </c>
      <c r="BI17" s="1960">
        <v>397221.11906997696</v>
      </c>
      <c r="BJ17" s="1959">
        <v>1585722</v>
      </c>
      <c r="BK17" s="1959">
        <v>5538646530</v>
      </c>
      <c r="BL17" s="1960">
        <v>1217375.6009731088</v>
      </c>
      <c r="BM17" s="1959">
        <v>207268646</v>
      </c>
      <c r="BN17" s="1959">
        <v>15510</v>
      </c>
      <c r="BO17" s="1959">
        <v>181709043</v>
      </c>
      <c r="BP17" s="1960">
        <v>774328.8298470421</v>
      </c>
      <c r="BQ17" s="1959">
        <v>19850911</v>
      </c>
      <c r="BR17" s="1959">
        <v>13704</v>
      </c>
      <c r="BS17" s="1959">
        <v>106733</v>
      </c>
      <c r="BU17" s="1963"/>
      <c r="BV17" s="1963"/>
    </row>
    <row r="18" spans="1:74" s="1966" customFormat="1" ht="10.5" customHeight="1">
      <c r="A18" s="1951" t="s">
        <v>2188</v>
      </c>
      <c r="B18" s="1265">
        <v>21091631</v>
      </c>
      <c r="C18" s="1266">
        <v>2412600.3618839737</v>
      </c>
      <c r="D18" s="1265">
        <v>113446</v>
      </c>
      <c r="E18" s="1266">
        <v>4053.6459536020002</v>
      </c>
      <c r="F18" s="1724">
        <v>21205077</v>
      </c>
      <c r="G18" s="1266">
        <v>2416654.0078375759</v>
      </c>
      <c r="H18" s="1265">
        <v>255817095</v>
      </c>
      <c r="I18" s="1266">
        <v>883627.69924694602</v>
      </c>
      <c r="J18" s="1265">
        <v>4181317</v>
      </c>
      <c r="K18" s="1266">
        <v>3678.8517993910004</v>
      </c>
      <c r="L18" s="1265">
        <v>156300</v>
      </c>
      <c r="M18" s="1266">
        <v>285.60501492489999</v>
      </c>
      <c r="N18" s="1265">
        <v>30927656</v>
      </c>
      <c r="O18" s="1266">
        <v>17868.264305528999</v>
      </c>
      <c r="P18" s="1265">
        <v>3881013</v>
      </c>
      <c r="Q18" s="1266">
        <v>3404.9242624932999</v>
      </c>
      <c r="R18" s="1265">
        <v>14110578</v>
      </c>
      <c r="S18" s="1266">
        <v>7798.2766557109999</v>
      </c>
      <c r="T18" s="1265">
        <v>2506018</v>
      </c>
      <c r="U18" s="1266">
        <v>1366.28361760545</v>
      </c>
      <c r="V18" s="1265">
        <v>55762882</v>
      </c>
      <c r="W18" s="1266">
        <v>34402.205655654645</v>
      </c>
      <c r="X18" s="1266">
        <v>10751.054323832999</v>
      </c>
      <c r="Y18" s="1951" t="s">
        <v>2188</v>
      </c>
      <c r="Z18" s="1265">
        <v>434492001</v>
      </c>
      <c r="AA18" s="1266">
        <v>474180.37460322591</v>
      </c>
      <c r="AB18" s="1265">
        <v>454744</v>
      </c>
      <c r="AC18" s="1266">
        <v>1091.9693004845501</v>
      </c>
      <c r="AD18" s="1265">
        <v>33644266</v>
      </c>
      <c r="AE18" s="1266">
        <v>12583.985970700998</v>
      </c>
      <c r="AF18" s="1265">
        <v>1488603</v>
      </c>
      <c r="AG18" s="1266">
        <v>1073.3576745513001</v>
      </c>
      <c r="AH18" s="1265">
        <v>37362081</v>
      </c>
      <c r="AI18" s="1266">
        <v>7322.8434994829986</v>
      </c>
      <c r="AJ18" s="1265">
        <v>2347656</v>
      </c>
      <c r="AK18" s="1266">
        <v>758.96039009250001</v>
      </c>
      <c r="AL18" s="1265">
        <v>509789351</v>
      </c>
      <c r="AM18" s="1266">
        <v>497011.49143853842</v>
      </c>
      <c r="AN18" s="1265">
        <v>5793017</v>
      </c>
      <c r="AO18" s="1266">
        <v>3802.1311255627998</v>
      </c>
      <c r="AP18" s="1265">
        <v>2320695</v>
      </c>
      <c r="AQ18" s="1266">
        <v>1165.97937289385</v>
      </c>
      <c r="AR18" s="1265">
        <v>468345</v>
      </c>
      <c r="AS18" s="1266">
        <v>684.19183862</v>
      </c>
      <c r="AT18" s="1265">
        <v>1394674</v>
      </c>
      <c r="AU18" s="1266">
        <v>1592.5701099263999</v>
      </c>
      <c r="AV18" s="1265">
        <v>1534558</v>
      </c>
      <c r="AW18" s="1266">
        <v>1060.2527108180002</v>
      </c>
      <c r="AX18" s="1951" t="s">
        <v>2188</v>
      </c>
      <c r="AY18" s="1265">
        <v>3397577</v>
      </c>
      <c r="AZ18" s="1266">
        <v>3337.0146593643999</v>
      </c>
      <c r="BA18" s="1265">
        <v>577063522</v>
      </c>
      <c r="BB18" s="1266">
        <v>539718.82225201407</v>
      </c>
      <c r="BC18" s="1265">
        <v>2506478</v>
      </c>
      <c r="BD18" s="1265">
        <v>37046957</v>
      </c>
      <c r="BE18" s="1265">
        <v>6075310</v>
      </c>
      <c r="BF18" s="1265">
        <v>45628745</v>
      </c>
      <c r="BG18" s="1265">
        <v>8951034</v>
      </c>
      <c r="BH18" s="1265">
        <v>125632927</v>
      </c>
      <c r="BI18" s="1266">
        <v>984606.09178214392</v>
      </c>
      <c r="BJ18" s="1265">
        <v>1807659</v>
      </c>
      <c r="BK18" s="1265">
        <v>6781512755</v>
      </c>
      <c r="BL18" s="1266">
        <v>1536169.9589394298</v>
      </c>
      <c r="BM18" s="1265">
        <v>232418206</v>
      </c>
      <c r="BN18" s="1265">
        <v>15990</v>
      </c>
      <c r="BO18" s="1265">
        <v>177379063</v>
      </c>
      <c r="BP18" s="1266">
        <v>832532.88427655981</v>
      </c>
      <c r="BQ18" s="1265">
        <v>23033242</v>
      </c>
      <c r="BR18" s="1265">
        <v>13438</v>
      </c>
      <c r="BS18" s="1265">
        <v>118313</v>
      </c>
      <c r="BT18" s="1964"/>
      <c r="BU18" s="1965"/>
    </row>
    <row r="19" spans="1:74" s="1962" customFormat="1" ht="10.5" customHeight="1">
      <c r="A19" s="1955" t="s">
        <v>2439</v>
      </c>
      <c r="B19" s="1959">
        <f>B20+B21+B22+B23+B24+B25+B26+B27+B28+B29+B30+B31</f>
        <v>19381768</v>
      </c>
      <c r="C19" s="1960">
        <f t="shared" ref="C19:W19" si="0">C20+C21+C22+C23+C24+C25+C26+C27+C28+C29+C30+C31</f>
        <v>1944840.5912117627</v>
      </c>
      <c r="D19" s="1959">
        <f>D20+D21+D22+D23+D24+D25+D26+D27+D28+D29+D30+D31</f>
        <v>96453</v>
      </c>
      <c r="E19" s="1960">
        <f t="shared" si="0"/>
        <v>4742.4942744240007</v>
      </c>
      <c r="F19" s="1961">
        <f t="shared" si="0"/>
        <v>19478221</v>
      </c>
      <c r="G19" s="1960">
        <f t="shared" si="0"/>
        <v>1949583.0854861867</v>
      </c>
      <c r="H19" s="1959">
        <f t="shared" si="0"/>
        <v>278477752</v>
      </c>
      <c r="I19" s="1960">
        <f t="shared" si="0"/>
        <v>905561.53146106983</v>
      </c>
      <c r="J19" s="1959">
        <f t="shared" si="0"/>
        <v>4368649</v>
      </c>
      <c r="K19" s="1960">
        <f t="shared" si="0"/>
        <v>3698.1371457260002</v>
      </c>
      <c r="L19" s="1959">
        <f t="shared" si="0"/>
        <v>107478</v>
      </c>
      <c r="M19" s="1960">
        <f t="shared" si="0"/>
        <v>219.01624261395</v>
      </c>
      <c r="N19" s="1959">
        <f t="shared" si="0"/>
        <v>34592218</v>
      </c>
      <c r="O19" s="1960">
        <f t="shared" si="0"/>
        <v>19381.575706776002</v>
      </c>
      <c r="P19" s="1959">
        <f t="shared" si="0"/>
        <v>3825492</v>
      </c>
      <c r="Q19" s="1960">
        <f t="shared" si="0"/>
        <v>2880.2869232616999</v>
      </c>
      <c r="R19" s="1959">
        <f t="shared" si="0"/>
        <v>16145943</v>
      </c>
      <c r="S19" s="1960">
        <f t="shared" si="0"/>
        <v>10897.916407659</v>
      </c>
      <c r="T19" s="1959">
        <f t="shared" si="0"/>
        <v>3067896</v>
      </c>
      <c r="U19" s="1960">
        <f t="shared" si="0"/>
        <v>1510.4622544906001</v>
      </c>
      <c r="V19" s="1959">
        <f t="shared" si="0"/>
        <v>62107676</v>
      </c>
      <c r="W19" s="1960">
        <f t="shared" si="0"/>
        <v>38587.827778676248</v>
      </c>
      <c r="X19" s="1960">
        <f>X31</f>
        <v>12217.306967338</v>
      </c>
      <c r="Y19" s="1955" t="s">
        <v>2439</v>
      </c>
      <c r="Z19" s="1959">
        <f t="shared" ref="Z19:AW19" si="1">Z20+Z21+Z22+Z23+Z24+Z25+Z26+Z27+Z28+Z29+Z30+Z31</f>
        <v>432046479</v>
      </c>
      <c r="AA19" s="1960">
        <f t="shared" si="1"/>
        <v>457640.54123106803</v>
      </c>
      <c r="AB19" s="1959">
        <f t="shared" si="1"/>
        <v>270494</v>
      </c>
      <c r="AC19" s="1960">
        <f t="shared" si="1"/>
        <v>664.69207674760003</v>
      </c>
      <c r="AD19" s="1959">
        <f t="shared" si="1"/>
        <v>38996625</v>
      </c>
      <c r="AE19" s="1960">
        <f t="shared" si="1"/>
        <v>13419.344234515</v>
      </c>
      <c r="AF19" s="1959">
        <f t="shared" si="1"/>
        <v>1416621</v>
      </c>
      <c r="AG19" s="1960">
        <f t="shared" si="1"/>
        <v>980.92867197350006</v>
      </c>
      <c r="AH19" s="1959">
        <f t="shared" si="1"/>
        <v>43415127</v>
      </c>
      <c r="AI19" s="1960">
        <f t="shared" si="1"/>
        <v>8859.812259037999</v>
      </c>
      <c r="AJ19" s="1959">
        <f t="shared" si="1"/>
        <v>3862813</v>
      </c>
      <c r="AK19" s="1960">
        <f t="shared" si="1"/>
        <v>1320.6476802358998</v>
      </c>
      <c r="AL19" s="1959">
        <f t="shared" si="1"/>
        <v>520008159</v>
      </c>
      <c r="AM19" s="1960">
        <f t="shared" si="1"/>
        <v>482885.96615340794</v>
      </c>
      <c r="AN19" s="1959">
        <f t="shared" si="1"/>
        <v>6931986</v>
      </c>
      <c r="AO19" s="1960">
        <f t="shared" si="1"/>
        <v>4789.1272834249994</v>
      </c>
      <c r="AP19" s="1959">
        <f t="shared" si="1"/>
        <v>2018612</v>
      </c>
      <c r="AQ19" s="1960">
        <f t="shared" si="1"/>
        <v>766.91307764240014</v>
      </c>
      <c r="AR19" s="1959">
        <f t="shared" si="1"/>
        <v>461572</v>
      </c>
      <c r="AS19" s="1960">
        <f t="shared" si="1"/>
        <v>724.62272437000001</v>
      </c>
      <c r="AT19" s="1959">
        <f t="shared" si="1"/>
        <v>1468257</v>
      </c>
      <c r="AU19" s="1960">
        <f t="shared" si="1"/>
        <v>1457.349683099</v>
      </c>
      <c r="AV19" s="1959">
        <f t="shared" si="1"/>
        <v>2431212</v>
      </c>
      <c r="AW19" s="1960">
        <f t="shared" si="1"/>
        <v>1593.8075376199997</v>
      </c>
      <c r="AX19" s="1955" t="s">
        <v>2439</v>
      </c>
      <c r="AY19" s="1959">
        <f t="shared" ref="AY19:BK19" si="2">AY20+AY21+AY22+AY23+AY24+AY25+AY26+AY27+AY28+AY29+AY30+AY31</f>
        <v>4361041</v>
      </c>
      <c r="AZ19" s="1960">
        <f t="shared" si="2"/>
        <v>3775.7799450889993</v>
      </c>
      <c r="BA19" s="1959">
        <f t="shared" si="2"/>
        <v>595427474</v>
      </c>
      <c r="BB19" s="1960">
        <f>BB20+BB21+BB22+BB23+BB24+BB25+BB26+BB27+BB28+BB29+BB30+BB31</f>
        <v>530805.61424681055</v>
      </c>
      <c r="BC19" s="1959">
        <f>BC31</f>
        <v>2946233</v>
      </c>
      <c r="BD19" s="1959">
        <f t="shared" ref="BD19:BG19" si="3">BD31</f>
        <v>43151639</v>
      </c>
      <c r="BE19" s="1959">
        <f t="shared" si="3"/>
        <v>7039117</v>
      </c>
      <c r="BF19" s="1959">
        <f t="shared" si="3"/>
        <v>53136989</v>
      </c>
      <c r="BG19" s="1959">
        <f t="shared" si="3"/>
        <v>11366563</v>
      </c>
      <c r="BH19" s="1959">
        <f t="shared" si="2"/>
        <v>192446635</v>
      </c>
      <c r="BI19" s="1960">
        <f t="shared" si="2"/>
        <v>1151889.116012956</v>
      </c>
      <c r="BJ19" s="1959">
        <f>BJ31</f>
        <v>1436434</v>
      </c>
      <c r="BK19" s="1959">
        <f t="shared" si="2"/>
        <v>7462822230</v>
      </c>
      <c r="BL19" s="1960">
        <f>BL20+BL21+BL22+BL23+BL24+BL25+BL26+BL27+BL28+BL29+BL30+BL31</f>
        <v>1817408.056662936</v>
      </c>
      <c r="BM19" s="1959">
        <f>BM31</f>
        <v>145641488</v>
      </c>
      <c r="BN19" s="1959">
        <f>BN31</f>
        <v>15373</v>
      </c>
      <c r="BO19" s="1959">
        <f t="shared" ref="BO19:BP19" si="4">BO20+BO21+BO22+BO23+BO24+BO25+BO26+BO27+BO28+BO29+BO30+BO31</f>
        <v>172718612.94999999</v>
      </c>
      <c r="BP19" s="1960">
        <f t="shared" si="4"/>
        <v>785177.11976756598</v>
      </c>
      <c r="BQ19" s="1959">
        <f>BQ31</f>
        <v>24406197</v>
      </c>
      <c r="BR19" s="1959">
        <f>BR31</f>
        <v>12918</v>
      </c>
      <c r="BS19" s="1959">
        <f>BS31</f>
        <v>133178</v>
      </c>
      <c r="BU19" s="1963"/>
      <c r="BV19" s="1963"/>
    </row>
    <row r="20" spans="1:74" s="172" customFormat="1" ht="10.5" customHeight="1">
      <c r="A20" s="1946" t="s">
        <v>559</v>
      </c>
      <c r="B20" s="1946">
        <v>1496591</v>
      </c>
      <c r="C20" s="1947">
        <v>181640.83394591801</v>
      </c>
      <c r="D20" s="1946">
        <v>8645</v>
      </c>
      <c r="E20" s="1947">
        <v>360.76737254300002</v>
      </c>
      <c r="F20" s="1946">
        <f t="shared" ref="F20:G35" si="5">B20+D20</f>
        <v>1505236</v>
      </c>
      <c r="G20" s="1947">
        <f t="shared" si="5"/>
        <v>182001.60131846101</v>
      </c>
      <c r="H20" s="1946">
        <v>12477488</v>
      </c>
      <c r="I20" s="1947">
        <v>74237.543900104007</v>
      </c>
      <c r="J20" s="1946">
        <v>343828</v>
      </c>
      <c r="K20" s="1947">
        <v>296.718040777</v>
      </c>
      <c r="L20" s="1946">
        <v>10254</v>
      </c>
      <c r="M20" s="1947">
        <v>18.270666421849999</v>
      </c>
      <c r="N20" s="1946">
        <v>2239289</v>
      </c>
      <c r="O20" s="1947">
        <v>1317.093646266</v>
      </c>
      <c r="P20" s="1946">
        <v>340137</v>
      </c>
      <c r="Q20" s="1947">
        <v>285.896885908</v>
      </c>
      <c r="R20" s="1946">
        <v>994676</v>
      </c>
      <c r="S20" s="1947">
        <v>630.87447012799998</v>
      </c>
      <c r="T20" s="1946">
        <v>200996</v>
      </c>
      <c r="U20" s="1947">
        <v>104.6705136082</v>
      </c>
      <c r="V20" s="1946">
        <v>4129180</v>
      </c>
      <c r="W20" s="1947">
        <v>2653.5242231090501</v>
      </c>
      <c r="X20" s="1947">
        <v>9966.9084084290007</v>
      </c>
      <c r="Y20" s="1946" t="s">
        <v>559</v>
      </c>
      <c r="Z20" s="1946">
        <v>32639342</v>
      </c>
      <c r="AA20" s="1947">
        <v>35911.465715610997</v>
      </c>
      <c r="AB20" s="1946">
        <v>26642</v>
      </c>
      <c r="AC20" s="1947">
        <v>62.007923130999998</v>
      </c>
      <c r="AD20" s="1946">
        <v>2462879</v>
      </c>
      <c r="AE20" s="1947">
        <v>814.02869825300002</v>
      </c>
      <c r="AF20" s="1946">
        <v>120342</v>
      </c>
      <c r="AG20" s="1947">
        <v>96.149936234999998</v>
      </c>
      <c r="AH20" s="1946">
        <v>2684045</v>
      </c>
      <c r="AI20" s="1947">
        <v>531.77660360799996</v>
      </c>
      <c r="AJ20" s="1946">
        <v>178320</v>
      </c>
      <c r="AK20" s="1947">
        <v>61.670302204400002</v>
      </c>
      <c r="AL20" s="1946">
        <v>38111570</v>
      </c>
      <c r="AM20" s="1947">
        <v>37477.099179042401</v>
      </c>
      <c r="AN20" s="1946">
        <v>495438</v>
      </c>
      <c r="AO20" s="1947">
        <v>356.98111661199999</v>
      </c>
      <c r="AP20" s="1946">
        <v>155966</v>
      </c>
      <c r="AQ20" s="1947">
        <v>67.345449140599996</v>
      </c>
      <c r="AR20" s="1946">
        <v>25775</v>
      </c>
      <c r="AS20" s="1947">
        <v>43.210230449999997</v>
      </c>
      <c r="AT20" s="1946">
        <v>177205</v>
      </c>
      <c r="AU20" s="1947">
        <v>158.93305223999999</v>
      </c>
      <c r="AV20" s="1946">
        <v>118193</v>
      </c>
      <c r="AW20" s="1947">
        <v>81.962294189999994</v>
      </c>
      <c r="AX20" s="1946" t="s">
        <v>559</v>
      </c>
      <c r="AY20" s="1946">
        <v>321173</v>
      </c>
      <c r="AZ20" s="1947">
        <v>284.10557688</v>
      </c>
      <c r="BA20" s="1948">
        <v>43213327</v>
      </c>
      <c r="BB20" s="1947">
        <v>40839.055544784002</v>
      </c>
      <c r="BC20" s="1946">
        <v>2520446</v>
      </c>
      <c r="BD20" s="1946">
        <v>37432352</v>
      </c>
      <c r="BE20" s="1946">
        <v>6542072</v>
      </c>
      <c r="BF20" s="1946">
        <f t="shared" ref="BF20:BF31" si="6">BC20+BD20+BE20</f>
        <v>46494870</v>
      </c>
      <c r="BG20" s="1946">
        <v>8823053</v>
      </c>
      <c r="BH20" s="1946">
        <v>10550454</v>
      </c>
      <c r="BI20" s="1947">
        <v>82725.303415966002</v>
      </c>
      <c r="BJ20" s="1946">
        <v>1819374</v>
      </c>
      <c r="BK20" s="1946">
        <v>533139621</v>
      </c>
      <c r="BL20" s="1947">
        <v>122922.63718828501</v>
      </c>
      <c r="BM20" s="1946">
        <v>233127856</v>
      </c>
      <c r="BN20" s="1946">
        <v>16009</v>
      </c>
      <c r="BO20" s="1946">
        <v>13002972</v>
      </c>
      <c r="BP20" s="1947">
        <v>64775.231385403</v>
      </c>
      <c r="BQ20" s="1946">
        <v>23191503</v>
      </c>
      <c r="BR20" s="1946">
        <v>13212</v>
      </c>
      <c r="BS20" s="1946">
        <v>119617</v>
      </c>
      <c r="BT20" s="1072"/>
    </row>
    <row r="21" spans="1:74" s="172" customFormat="1" ht="10.5" customHeight="1">
      <c r="A21" s="1945" t="s">
        <v>560</v>
      </c>
      <c r="B21" s="1945">
        <v>1486429</v>
      </c>
      <c r="C21" s="1949">
        <v>148522.340252013</v>
      </c>
      <c r="D21" s="1945">
        <v>8427</v>
      </c>
      <c r="E21" s="1949">
        <v>437.52882163599998</v>
      </c>
      <c r="F21" s="1950">
        <f t="shared" si="5"/>
        <v>1494856</v>
      </c>
      <c r="G21" s="1949">
        <f t="shared" si="5"/>
        <v>148959.869073649</v>
      </c>
      <c r="H21" s="1950">
        <v>12512982</v>
      </c>
      <c r="I21" s="1949">
        <v>67523.365363285004</v>
      </c>
      <c r="J21" s="1945">
        <v>288939</v>
      </c>
      <c r="K21" s="1949">
        <v>252.61503808500001</v>
      </c>
      <c r="L21" s="1945">
        <v>8989</v>
      </c>
      <c r="M21" s="1949">
        <v>18.875976779999998</v>
      </c>
      <c r="N21" s="1945">
        <v>2368317</v>
      </c>
      <c r="O21" s="1949">
        <v>1306.5125626849999</v>
      </c>
      <c r="P21" s="1945">
        <v>265623</v>
      </c>
      <c r="Q21" s="1949">
        <v>194.89702886699999</v>
      </c>
      <c r="R21" s="1945">
        <v>1134845</v>
      </c>
      <c r="S21" s="1949">
        <v>685.20949177399996</v>
      </c>
      <c r="T21" s="1945">
        <v>194933</v>
      </c>
      <c r="U21" s="1949">
        <v>98.039011521000006</v>
      </c>
      <c r="V21" s="1945">
        <v>4261646</v>
      </c>
      <c r="W21" s="1949">
        <v>2556.1491097120002</v>
      </c>
      <c r="X21" s="1949">
        <v>9956.8133674849996</v>
      </c>
      <c r="Y21" s="1945" t="s">
        <v>560</v>
      </c>
      <c r="Z21" s="1945">
        <v>27364490</v>
      </c>
      <c r="AA21" s="1949">
        <v>29197.782540921002</v>
      </c>
      <c r="AB21" s="1945">
        <v>21044</v>
      </c>
      <c r="AC21" s="1949">
        <v>63.311351412999997</v>
      </c>
      <c r="AD21" s="1945">
        <v>2733083</v>
      </c>
      <c r="AE21" s="1949">
        <v>914.81596145799995</v>
      </c>
      <c r="AF21" s="1945">
        <v>104949</v>
      </c>
      <c r="AG21" s="1949">
        <v>70.554194229000004</v>
      </c>
      <c r="AH21" s="1945">
        <v>3484856</v>
      </c>
      <c r="AI21" s="1949">
        <v>706.95421517099999</v>
      </c>
      <c r="AJ21" s="1945">
        <v>190729</v>
      </c>
      <c r="AK21" s="1949">
        <v>73.817159567000004</v>
      </c>
      <c r="AL21" s="1945">
        <v>33899151</v>
      </c>
      <c r="AM21" s="1949">
        <v>31027.235422759</v>
      </c>
      <c r="AN21" s="1945">
        <v>476213</v>
      </c>
      <c r="AO21" s="1949">
        <v>335.76115415700002</v>
      </c>
      <c r="AP21" s="1945">
        <v>137252</v>
      </c>
      <c r="AQ21" s="1949">
        <v>61.741690036000001</v>
      </c>
      <c r="AR21" s="1945">
        <v>22080</v>
      </c>
      <c r="AS21" s="1949">
        <v>35.637000919999998</v>
      </c>
      <c r="AT21" s="1945">
        <v>64376</v>
      </c>
      <c r="AU21" s="1949">
        <v>54.877846388000002</v>
      </c>
      <c r="AV21" s="1945">
        <v>154847</v>
      </c>
      <c r="AW21" s="1949">
        <v>93.956496884000003</v>
      </c>
      <c r="AX21" s="1945" t="s">
        <v>560</v>
      </c>
      <c r="AY21" s="1945">
        <v>241303</v>
      </c>
      <c r="AZ21" s="1949">
        <v>184.471344192</v>
      </c>
      <c r="BA21" s="1950">
        <v>39015565</v>
      </c>
      <c r="BB21" s="1949">
        <v>34165.358720855998</v>
      </c>
      <c r="BC21" s="1945">
        <v>2525821</v>
      </c>
      <c r="BD21" s="1945">
        <v>37776211</v>
      </c>
      <c r="BE21" s="1945">
        <v>6942797</v>
      </c>
      <c r="BF21" s="1945">
        <f t="shared" si="6"/>
        <v>47244829</v>
      </c>
      <c r="BG21" s="1945">
        <v>9047248</v>
      </c>
      <c r="BH21" s="1945">
        <v>12002747</v>
      </c>
      <c r="BI21" s="1949">
        <v>75938.974080022002</v>
      </c>
      <c r="BJ21" s="1945">
        <v>1833656</v>
      </c>
      <c r="BK21" s="1945">
        <v>577229136</v>
      </c>
      <c r="BL21" s="1949">
        <v>137920.37199149199</v>
      </c>
      <c r="BM21" s="1945">
        <v>231570347</v>
      </c>
      <c r="BN21" s="1945">
        <v>15994</v>
      </c>
      <c r="BO21" s="1945">
        <v>10758151</v>
      </c>
      <c r="BP21" s="1949">
        <v>52679.093178386</v>
      </c>
      <c r="BQ21" s="1945">
        <v>23311566</v>
      </c>
      <c r="BR21" s="1945">
        <v>13015</v>
      </c>
      <c r="BS21" s="1945">
        <v>120167</v>
      </c>
      <c r="BT21" s="1072"/>
    </row>
    <row r="22" spans="1:74" s="172" customFormat="1" ht="10.5" customHeight="1">
      <c r="A22" s="1946" t="s">
        <v>554</v>
      </c>
      <c r="B22" s="1946">
        <v>1551621</v>
      </c>
      <c r="C22" s="1947">
        <v>147526.38426000101</v>
      </c>
      <c r="D22" s="1946">
        <v>8961</v>
      </c>
      <c r="E22" s="1947">
        <v>469.589531798</v>
      </c>
      <c r="F22" s="1946">
        <f t="shared" si="5"/>
        <v>1560582</v>
      </c>
      <c r="G22" s="1947">
        <f t="shared" si="5"/>
        <v>147995.97379179901</v>
      </c>
      <c r="H22" s="1948">
        <v>14336064</v>
      </c>
      <c r="I22" s="1947">
        <v>73493.261028526002</v>
      </c>
      <c r="J22" s="1946">
        <v>353519</v>
      </c>
      <c r="K22" s="1947">
        <v>297.36977080899999</v>
      </c>
      <c r="L22" s="1946">
        <v>9470</v>
      </c>
      <c r="M22" s="1947">
        <v>18.321098142499999</v>
      </c>
      <c r="N22" s="1946">
        <v>2804621</v>
      </c>
      <c r="O22" s="1947">
        <v>1505.597446856</v>
      </c>
      <c r="P22" s="1946">
        <v>312557</v>
      </c>
      <c r="Q22" s="1947">
        <v>189.40766879</v>
      </c>
      <c r="R22" s="1946">
        <v>1299439</v>
      </c>
      <c r="S22" s="1947">
        <v>784.53123326299999</v>
      </c>
      <c r="T22" s="1946">
        <v>248392</v>
      </c>
      <c r="U22" s="1947">
        <v>122.808155525</v>
      </c>
      <c r="V22" s="1946">
        <v>5027998</v>
      </c>
      <c r="W22" s="1947">
        <v>2918.4684714744999</v>
      </c>
      <c r="X22" s="1947">
        <v>10709.386867097001</v>
      </c>
      <c r="Y22" s="1946" t="s">
        <v>554</v>
      </c>
      <c r="Z22" s="1946">
        <v>32595426</v>
      </c>
      <c r="AA22" s="1947">
        <v>32690.005881181001</v>
      </c>
      <c r="AB22" s="1946">
        <v>29344</v>
      </c>
      <c r="AC22" s="1947">
        <v>61.076697926000001</v>
      </c>
      <c r="AD22" s="1946">
        <v>3173853</v>
      </c>
      <c r="AE22" s="1947">
        <v>1070.6483947249999</v>
      </c>
      <c r="AF22" s="1946">
        <v>128149</v>
      </c>
      <c r="AG22" s="1947">
        <v>81.486303666500007</v>
      </c>
      <c r="AH22" s="1946">
        <v>3478150</v>
      </c>
      <c r="AI22" s="1947">
        <v>718.36662600700004</v>
      </c>
      <c r="AJ22" s="1946">
        <v>281738</v>
      </c>
      <c r="AK22" s="1947">
        <v>85.276200035000002</v>
      </c>
      <c r="AL22" s="1946">
        <v>39686660</v>
      </c>
      <c r="AM22" s="1947">
        <v>34706.860103540501</v>
      </c>
      <c r="AN22" s="1946">
        <v>518722</v>
      </c>
      <c r="AO22" s="1947">
        <v>342.65999271999999</v>
      </c>
      <c r="AP22" s="1946">
        <v>185123</v>
      </c>
      <c r="AQ22" s="1947">
        <v>66.323501071500004</v>
      </c>
      <c r="AR22" s="1946">
        <v>31058</v>
      </c>
      <c r="AS22" s="1947">
        <v>46.863590000000002</v>
      </c>
      <c r="AT22" s="1946">
        <v>87157</v>
      </c>
      <c r="AU22" s="1947">
        <v>81.209945954999995</v>
      </c>
      <c r="AV22" s="1946">
        <v>172952</v>
      </c>
      <c r="AW22" s="1947">
        <v>107.779630896</v>
      </c>
      <c r="AX22" s="1946" t="s">
        <v>554</v>
      </c>
      <c r="AY22" s="1946">
        <v>291167</v>
      </c>
      <c r="AZ22" s="1947">
        <v>235.853166851</v>
      </c>
      <c r="BA22" s="1948">
        <v>45709670</v>
      </c>
      <c r="BB22" s="1947">
        <v>38270.1652356575</v>
      </c>
      <c r="BC22" s="1946">
        <v>2544774</v>
      </c>
      <c r="BD22" s="1946">
        <v>38166451</v>
      </c>
      <c r="BE22" s="1946">
        <v>7111370</v>
      </c>
      <c r="BF22" s="1946">
        <f t="shared" si="6"/>
        <v>47822595</v>
      </c>
      <c r="BG22" s="1946">
        <v>9266069</v>
      </c>
      <c r="BH22" s="1946">
        <v>12974939</v>
      </c>
      <c r="BI22" s="1947">
        <v>80977.240571748</v>
      </c>
      <c r="BJ22" s="1946">
        <v>1856233</v>
      </c>
      <c r="BK22" s="1946">
        <v>591646271</v>
      </c>
      <c r="BL22" s="1947">
        <v>145067.646495953</v>
      </c>
      <c r="BM22" s="1946">
        <v>233773523</v>
      </c>
      <c r="BN22" s="1946">
        <v>15992</v>
      </c>
      <c r="BO22" s="1946">
        <v>14441273</v>
      </c>
      <c r="BP22" s="1947">
        <v>66964.149780891006</v>
      </c>
      <c r="BQ22" s="1946">
        <v>23487740</v>
      </c>
      <c r="BR22" s="1946">
        <v>13016</v>
      </c>
      <c r="BS22" s="1946">
        <v>120375</v>
      </c>
      <c r="BT22" s="1072"/>
    </row>
    <row r="23" spans="1:74" s="172" customFormat="1" ht="10.5" customHeight="1">
      <c r="A23" s="1945" t="s">
        <v>561</v>
      </c>
      <c r="B23" s="1945">
        <v>1784216</v>
      </c>
      <c r="C23" s="1949">
        <v>167222.623535305</v>
      </c>
      <c r="D23" s="1945">
        <v>9499</v>
      </c>
      <c r="E23" s="1949">
        <v>513.09347571700005</v>
      </c>
      <c r="F23" s="1945">
        <f t="shared" si="5"/>
        <v>1793715</v>
      </c>
      <c r="G23" s="1949">
        <f t="shared" si="5"/>
        <v>167735.717011022</v>
      </c>
      <c r="H23" s="1950">
        <v>22108236</v>
      </c>
      <c r="I23" s="1949">
        <v>74015.069871240994</v>
      </c>
      <c r="J23" s="1945">
        <v>365388</v>
      </c>
      <c r="K23" s="1949">
        <v>311.89071071299998</v>
      </c>
      <c r="L23" s="1945">
        <v>10663</v>
      </c>
      <c r="M23" s="1949">
        <v>20.8323246478</v>
      </c>
      <c r="N23" s="1945">
        <v>2933500</v>
      </c>
      <c r="O23" s="1949">
        <v>1615.42211681</v>
      </c>
      <c r="P23" s="1945">
        <v>344573</v>
      </c>
      <c r="Q23" s="1949">
        <v>269.97448478450002</v>
      </c>
      <c r="R23" s="1945">
        <v>1362803</v>
      </c>
      <c r="S23" s="1949">
        <v>844.706614016</v>
      </c>
      <c r="T23" s="1945">
        <v>265232</v>
      </c>
      <c r="U23" s="1949">
        <v>129.39512157690001</v>
      </c>
      <c r="V23" s="1945">
        <v>5282159</v>
      </c>
      <c r="W23" s="1949">
        <v>3192.2213725482002</v>
      </c>
      <c r="X23" s="1949">
        <v>10901.879098275</v>
      </c>
      <c r="Y23" s="1945" t="s">
        <v>561</v>
      </c>
      <c r="Z23" s="1945">
        <v>35281518</v>
      </c>
      <c r="AA23" s="1949">
        <v>35169.744486331001</v>
      </c>
      <c r="AB23" s="1945">
        <v>27335</v>
      </c>
      <c r="AC23" s="1949">
        <v>65.282027241600005</v>
      </c>
      <c r="AD23" s="1945">
        <v>3231858</v>
      </c>
      <c r="AE23" s="1949">
        <v>1082.549725696</v>
      </c>
      <c r="AF23" s="1945">
        <v>138384</v>
      </c>
      <c r="AG23" s="1949">
        <v>88.703496205999997</v>
      </c>
      <c r="AH23" s="1945">
        <v>3568882</v>
      </c>
      <c r="AI23" s="1949">
        <v>741.05904766000003</v>
      </c>
      <c r="AJ23" s="1945">
        <v>299906</v>
      </c>
      <c r="AK23" s="1949">
        <v>85.304881245999994</v>
      </c>
      <c r="AL23" s="1945">
        <v>42547883</v>
      </c>
      <c r="AM23" s="1949">
        <v>37232.643664380601</v>
      </c>
      <c r="AN23" s="1945">
        <v>543488</v>
      </c>
      <c r="AO23" s="1949">
        <v>369.67059490299999</v>
      </c>
      <c r="AP23" s="1945">
        <v>184600</v>
      </c>
      <c r="AQ23" s="1949">
        <v>67.568553334599997</v>
      </c>
      <c r="AR23" s="1945">
        <v>36189</v>
      </c>
      <c r="AS23" s="1949">
        <v>55.57441</v>
      </c>
      <c r="AT23" s="1945">
        <v>94211</v>
      </c>
      <c r="AU23" s="1949">
        <v>93.177525509999995</v>
      </c>
      <c r="AV23" s="1945">
        <v>191805</v>
      </c>
      <c r="AW23" s="1949">
        <v>123.993465181</v>
      </c>
      <c r="AX23" s="1945" t="s">
        <v>561</v>
      </c>
      <c r="AY23" s="1945">
        <v>322205</v>
      </c>
      <c r="AZ23" s="1949">
        <v>272.74540069099999</v>
      </c>
      <c r="BA23" s="1950">
        <v>48880335</v>
      </c>
      <c r="BB23" s="1949">
        <v>41134.849585857402</v>
      </c>
      <c r="BC23" s="1945">
        <v>2571521</v>
      </c>
      <c r="BD23" s="1945">
        <v>38496738</v>
      </c>
      <c r="BE23" s="1945">
        <v>7164627</v>
      </c>
      <c r="BF23" s="1945">
        <f t="shared" si="6"/>
        <v>48232886</v>
      </c>
      <c r="BG23" s="1945">
        <v>9516602</v>
      </c>
      <c r="BH23" s="1945">
        <v>14315964</v>
      </c>
      <c r="BI23" s="1949">
        <v>87971.820423255005</v>
      </c>
      <c r="BJ23" s="1945">
        <v>1876837</v>
      </c>
      <c r="BK23" s="1945">
        <v>643725445</v>
      </c>
      <c r="BL23" s="1949">
        <v>154857.31946673701</v>
      </c>
      <c r="BM23" s="1945">
        <v>235704713</v>
      </c>
      <c r="BN23" s="1945">
        <v>15963</v>
      </c>
      <c r="BO23" s="1945">
        <v>13676303</v>
      </c>
      <c r="BP23" s="1949">
        <v>65646.808581375997</v>
      </c>
      <c r="BQ23" s="1945">
        <v>23697723</v>
      </c>
      <c r="BR23" s="1945">
        <v>13021</v>
      </c>
      <c r="BS23" s="1945">
        <v>121134</v>
      </c>
      <c r="BT23" s="1072"/>
    </row>
    <row r="24" spans="1:74" s="172" customFormat="1" ht="10.5" customHeight="1">
      <c r="A24" s="1946" t="s">
        <v>562</v>
      </c>
      <c r="B24" s="1946">
        <v>1551916</v>
      </c>
      <c r="C24" s="1947">
        <v>146584.75882705199</v>
      </c>
      <c r="D24" s="1946">
        <v>7981</v>
      </c>
      <c r="E24" s="1947">
        <v>407.42057054999998</v>
      </c>
      <c r="F24" s="1946">
        <f t="shared" si="5"/>
        <v>1559897</v>
      </c>
      <c r="G24" s="1947">
        <f t="shared" si="5"/>
        <v>146992.17939760198</v>
      </c>
      <c r="H24" s="1948">
        <v>20804427</v>
      </c>
      <c r="I24" s="1947">
        <v>66482.159511631005</v>
      </c>
      <c r="J24" s="1946">
        <v>379828</v>
      </c>
      <c r="K24" s="1947">
        <v>315.295314469</v>
      </c>
      <c r="L24" s="1946">
        <v>9344</v>
      </c>
      <c r="M24" s="1947">
        <v>17.515681415</v>
      </c>
      <c r="N24" s="1946">
        <v>2892894</v>
      </c>
      <c r="O24" s="1947">
        <v>1544.9606310700001</v>
      </c>
      <c r="P24" s="1946">
        <v>298384</v>
      </c>
      <c r="Q24" s="1947">
        <v>221.96398890200001</v>
      </c>
      <c r="R24" s="1946">
        <v>1380825</v>
      </c>
      <c r="S24" s="1947">
        <v>872.46414211000001</v>
      </c>
      <c r="T24" s="1946">
        <v>258542</v>
      </c>
      <c r="U24" s="1947">
        <v>127.416812642</v>
      </c>
      <c r="V24" s="1946">
        <v>5219817</v>
      </c>
      <c r="W24" s="1947">
        <v>3099.6165706080001</v>
      </c>
      <c r="X24" s="1947">
        <v>11042.344115533</v>
      </c>
      <c r="Y24" s="1946" t="s">
        <v>562</v>
      </c>
      <c r="Z24" s="1946">
        <v>34930174</v>
      </c>
      <c r="AA24" s="1947">
        <v>34604.735000015004</v>
      </c>
      <c r="AB24" s="1946">
        <v>25248</v>
      </c>
      <c r="AC24" s="1947">
        <v>64.046994241999997</v>
      </c>
      <c r="AD24" s="1946">
        <v>3116923</v>
      </c>
      <c r="AE24" s="1947">
        <v>1039.926718381</v>
      </c>
      <c r="AF24" s="1946">
        <v>124943</v>
      </c>
      <c r="AG24" s="1947">
        <v>79.676479121</v>
      </c>
      <c r="AH24" s="1946">
        <v>3465419</v>
      </c>
      <c r="AI24" s="1947">
        <v>677.84959575699997</v>
      </c>
      <c r="AJ24" s="1946">
        <v>312149</v>
      </c>
      <c r="AK24" s="1947">
        <v>99.970536215999999</v>
      </c>
      <c r="AL24" s="1946">
        <v>41974856</v>
      </c>
      <c r="AM24" s="1947">
        <v>36566.205323732</v>
      </c>
      <c r="AN24" s="1946">
        <v>534219</v>
      </c>
      <c r="AO24" s="1947">
        <v>366.412324055</v>
      </c>
      <c r="AP24" s="1946">
        <v>170201</v>
      </c>
      <c r="AQ24" s="1947">
        <v>61.746814849000003</v>
      </c>
      <c r="AR24" s="1946">
        <v>39619</v>
      </c>
      <c r="AS24" s="1947">
        <v>60.472973000000003</v>
      </c>
      <c r="AT24" s="1946">
        <v>113307</v>
      </c>
      <c r="AU24" s="1947">
        <v>131.125285424</v>
      </c>
      <c r="AV24" s="1946">
        <v>189197</v>
      </c>
      <c r="AW24" s="1947">
        <v>121.69662990099999</v>
      </c>
      <c r="AX24" s="1946" t="s">
        <v>562</v>
      </c>
      <c r="AY24" s="1946">
        <v>342123</v>
      </c>
      <c r="AZ24" s="1947">
        <v>313.29488832499999</v>
      </c>
      <c r="BA24" s="1948">
        <v>48241216</v>
      </c>
      <c r="BB24" s="1947">
        <v>40407.275921569002</v>
      </c>
      <c r="BC24" s="1946">
        <v>2612063</v>
      </c>
      <c r="BD24" s="1946">
        <v>39193282</v>
      </c>
      <c r="BE24" s="1946">
        <v>7365236</v>
      </c>
      <c r="BF24" s="1946">
        <f t="shared" si="6"/>
        <v>49170581</v>
      </c>
      <c r="BG24" s="1946">
        <v>9568932</v>
      </c>
      <c r="BH24" s="1946">
        <v>13939858</v>
      </c>
      <c r="BI24" s="1947">
        <v>88569.994198739005</v>
      </c>
      <c r="BJ24" s="1946">
        <v>1896636</v>
      </c>
      <c r="BK24" s="1946">
        <v>652101737</v>
      </c>
      <c r="BL24" s="1947">
        <v>156787.74285406599</v>
      </c>
      <c r="BM24" s="1946">
        <v>237312515</v>
      </c>
      <c r="BN24" s="1946">
        <v>15957</v>
      </c>
      <c r="BO24" s="1946">
        <v>16028632</v>
      </c>
      <c r="BP24" s="1947">
        <v>67031.555693931004</v>
      </c>
      <c r="BQ24" s="1946">
        <v>23885686</v>
      </c>
      <c r="BR24" s="1946">
        <v>13003</v>
      </c>
      <c r="BS24" s="1946">
        <v>123251</v>
      </c>
      <c r="BT24" s="1072"/>
    </row>
    <row r="25" spans="1:74" s="172" customFormat="1" ht="10.5" customHeight="1">
      <c r="A25" s="1945" t="s">
        <v>555</v>
      </c>
      <c r="B25" s="1945">
        <v>1700018</v>
      </c>
      <c r="C25" s="1949">
        <v>169361.615527683</v>
      </c>
      <c r="D25" s="1945">
        <v>7909</v>
      </c>
      <c r="E25" s="1949">
        <v>400.06020109999997</v>
      </c>
      <c r="F25" s="1950">
        <f t="shared" si="5"/>
        <v>1707927</v>
      </c>
      <c r="G25" s="1949">
        <f t="shared" si="5"/>
        <v>169761.67572878298</v>
      </c>
      <c r="H25" s="1950">
        <v>17450117</v>
      </c>
      <c r="I25" s="1949">
        <v>75175.774627047998</v>
      </c>
      <c r="J25" s="1945">
        <v>411774</v>
      </c>
      <c r="K25" s="1949">
        <v>352.25078053599998</v>
      </c>
      <c r="L25" s="1945">
        <v>9881</v>
      </c>
      <c r="M25" s="1949">
        <v>19.664529341000001</v>
      </c>
      <c r="N25" s="1945">
        <v>3123897</v>
      </c>
      <c r="O25" s="1949">
        <v>1726.461457609</v>
      </c>
      <c r="P25" s="1945">
        <v>309769</v>
      </c>
      <c r="Q25" s="1949">
        <v>247.21729769199999</v>
      </c>
      <c r="R25" s="1945">
        <v>1509374</v>
      </c>
      <c r="S25" s="1949">
        <v>1040.3283317119999</v>
      </c>
      <c r="T25" s="1945">
        <v>273311</v>
      </c>
      <c r="U25" s="1949">
        <v>146.17928572</v>
      </c>
      <c r="V25" s="1945">
        <v>5638006</v>
      </c>
      <c r="W25" s="1949">
        <v>3532.1016826099999</v>
      </c>
      <c r="X25" s="1949">
        <v>11388.681704131001</v>
      </c>
      <c r="Y25" s="1945" t="s">
        <v>555</v>
      </c>
      <c r="Z25" s="1945">
        <v>37291400</v>
      </c>
      <c r="AA25" s="1949">
        <v>38422.895182146</v>
      </c>
      <c r="AB25" s="1945">
        <v>30720</v>
      </c>
      <c r="AC25" s="1949">
        <v>85.467642897000005</v>
      </c>
      <c r="AD25" s="1945">
        <v>3377097</v>
      </c>
      <c r="AE25" s="1949">
        <v>1173.559112182</v>
      </c>
      <c r="AF25" s="1945">
        <v>131380</v>
      </c>
      <c r="AG25" s="1949">
        <v>88.950890060999996</v>
      </c>
      <c r="AH25" s="1945">
        <v>3598063</v>
      </c>
      <c r="AI25" s="1949">
        <v>760.50684917399997</v>
      </c>
      <c r="AJ25" s="1945">
        <v>413883</v>
      </c>
      <c r="AK25" s="1949">
        <v>171.42786662899999</v>
      </c>
      <c r="AL25" s="1945">
        <v>44842543</v>
      </c>
      <c r="AM25" s="1949">
        <v>40702.807543089002</v>
      </c>
      <c r="AN25" s="1945">
        <v>562651</v>
      </c>
      <c r="AO25" s="1949">
        <v>380.560338785</v>
      </c>
      <c r="AP25" s="1945">
        <v>183321</v>
      </c>
      <c r="AQ25" s="1949">
        <v>75.803964808000003</v>
      </c>
      <c r="AR25" s="1945">
        <v>42390</v>
      </c>
      <c r="AS25" s="1949">
        <v>66.645790000000005</v>
      </c>
      <c r="AT25" s="1945">
        <v>149108</v>
      </c>
      <c r="AU25" s="1949">
        <v>149.91616861700001</v>
      </c>
      <c r="AV25" s="1945">
        <v>214433</v>
      </c>
      <c r="AW25" s="1949">
        <v>147.86639612100001</v>
      </c>
      <c r="AX25" s="1945" t="s">
        <v>555</v>
      </c>
      <c r="AY25" s="1945">
        <v>405931</v>
      </c>
      <c r="AZ25" s="1949">
        <v>364.428354738</v>
      </c>
      <c r="BA25" s="1950">
        <v>51632452</v>
      </c>
      <c r="BB25" s="1949">
        <v>45055.701884030001</v>
      </c>
      <c r="BC25" s="1945">
        <v>2674512</v>
      </c>
      <c r="BD25" s="1945">
        <v>39574049</v>
      </c>
      <c r="BE25" s="1945">
        <v>7544985</v>
      </c>
      <c r="BF25" s="1945">
        <f t="shared" si="6"/>
        <v>49793546</v>
      </c>
      <c r="BG25" s="1945">
        <v>10032957</v>
      </c>
      <c r="BH25" s="1945">
        <v>15570815</v>
      </c>
      <c r="BI25" s="1949">
        <v>98917.722013167004</v>
      </c>
      <c r="BJ25" s="1945">
        <v>1828870</v>
      </c>
      <c r="BK25" s="1945">
        <v>670050218</v>
      </c>
      <c r="BL25" s="1949">
        <v>164739.359350796</v>
      </c>
      <c r="BM25" s="1945">
        <v>238676153</v>
      </c>
      <c r="BN25" s="1945">
        <v>16019</v>
      </c>
      <c r="BO25" s="1945">
        <v>14406492</v>
      </c>
      <c r="BP25" s="1949">
        <v>75876.757687566002</v>
      </c>
      <c r="BQ25" s="1945">
        <v>24077039</v>
      </c>
      <c r="BR25" s="1945">
        <v>12859</v>
      </c>
      <c r="BS25" s="1945">
        <v>125641</v>
      </c>
      <c r="BT25" s="1072"/>
    </row>
    <row r="26" spans="1:74" s="172" customFormat="1" ht="10.5" customHeight="1">
      <c r="A26" s="1946" t="s">
        <v>563</v>
      </c>
      <c r="B26" s="1946">
        <v>1782308</v>
      </c>
      <c r="C26" s="1947">
        <v>175781.73256490199</v>
      </c>
      <c r="D26" s="1946">
        <v>8010</v>
      </c>
      <c r="E26" s="1947">
        <v>540.86600092599997</v>
      </c>
      <c r="F26" s="1946">
        <f t="shared" si="5"/>
        <v>1790318</v>
      </c>
      <c r="G26" s="1947">
        <f t="shared" si="5"/>
        <v>176322.598565828</v>
      </c>
      <c r="H26" s="1948">
        <v>29839489</v>
      </c>
      <c r="I26" s="1947">
        <v>77394.584595598004</v>
      </c>
      <c r="J26" s="1946">
        <v>414212</v>
      </c>
      <c r="K26" s="1947">
        <v>339.66773769999998</v>
      </c>
      <c r="L26" s="1946">
        <v>8623</v>
      </c>
      <c r="M26" s="1947">
        <v>18.341230639999999</v>
      </c>
      <c r="N26" s="1946">
        <v>2972314</v>
      </c>
      <c r="O26" s="1947">
        <v>1684.496177</v>
      </c>
      <c r="P26" s="1946">
        <v>276218</v>
      </c>
      <c r="Q26" s="1947">
        <v>208.3357785</v>
      </c>
      <c r="R26" s="1946">
        <v>1482469</v>
      </c>
      <c r="S26" s="1947">
        <v>1021.723892</v>
      </c>
      <c r="T26" s="1946">
        <v>257348</v>
      </c>
      <c r="U26" s="1947">
        <v>124.2730601</v>
      </c>
      <c r="V26" s="1946">
        <v>5411184</v>
      </c>
      <c r="W26" s="1947">
        <v>3396.8378760000001</v>
      </c>
      <c r="X26" s="1947">
        <v>11488.19743</v>
      </c>
      <c r="Y26" s="1946" t="s">
        <v>563</v>
      </c>
      <c r="Z26" s="1946">
        <v>34981152</v>
      </c>
      <c r="AA26" s="1947">
        <v>37119.134639999997</v>
      </c>
      <c r="AB26" s="1946">
        <v>20287</v>
      </c>
      <c r="AC26" s="1947">
        <v>52.868198030000002</v>
      </c>
      <c r="AD26" s="1946">
        <v>3163300</v>
      </c>
      <c r="AE26" s="1947">
        <v>1108.9625860000001</v>
      </c>
      <c r="AF26" s="1946">
        <v>116131</v>
      </c>
      <c r="AG26" s="1947">
        <v>82.873753440000002</v>
      </c>
      <c r="AH26" s="1946">
        <v>3814078</v>
      </c>
      <c r="AI26" s="1947">
        <v>818.41131110000003</v>
      </c>
      <c r="AJ26" s="1946">
        <v>363091</v>
      </c>
      <c r="AK26" s="1947">
        <v>135.37291160000001</v>
      </c>
      <c r="AL26" s="1946">
        <v>42458039</v>
      </c>
      <c r="AM26" s="1947">
        <v>39317.623399999997</v>
      </c>
      <c r="AN26" s="1946">
        <v>585157</v>
      </c>
      <c r="AO26" s="1947">
        <v>423.47096929999998</v>
      </c>
      <c r="AP26" s="1946">
        <v>176184</v>
      </c>
      <c r="AQ26" s="1947">
        <v>59.055934530000002</v>
      </c>
      <c r="AR26" s="1946">
        <v>46897</v>
      </c>
      <c r="AS26" s="1947">
        <v>75.572730000000007</v>
      </c>
      <c r="AT26" s="1946">
        <v>166339</v>
      </c>
      <c r="AU26" s="1947">
        <v>164.5601408</v>
      </c>
      <c r="AV26" s="1946">
        <v>218790</v>
      </c>
      <c r="AW26" s="1947">
        <v>157.06514079999999</v>
      </c>
      <c r="AX26" s="1946" t="s">
        <v>563</v>
      </c>
      <c r="AY26" s="1946">
        <v>432026</v>
      </c>
      <c r="AZ26" s="1947">
        <v>397.19801159999997</v>
      </c>
      <c r="BA26" s="1948">
        <v>49062590</v>
      </c>
      <c r="BB26" s="1947">
        <v>43594.186199999996</v>
      </c>
      <c r="BC26" s="1946">
        <v>2706098</v>
      </c>
      <c r="BD26" s="1946">
        <v>40093882</v>
      </c>
      <c r="BE26" s="1946">
        <v>7547244</v>
      </c>
      <c r="BF26" s="1946">
        <f t="shared" si="6"/>
        <v>50347224</v>
      </c>
      <c r="BG26" s="1946">
        <v>10297103</v>
      </c>
      <c r="BH26" s="1946">
        <v>17168234</v>
      </c>
      <c r="BI26" s="1947">
        <v>104749.557414544</v>
      </c>
      <c r="BJ26" s="1946">
        <v>1841979</v>
      </c>
      <c r="BK26" s="1946">
        <v>721866474</v>
      </c>
      <c r="BL26" s="1947">
        <v>171664.11689614801</v>
      </c>
      <c r="BM26" s="1946">
        <v>239302991</v>
      </c>
      <c r="BN26" s="1946">
        <v>15912</v>
      </c>
      <c r="BO26" s="1946">
        <v>16257689</v>
      </c>
      <c r="BP26" s="1947">
        <v>66265.454218568004</v>
      </c>
      <c r="BQ26" s="1946">
        <v>24277971</v>
      </c>
      <c r="BR26" s="1946">
        <v>12946</v>
      </c>
      <c r="BS26" s="1946">
        <v>125569</v>
      </c>
      <c r="BT26" s="1072"/>
    </row>
    <row r="27" spans="1:74" s="172" customFormat="1" ht="10.5" customHeight="1">
      <c r="A27" s="1945" t="s">
        <v>564</v>
      </c>
      <c r="B27" s="1945">
        <v>1607362</v>
      </c>
      <c r="C27" s="1949">
        <v>152970.590845233</v>
      </c>
      <c r="D27" s="1945">
        <v>7956</v>
      </c>
      <c r="E27" s="1949">
        <v>488.61617434999999</v>
      </c>
      <c r="F27" s="1945">
        <f t="shared" si="5"/>
        <v>1615318</v>
      </c>
      <c r="G27" s="1949">
        <f t="shared" si="5"/>
        <v>153459.207019583</v>
      </c>
      <c r="H27" s="1950">
        <v>24269787</v>
      </c>
      <c r="I27" s="1949">
        <v>72238.931316867995</v>
      </c>
      <c r="J27" s="1945">
        <v>358660</v>
      </c>
      <c r="K27" s="1949">
        <v>306.75011166399997</v>
      </c>
      <c r="L27" s="1945">
        <v>7699</v>
      </c>
      <c r="M27" s="1949">
        <v>15.575237184000001</v>
      </c>
      <c r="N27" s="1945">
        <v>2794769</v>
      </c>
      <c r="O27" s="1949">
        <v>1568.715638051</v>
      </c>
      <c r="P27" s="1945">
        <v>260381</v>
      </c>
      <c r="Q27" s="1949">
        <v>206.138310628</v>
      </c>
      <c r="R27" s="1945">
        <v>1346407</v>
      </c>
      <c r="S27" s="1949">
        <v>905.72765960599997</v>
      </c>
      <c r="T27" s="1945">
        <v>241623</v>
      </c>
      <c r="U27" s="1949">
        <v>114.2011336275</v>
      </c>
      <c r="V27" s="1945">
        <v>5009539</v>
      </c>
      <c r="W27" s="1949">
        <v>3117.1080907605001</v>
      </c>
      <c r="X27" s="1949">
        <v>11022.309787718999</v>
      </c>
      <c r="Y27" s="1945" t="s">
        <v>564</v>
      </c>
      <c r="Z27" s="1945">
        <v>36130110</v>
      </c>
      <c r="AA27" s="1949">
        <v>38794.239598756998</v>
      </c>
      <c r="AB27" s="1945">
        <v>16350</v>
      </c>
      <c r="AC27" s="1949">
        <v>38.064032615999999</v>
      </c>
      <c r="AD27" s="1945">
        <v>3116695</v>
      </c>
      <c r="AE27" s="1949">
        <v>1097.6653042089999</v>
      </c>
      <c r="AF27" s="1945">
        <v>102669</v>
      </c>
      <c r="AG27" s="1949">
        <v>71.050870553500005</v>
      </c>
      <c r="AH27" s="1945">
        <v>3553563</v>
      </c>
      <c r="AI27" s="1949">
        <v>709.04006068900003</v>
      </c>
      <c r="AJ27" s="1945">
        <v>319197</v>
      </c>
      <c r="AK27" s="1949">
        <v>102.64008423849999</v>
      </c>
      <c r="AL27" s="1945">
        <v>43238584</v>
      </c>
      <c r="AM27" s="1949">
        <v>40812.699951062998</v>
      </c>
      <c r="AN27" s="1945">
        <v>541629</v>
      </c>
      <c r="AO27" s="1949">
        <v>385.60754300899998</v>
      </c>
      <c r="AP27" s="1945">
        <v>159180</v>
      </c>
      <c r="AQ27" s="1949">
        <v>56.721950145500003</v>
      </c>
      <c r="AR27" s="1945">
        <v>44482</v>
      </c>
      <c r="AS27" s="1949">
        <v>71.537580000000005</v>
      </c>
      <c r="AT27" s="1945">
        <v>139513</v>
      </c>
      <c r="AU27" s="1949">
        <v>142.87158448599999</v>
      </c>
      <c r="AV27" s="1945">
        <v>219959</v>
      </c>
      <c r="AW27" s="1949">
        <v>158.91692510799999</v>
      </c>
      <c r="AX27" s="1945" t="s">
        <v>564</v>
      </c>
      <c r="AY27" s="1945">
        <v>403954</v>
      </c>
      <c r="AZ27" s="1949">
        <v>373.326089594</v>
      </c>
      <c r="BA27" s="1950">
        <v>49352886</v>
      </c>
      <c r="BB27" s="1949">
        <v>44745.463624572003</v>
      </c>
      <c r="BC27" s="1945">
        <v>2653977</v>
      </c>
      <c r="BD27" s="1945">
        <v>40346611</v>
      </c>
      <c r="BE27" s="1945">
        <v>7562366</v>
      </c>
      <c r="BF27" s="1945">
        <f t="shared" si="6"/>
        <v>50562954</v>
      </c>
      <c r="BG27" s="1945">
        <v>10550673</v>
      </c>
      <c r="BH27" s="1945">
        <v>16404594</v>
      </c>
      <c r="BI27" s="1949">
        <v>96693.111662405994</v>
      </c>
      <c r="BJ27" s="1945">
        <v>1856192</v>
      </c>
      <c r="BK27" s="1945">
        <v>674798192</v>
      </c>
      <c r="BL27" s="1949">
        <v>159080.67996414599</v>
      </c>
      <c r="BM27" s="1945">
        <v>240466334</v>
      </c>
      <c r="BN27" s="1945">
        <v>15860</v>
      </c>
      <c r="BO27" s="1945">
        <v>12941874</v>
      </c>
      <c r="BP27" s="1949">
        <v>62274.926111312998</v>
      </c>
      <c r="BQ27" s="1945">
        <v>24476356</v>
      </c>
      <c r="BR27" s="1945">
        <v>12930</v>
      </c>
      <c r="BS27" s="1945">
        <v>127027</v>
      </c>
      <c r="BT27" s="1072"/>
    </row>
    <row r="28" spans="1:74" s="173" customFormat="1" ht="10.5" customHeight="1">
      <c r="A28" s="1946" t="s">
        <v>556</v>
      </c>
      <c r="B28" s="1946">
        <v>1779648</v>
      </c>
      <c r="C28" s="1947">
        <v>173415.81950630996</v>
      </c>
      <c r="D28" s="1946">
        <v>6606</v>
      </c>
      <c r="E28" s="1947">
        <v>299.87862177400001</v>
      </c>
      <c r="F28" s="1946">
        <f t="shared" si="5"/>
        <v>1786254</v>
      </c>
      <c r="G28" s="1947">
        <f t="shared" si="5"/>
        <v>173715.69812808395</v>
      </c>
      <c r="H28" s="1948">
        <v>26704190</v>
      </c>
      <c r="I28" s="1947">
        <v>81803.014150110001</v>
      </c>
      <c r="J28" s="1946">
        <v>369791</v>
      </c>
      <c r="K28" s="1947">
        <v>320.69928483699999</v>
      </c>
      <c r="L28" s="1946">
        <v>7234</v>
      </c>
      <c r="M28" s="1947">
        <v>14.020713096</v>
      </c>
      <c r="N28" s="1946">
        <v>3637142</v>
      </c>
      <c r="O28" s="1947">
        <v>2151.4661617289999</v>
      </c>
      <c r="P28" s="1946">
        <v>259068</v>
      </c>
      <c r="Q28" s="1947">
        <v>183.24927581899999</v>
      </c>
      <c r="R28" s="1946">
        <v>1404467</v>
      </c>
      <c r="S28" s="1947">
        <v>1003.062096597</v>
      </c>
      <c r="T28" s="1946">
        <v>268645</v>
      </c>
      <c r="U28" s="1947">
        <v>130.33293929499999</v>
      </c>
      <c r="V28" s="1946">
        <v>5946347</v>
      </c>
      <c r="W28" s="1947">
        <v>3802.8304713729999</v>
      </c>
      <c r="X28" s="1947">
        <v>11638.087528440001</v>
      </c>
      <c r="Y28" s="1946" t="s">
        <v>556</v>
      </c>
      <c r="Z28" s="1946">
        <v>48026496</v>
      </c>
      <c r="AA28" s="1947">
        <v>53934.444755320001</v>
      </c>
      <c r="AB28" s="1946">
        <v>17222</v>
      </c>
      <c r="AC28" s="1947">
        <v>42.136883277000003</v>
      </c>
      <c r="AD28" s="1946">
        <v>4150511</v>
      </c>
      <c r="AE28" s="1947">
        <v>1527.5973951650001</v>
      </c>
      <c r="AF28" s="1946">
        <v>96090</v>
      </c>
      <c r="AG28" s="1947">
        <v>66.050845855999995</v>
      </c>
      <c r="AH28" s="1946">
        <v>4068088</v>
      </c>
      <c r="AI28" s="1947">
        <v>870.47701000999996</v>
      </c>
      <c r="AJ28" s="1946">
        <v>368016</v>
      </c>
      <c r="AK28" s="1947">
        <v>116.07115252449999</v>
      </c>
      <c r="AL28" s="1946">
        <v>56726423</v>
      </c>
      <c r="AM28" s="1947">
        <v>56556.778042152502</v>
      </c>
      <c r="AN28" s="1946">
        <v>780134</v>
      </c>
      <c r="AO28" s="1947">
        <v>561.37965057199995</v>
      </c>
      <c r="AP28" s="1946">
        <v>161614</v>
      </c>
      <c r="AQ28" s="1947">
        <v>62.250953715500003</v>
      </c>
      <c r="AR28" s="1946">
        <v>47671</v>
      </c>
      <c r="AS28" s="1947">
        <v>77.050550000000001</v>
      </c>
      <c r="AT28" s="1946">
        <v>114332</v>
      </c>
      <c r="AU28" s="1947">
        <v>113.698889459</v>
      </c>
      <c r="AV28" s="1946">
        <v>274181</v>
      </c>
      <c r="AW28" s="1947">
        <v>195.33497023800001</v>
      </c>
      <c r="AX28" s="1946" t="s">
        <v>556</v>
      </c>
      <c r="AY28" s="1946">
        <v>436184</v>
      </c>
      <c r="AZ28" s="1947">
        <v>386.08440969700001</v>
      </c>
      <c r="BA28" s="1948">
        <v>64050702</v>
      </c>
      <c r="BB28" s="1947">
        <v>61369.323527510001</v>
      </c>
      <c r="BC28" s="1946">
        <v>2571551</v>
      </c>
      <c r="BD28" s="1946">
        <v>40632468</v>
      </c>
      <c r="BE28" s="1946">
        <v>7934167</v>
      </c>
      <c r="BF28" s="1946">
        <f t="shared" si="6"/>
        <v>51138186</v>
      </c>
      <c r="BG28" s="1946">
        <v>10781863</v>
      </c>
      <c r="BH28" s="1946">
        <v>25308927</v>
      </c>
      <c r="BI28" s="1947">
        <v>131326.97720948901</v>
      </c>
      <c r="BJ28" s="1946">
        <v>1420593</v>
      </c>
      <c r="BK28" s="1946">
        <v>638367114</v>
      </c>
      <c r="BL28" s="1947">
        <v>178127.919919576</v>
      </c>
      <c r="BM28" s="1946">
        <v>143627028</v>
      </c>
      <c r="BN28" s="1946">
        <v>15838</v>
      </c>
      <c r="BO28" s="1946">
        <v>17188649</v>
      </c>
      <c r="BP28" s="1947">
        <v>70536.573365638993</v>
      </c>
      <c r="BQ28" s="1946">
        <v>24662272</v>
      </c>
      <c r="BR28" s="1946">
        <v>12937</v>
      </c>
      <c r="BS28" s="1946">
        <v>129133</v>
      </c>
      <c r="BT28" s="1166"/>
    </row>
    <row r="29" spans="1:74" s="173" customFormat="1" ht="10.5" customHeight="1">
      <c r="A29" s="1945" t="s">
        <v>565</v>
      </c>
      <c r="B29" s="1945">
        <v>1395025</v>
      </c>
      <c r="C29" s="1949">
        <v>146690.47269416798</v>
      </c>
      <c r="D29" s="1945">
        <v>6590</v>
      </c>
      <c r="E29" s="1949">
        <v>284.35962164</v>
      </c>
      <c r="F29" s="1950">
        <f t="shared" si="5"/>
        <v>1401615</v>
      </c>
      <c r="G29" s="1949">
        <f t="shared" si="5"/>
        <v>146974.83231580799</v>
      </c>
      <c r="H29" s="1950">
        <v>24448298</v>
      </c>
      <c r="I29" s="1949">
        <v>71250.688548911989</v>
      </c>
      <c r="J29" s="1945">
        <v>359461</v>
      </c>
      <c r="K29" s="1949">
        <v>292.98460663499998</v>
      </c>
      <c r="L29" s="1945">
        <v>6912</v>
      </c>
      <c r="M29" s="1949">
        <v>15.559994749999998</v>
      </c>
      <c r="N29" s="1945">
        <v>2857545</v>
      </c>
      <c r="O29" s="1949">
        <v>1567.3205367289997</v>
      </c>
      <c r="P29" s="1945">
        <v>382943</v>
      </c>
      <c r="Q29" s="1949">
        <v>290.19074767100011</v>
      </c>
      <c r="R29" s="1945">
        <v>1427239</v>
      </c>
      <c r="S29" s="1949">
        <v>991.46985080400009</v>
      </c>
      <c r="T29" s="1945">
        <v>277385</v>
      </c>
      <c r="U29" s="1949">
        <v>131.15565502499999</v>
      </c>
      <c r="V29" s="1945">
        <v>5311485</v>
      </c>
      <c r="W29" s="1949">
        <v>3288.6813916140004</v>
      </c>
      <c r="X29" s="1949">
        <v>11809.231575021</v>
      </c>
      <c r="Y29" s="1945" t="s">
        <v>565</v>
      </c>
      <c r="Z29" s="1945">
        <v>34518548</v>
      </c>
      <c r="AA29" s="1949">
        <v>35651.432406504988</v>
      </c>
      <c r="AB29" s="1945">
        <v>18409</v>
      </c>
      <c r="AC29" s="1949">
        <v>42.114095600999995</v>
      </c>
      <c r="AD29" s="1945">
        <v>3378034</v>
      </c>
      <c r="AE29" s="1949">
        <v>1106.678259069</v>
      </c>
      <c r="AF29" s="1945">
        <v>113762</v>
      </c>
      <c r="AG29" s="1949">
        <v>80.056443896999994</v>
      </c>
      <c r="AH29" s="1945">
        <v>3751940</v>
      </c>
      <c r="AI29" s="1949">
        <v>744.6834263799999</v>
      </c>
      <c r="AJ29" s="1945">
        <v>345874</v>
      </c>
      <c r="AK29" s="1949">
        <v>110.214314855</v>
      </c>
      <c r="AL29" s="1945">
        <v>42126567</v>
      </c>
      <c r="AM29" s="1949">
        <v>37735.178946306994</v>
      </c>
      <c r="AN29" s="1945">
        <v>549881</v>
      </c>
      <c r="AO29" s="1949">
        <v>325.14652321600005</v>
      </c>
      <c r="AP29" s="1945">
        <v>159190</v>
      </c>
      <c r="AQ29" s="1949">
        <v>58.888954548499996</v>
      </c>
      <c r="AR29" s="1945">
        <v>39640</v>
      </c>
      <c r="AS29" s="1949">
        <v>62.886839999999992</v>
      </c>
      <c r="AT29" s="1945">
        <v>119151</v>
      </c>
      <c r="AU29" s="1949">
        <v>108.74114676000002</v>
      </c>
      <c r="AV29" s="1945">
        <v>210515</v>
      </c>
      <c r="AW29" s="1949">
        <v>135.86485813399997</v>
      </c>
      <c r="AX29" s="1945" t="s">
        <v>565</v>
      </c>
      <c r="AY29" s="1945">
        <v>369306</v>
      </c>
      <c r="AZ29" s="1949">
        <v>307.49284489399997</v>
      </c>
      <c r="BA29" s="1950">
        <v>48516429</v>
      </c>
      <c r="BB29" s="1949">
        <v>41715.388660579491</v>
      </c>
      <c r="BC29" s="1945">
        <v>2575501</v>
      </c>
      <c r="BD29" s="1945">
        <v>41507024</v>
      </c>
      <c r="BE29" s="1945">
        <v>7635853</v>
      </c>
      <c r="BF29" s="1945">
        <f t="shared" si="6"/>
        <v>51718378</v>
      </c>
      <c r="BG29" s="1945">
        <v>10725063</v>
      </c>
      <c r="BH29" s="1945">
        <v>16617033</v>
      </c>
      <c r="BI29" s="1949">
        <v>99465.191843246997</v>
      </c>
      <c r="BJ29" s="1945">
        <v>1424521</v>
      </c>
      <c r="BK29" s="1945">
        <v>554303573</v>
      </c>
      <c r="BL29" s="1949">
        <v>125035.70072412099</v>
      </c>
      <c r="BM29" s="1945">
        <v>144174115</v>
      </c>
      <c r="BN29" s="1945">
        <v>15843</v>
      </c>
      <c r="BO29" s="1945">
        <v>12173706</v>
      </c>
      <c r="BP29" s="1949">
        <v>61698.184743721991</v>
      </c>
      <c r="BQ29" s="1945">
        <v>24499751</v>
      </c>
      <c r="BR29" s="1945">
        <v>12929</v>
      </c>
      <c r="BS29" s="1945">
        <v>130332</v>
      </c>
      <c r="BT29" s="1166"/>
    </row>
    <row r="30" spans="1:74" s="173" customFormat="1" ht="10.5" customHeight="1">
      <c r="A30" s="1946" t="s">
        <v>566</v>
      </c>
      <c r="B30" s="1946">
        <v>1674266</v>
      </c>
      <c r="C30" s="1947">
        <v>164489.14560123201</v>
      </c>
      <c r="D30" s="1946">
        <v>7847</v>
      </c>
      <c r="E30" s="1946">
        <v>346.6</v>
      </c>
      <c r="F30" s="1946">
        <f t="shared" si="5"/>
        <v>1682113</v>
      </c>
      <c r="G30" s="1947">
        <f>E30+C30</f>
        <v>164835.74560123202</v>
      </c>
      <c r="H30" s="1948">
        <v>32466685</v>
      </c>
      <c r="I30" s="1947">
        <v>85285.142973528986</v>
      </c>
      <c r="J30" s="1946">
        <v>365078</v>
      </c>
      <c r="K30" s="1947">
        <v>306.97234649399996</v>
      </c>
      <c r="L30" s="1946">
        <v>8172</v>
      </c>
      <c r="M30" s="1947">
        <v>16.667651973799998</v>
      </c>
      <c r="N30" s="1946">
        <v>2999092</v>
      </c>
      <c r="O30" s="1947">
        <v>1758.4923490220001</v>
      </c>
      <c r="P30" s="1946">
        <v>325120</v>
      </c>
      <c r="Q30" s="1947">
        <v>233.3550593672</v>
      </c>
      <c r="R30" s="1946">
        <v>1467766</v>
      </c>
      <c r="S30" s="1947">
        <v>1050.5322467789999</v>
      </c>
      <c r="T30" s="1946">
        <v>289632</v>
      </c>
      <c r="U30" s="1947">
        <v>139.30042522300002</v>
      </c>
      <c r="V30" s="1946">
        <v>5454860</v>
      </c>
      <c r="W30" s="1947">
        <v>3505.3200788589993</v>
      </c>
      <c r="X30" s="1947">
        <v>11879.007553578998</v>
      </c>
      <c r="Y30" s="1946" t="s">
        <v>566</v>
      </c>
      <c r="Z30" s="1946">
        <v>40963221</v>
      </c>
      <c r="AA30" s="1947">
        <v>44294.133263299991</v>
      </c>
      <c r="AB30" s="1946">
        <v>17785</v>
      </c>
      <c r="AC30" s="1947">
        <v>41.673626498000004</v>
      </c>
      <c r="AD30" s="1946">
        <v>3593550</v>
      </c>
      <c r="AE30" s="1947">
        <v>1213.0837708890001</v>
      </c>
      <c r="AF30" s="1946">
        <v>110610</v>
      </c>
      <c r="AG30" s="1947">
        <v>75.876061661500003</v>
      </c>
      <c r="AH30" s="1946">
        <v>4036819</v>
      </c>
      <c r="AI30" s="1947">
        <v>833.64210660499998</v>
      </c>
      <c r="AJ30" s="1946">
        <v>424079</v>
      </c>
      <c r="AK30" s="1947">
        <v>140.77105442049998</v>
      </c>
      <c r="AL30" s="1946">
        <v>49146064</v>
      </c>
      <c r="AM30" s="1947">
        <v>46599.179883373989</v>
      </c>
      <c r="AN30" s="1946">
        <v>716258</v>
      </c>
      <c r="AO30" s="1947">
        <v>481.906322832</v>
      </c>
      <c r="AP30" s="1946">
        <v>192007</v>
      </c>
      <c r="AQ30" s="1947">
        <v>65.228614977199996</v>
      </c>
      <c r="AR30" s="1946">
        <v>44858</v>
      </c>
      <c r="AS30" s="1947">
        <v>67.378879999999995</v>
      </c>
      <c r="AT30" s="1946">
        <v>123972</v>
      </c>
      <c r="AU30" s="1947">
        <v>146.24615476599999</v>
      </c>
      <c r="AV30" s="1946">
        <v>243539</v>
      </c>
      <c r="AW30" s="1947">
        <v>140.45735474200001</v>
      </c>
      <c r="AX30" s="1946" t="s">
        <v>566</v>
      </c>
      <c r="AY30" s="1946">
        <v>412369</v>
      </c>
      <c r="AZ30" s="1947">
        <v>354.08238950800001</v>
      </c>
      <c r="BA30" s="1948">
        <v>55921558</v>
      </c>
      <c r="BB30" s="1947">
        <v>51005.717289550186</v>
      </c>
      <c r="BC30" s="1946">
        <v>2577763</v>
      </c>
      <c r="BD30" s="1946">
        <v>41830524</v>
      </c>
      <c r="BE30" s="1946">
        <v>7986257</v>
      </c>
      <c r="BF30" s="1946">
        <f t="shared" si="6"/>
        <v>52394544</v>
      </c>
      <c r="BG30" s="1946">
        <v>11161910</v>
      </c>
      <c r="BH30" s="1946">
        <v>19288046</v>
      </c>
      <c r="BI30" s="1947">
        <v>99618.194652445003</v>
      </c>
      <c r="BJ30" s="1946">
        <v>1428589</v>
      </c>
      <c r="BK30" s="1946">
        <v>613271750</v>
      </c>
      <c r="BL30" s="1947">
        <v>154852.73878239898</v>
      </c>
      <c r="BM30" s="1946">
        <v>144998590</v>
      </c>
      <c r="BN30" s="1946">
        <v>15898</v>
      </c>
      <c r="BO30" s="1946">
        <v>15120882.949999999</v>
      </c>
      <c r="BP30" s="1947">
        <v>68642.962358190998</v>
      </c>
      <c r="BQ30" s="1946">
        <v>25187059</v>
      </c>
      <c r="BR30" s="1946">
        <v>12925</v>
      </c>
      <c r="BS30" s="1946">
        <v>133150</v>
      </c>
      <c r="BT30" s="1166"/>
    </row>
    <row r="31" spans="1:74" s="173" customFormat="1" ht="10.5" customHeight="1">
      <c r="A31" s="1945" t="s">
        <v>557</v>
      </c>
      <c r="B31" s="1945">
        <v>1572368</v>
      </c>
      <c r="C31" s="1949">
        <v>170634.27365194593</v>
      </c>
      <c r="D31" s="1945">
        <v>8022</v>
      </c>
      <c r="E31" s="1949">
        <v>193.71388239000001</v>
      </c>
      <c r="F31" s="1945">
        <f t="shared" si="5"/>
        <v>1580390</v>
      </c>
      <c r="G31" s="1949">
        <f>E31+C31</f>
        <v>170827.98753433593</v>
      </c>
      <c r="H31" s="1950">
        <v>41059989</v>
      </c>
      <c r="I31" s="1949">
        <v>86661.995574218003</v>
      </c>
      <c r="J31" s="1945">
        <v>358171</v>
      </c>
      <c r="K31" s="1949">
        <v>304.92340300699999</v>
      </c>
      <c r="L31" s="1945">
        <v>10237</v>
      </c>
      <c r="M31" s="1949">
        <v>25.371138221999999</v>
      </c>
      <c r="N31" s="1945">
        <v>2968838</v>
      </c>
      <c r="O31" s="1949">
        <v>1635.036982949</v>
      </c>
      <c r="P31" s="1945">
        <v>450719</v>
      </c>
      <c r="Q31" s="1949">
        <v>349.66039633299999</v>
      </c>
      <c r="R31" s="1945">
        <v>1335633</v>
      </c>
      <c r="S31" s="1949">
        <v>1067.2863788699999</v>
      </c>
      <c r="T31" s="1945">
        <v>291857</v>
      </c>
      <c r="U31" s="1949">
        <v>142.69014062700001</v>
      </c>
      <c r="V31" s="1945">
        <v>5415455</v>
      </c>
      <c r="W31" s="1949">
        <v>3524.968440008</v>
      </c>
      <c r="X31" s="1949">
        <v>12217.306967338</v>
      </c>
      <c r="Y31" s="1945" t="s">
        <v>557</v>
      </c>
      <c r="Z31" s="1945">
        <v>37324602</v>
      </c>
      <c r="AA31" s="1949">
        <v>41850.527760981</v>
      </c>
      <c r="AB31" s="1945">
        <v>20108</v>
      </c>
      <c r="AC31" s="1949">
        <v>46.642603874999999</v>
      </c>
      <c r="AD31" s="1945">
        <v>3498842</v>
      </c>
      <c r="AE31" s="1949">
        <v>1269.8283084879999</v>
      </c>
      <c r="AF31" s="1945">
        <v>129212</v>
      </c>
      <c r="AG31" s="1949">
        <v>99.499397047000002</v>
      </c>
      <c r="AH31" s="1945">
        <v>3911224</v>
      </c>
      <c r="AI31" s="1949">
        <v>747.045406877</v>
      </c>
      <c r="AJ31" s="1945">
        <v>365831</v>
      </c>
      <c r="AK31" s="1949">
        <v>138.1112167</v>
      </c>
      <c r="AL31" s="1945">
        <v>45249819</v>
      </c>
      <c r="AM31" s="1949">
        <v>44151.654693967997</v>
      </c>
      <c r="AN31" s="1945">
        <v>628196</v>
      </c>
      <c r="AO31" s="1949">
        <v>459.57075326400002</v>
      </c>
      <c r="AP31" s="1945">
        <v>153974</v>
      </c>
      <c r="AQ31" s="1949">
        <v>64.236696486</v>
      </c>
      <c r="AR31" s="1945">
        <v>40913</v>
      </c>
      <c r="AS31" s="1949">
        <v>61.792149999999999</v>
      </c>
      <c r="AT31" s="1945">
        <v>119586</v>
      </c>
      <c r="AU31" s="1949">
        <v>111.991942694</v>
      </c>
      <c r="AV31" s="1945">
        <v>222801</v>
      </c>
      <c r="AW31" s="1949">
        <v>128.913375425</v>
      </c>
      <c r="AX31" s="1945" t="s">
        <v>557</v>
      </c>
      <c r="AY31" s="1945">
        <v>383300</v>
      </c>
      <c r="AZ31" s="1949">
        <v>302.69746811900001</v>
      </c>
      <c r="BA31" s="1950">
        <v>51830744</v>
      </c>
      <c r="BB31" s="1949">
        <v>48503.128051845</v>
      </c>
      <c r="BC31" s="1945">
        <v>2946233</v>
      </c>
      <c r="BD31" s="1945">
        <v>43151639</v>
      </c>
      <c r="BE31" s="1945">
        <v>7039117</v>
      </c>
      <c r="BF31" s="1945">
        <f t="shared" si="6"/>
        <v>53136989</v>
      </c>
      <c r="BG31" s="1945">
        <v>11366563</v>
      </c>
      <c r="BH31" s="1945">
        <v>18305024</v>
      </c>
      <c r="BI31" s="1949">
        <v>104935.02852792801</v>
      </c>
      <c r="BJ31" s="1945">
        <v>1436434</v>
      </c>
      <c r="BK31" s="1945">
        <v>592322699</v>
      </c>
      <c r="BL31" s="1949">
        <v>146351.82302921699</v>
      </c>
      <c r="BM31" s="1945">
        <v>145641488</v>
      </c>
      <c r="BN31" s="1945">
        <v>15373</v>
      </c>
      <c r="BO31" s="1945">
        <v>16721989</v>
      </c>
      <c r="BP31" s="1949">
        <v>62785.42266258</v>
      </c>
      <c r="BQ31" s="1945">
        <v>24406197</v>
      </c>
      <c r="BR31" s="1945">
        <v>12918</v>
      </c>
      <c r="BS31" s="1945">
        <v>133178</v>
      </c>
      <c r="BT31" s="1166"/>
    </row>
    <row r="32" spans="1:74" s="173" customFormat="1" ht="13.5" customHeight="1">
      <c r="A32" s="1951" t="s">
        <v>2664</v>
      </c>
      <c r="B32" s="1265">
        <f>B33+B34+B35+B36+B37+B38+B39+B40+B41+B42+B43+B44</f>
        <v>18463068</v>
      </c>
      <c r="C32" s="1266">
        <f t="shared" ref="C32:W32" si="7">C33+C34+C35+C36+C37+C38+C39+C40+C41+C42+C43+C44</f>
        <v>1793481.6054307809</v>
      </c>
      <c r="D32" s="1265">
        <f>D33+D34+D35+D36+D37+D38+D39+D40+D41+D42+D43+D44</f>
        <v>90566</v>
      </c>
      <c r="E32" s="1266">
        <f t="shared" si="7"/>
        <v>5607.2249974800006</v>
      </c>
      <c r="F32" s="1724">
        <f t="shared" si="7"/>
        <v>18553634</v>
      </c>
      <c r="G32" s="1266">
        <f t="shared" si="7"/>
        <v>1799088.8304282608</v>
      </c>
      <c r="H32" s="1724">
        <f>H33+H34+H35+H36+H37+H38+H39+H40+H41+H42+H43+H44</f>
        <v>313234702</v>
      </c>
      <c r="I32" s="1266">
        <f t="shared" si="7"/>
        <v>921608.93134733709</v>
      </c>
      <c r="J32" s="1265">
        <f t="shared" si="7"/>
        <v>5628655</v>
      </c>
      <c r="K32" s="1266">
        <f t="shared" si="7"/>
        <v>5608.4998203859996</v>
      </c>
      <c r="L32" s="1265">
        <f t="shared" si="7"/>
        <v>83343</v>
      </c>
      <c r="M32" s="1266">
        <f t="shared" si="7"/>
        <v>182.92605023444003</v>
      </c>
      <c r="N32" s="1265">
        <f t="shared" si="7"/>
        <v>41685201</v>
      </c>
      <c r="O32" s="1266">
        <f t="shared" si="7"/>
        <v>26400.044722707007</v>
      </c>
      <c r="P32" s="1265">
        <f t="shared" si="7"/>
        <v>4360738</v>
      </c>
      <c r="Q32" s="1266">
        <f t="shared" si="7"/>
        <v>3239.2337328458002</v>
      </c>
      <c r="R32" s="1265">
        <f t="shared" si="7"/>
        <v>16352594</v>
      </c>
      <c r="S32" s="1266">
        <f t="shared" si="7"/>
        <v>13130.400825294</v>
      </c>
      <c r="T32" s="1265">
        <f t="shared" si="7"/>
        <v>3783647</v>
      </c>
      <c r="U32" s="1266">
        <f t="shared" si="7"/>
        <v>1839.25434123585</v>
      </c>
      <c r="V32" s="1265">
        <f t="shared" si="7"/>
        <v>71894178</v>
      </c>
      <c r="W32" s="1266">
        <f t="shared" si="7"/>
        <v>50400.359492333089</v>
      </c>
      <c r="X32" s="1266">
        <f>X44</f>
        <v>13684.722854515998</v>
      </c>
      <c r="Y32" s="1951" t="s">
        <v>2664</v>
      </c>
      <c r="Z32" s="1265">
        <f t="shared" ref="Z32:AA32" si="8">Z33+Z34+Z35+Z36+Z37+Z38+Z39+Z40+Z41+Z42+Z43+Z44</f>
        <v>467750212</v>
      </c>
      <c r="AA32" s="1266">
        <f t="shared" si="8"/>
        <v>513628.87691902195</v>
      </c>
      <c r="AB32" s="1265">
        <f t="shared" ref="AB32:AW32" si="9">AB33+AB34+AB35+AB36+AB37+AB38+AB39+AB40+AB41+AB42+AB43+AB44</f>
        <v>247507</v>
      </c>
      <c r="AC32" s="1266">
        <f t="shared" si="9"/>
        <v>544.22832655760988</v>
      </c>
      <c r="AD32" s="1265">
        <f t="shared" si="9"/>
        <v>47616554</v>
      </c>
      <c r="AE32" s="1266">
        <f t="shared" si="9"/>
        <v>16113.436062772998</v>
      </c>
      <c r="AF32" s="1265">
        <f t="shared" si="9"/>
        <v>2061617</v>
      </c>
      <c r="AG32" s="1266">
        <f t="shared" si="9"/>
        <v>1423.8136483097001</v>
      </c>
      <c r="AH32" s="1265">
        <f t="shared" si="9"/>
        <v>42587021</v>
      </c>
      <c r="AI32" s="1266">
        <f t="shared" si="9"/>
        <v>7609.3630435859986</v>
      </c>
      <c r="AJ32" s="1265">
        <f t="shared" si="9"/>
        <v>5658251</v>
      </c>
      <c r="AK32" s="1266">
        <f t="shared" si="9"/>
        <v>2120.1977054017998</v>
      </c>
      <c r="AL32" s="1265">
        <f t="shared" si="9"/>
        <v>565921162</v>
      </c>
      <c r="AM32" s="1266">
        <f t="shared" si="9"/>
        <v>541439.91570835013</v>
      </c>
      <c r="AN32" s="1265">
        <f t="shared" si="9"/>
        <v>7174420</v>
      </c>
      <c r="AO32" s="1266">
        <f t="shared" si="9"/>
        <v>5388.2211383600006</v>
      </c>
      <c r="AP32" s="1265">
        <f t="shared" si="9"/>
        <v>1770076</v>
      </c>
      <c r="AQ32" s="1266">
        <f t="shared" si="9"/>
        <v>626.41943887211005</v>
      </c>
      <c r="AR32" s="1265">
        <f t="shared" si="9"/>
        <v>591893</v>
      </c>
      <c r="AS32" s="1266">
        <f t="shared" si="9"/>
        <v>820.32866180999997</v>
      </c>
      <c r="AT32" s="1265">
        <f t="shared" si="9"/>
        <v>1699362</v>
      </c>
      <c r="AU32" s="1266">
        <f t="shared" si="9"/>
        <v>1424.1304224109999</v>
      </c>
      <c r="AV32" s="1265">
        <f t="shared" si="9"/>
        <v>1489294</v>
      </c>
      <c r="AW32" s="1266">
        <f t="shared" si="9"/>
        <v>922.16837133099989</v>
      </c>
      <c r="AX32" s="1951" t="s">
        <v>2664</v>
      </c>
      <c r="AY32" s="1265">
        <f t="shared" ref="AY32:BK32" si="10">AY33+AY34+AY35+AY36+AY37+AY38+AY39+AY40+AY41+AY42+AY43+AY44</f>
        <v>3780549</v>
      </c>
      <c r="AZ32" s="1266">
        <f t="shared" si="10"/>
        <v>3166.627455542</v>
      </c>
      <c r="BA32" s="1265">
        <f t="shared" si="10"/>
        <v>650540385</v>
      </c>
      <c r="BB32" s="1266">
        <f>BB33+BB34+BB35+BB36+BB37+BB38+BB39+BB40+BB41+BB42+BB43+BB44</f>
        <v>601021.54323551722</v>
      </c>
      <c r="BC32" s="1265">
        <f>BC44</f>
        <v>2658667</v>
      </c>
      <c r="BD32" s="1265">
        <f t="shared" ref="BD32:BG32" si="11">BD44</f>
        <v>40268746</v>
      </c>
      <c r="BE32" s="1265">
        <f t="shared" si="11"/>
        <v>8696712</v>
      </c>
      <c r="BF32" s="1265">
        <f t="shared" si="11"/>
        <v>51624125</v>
      </c>
      <c r="BG32" s="1265">
        <f t="shared" si="11"/>
        <v>22718551</v>
      </c>
      <c r="BH32" s="1265">
        <f>BH33+BH34+BH35+BH36+BH37+BH38+BH39+BH40+BH41+BH42+BH43+BH44</f>
        <v>339328149</v>
      </c>
      <c r="BI32" s="1266">
        <f>BI33+BI34+BI35+BI36+BI37+BI38+BI39+BI40+BI41+BI42+BI43+BI44</f>
        <v>1644574.855714842</v>
      </c>
      <c r="BJ32" s="1265">
        <f>BJ44</f>
        <v>2083522</v>
      </c>
      <c r="BK32" s="1265">
        <f t="shared" si="10"/>
        <v>9580471009</v>
      </c>
      <c r="BL32" s="1266">
        <f>BL33+BL34+BL35+BL36+BL37+BL38+BL39+BL40+BL41+BL42+BL43+BL44</f>
        <v>2156057.2378161047</v>
      </c>
      <c r="BM32" s="1265">
        <f>BM44</f>
        <v>256966517</v>
      </c>
      <c r="BN32" s="1265">
        <f>BN44</f>
        <v>15423</v>
      </c>
      <c r="BO32" s="1265">
        <f t="shared" ref="BO32:BP32" si="12">BO33+BO34+BO35+BO36+BO37+BO38+BO39+BO40+BO41+BO42+BO43+BO44</f>
        <v>180207829</v>
      </c>
      <c r="BP32" s="1266">
        <f t="shared" si="12"/>
        <v>804641.70456773788</v>
      </c>
      <c r="BQ32" s="1265">
        <f>BQ44</f>
        <v>27223081</v>
      </c>
      <c r="BR32" s="1265">
        <f>BR44</f>
        <v>12798</v>
      </c>
      <c r="BS32" s="1265">
        <f>BS44</f>
        <v>153992</v>
      </c>
      <c r="BT32" s="1166"/>
    </row>
    <row r="33" spans="1:80" s="173" customFormat="1" ht="10.5" customHeight="1">
      <c r="A33" s="1945" t="s">
        <v>559</v>
      </c>
      <c r="B33" s="1945">
        <v>1599932</v>
      </c>
      <c r="C33" s="1949">
        <v>157862.556959512</v>
      </c>
      <c r="D33" s="1945">
        <v>8441</v>
      </c>
      <c r="E33" s="1949">
        <v>186.29435487000001</v>
      </c>
      <c r="F33" s="1945">
        <f t="shared" si="5"/>
        <v>1608373</v>
      </c>
      <c r="G33" s="1949">
        <f>E33+C33</f>
        <v>158048.85131438202</v>
      </c>
      <c r="H33" s="1950">
        <v>41067971</v>
      </c>
      <c r="I33" s="1949">
        <v>87811.527011782004</v>
      </c>
      <c r="J33" s="1945">
        <v>375273</v>
      </c>
      <c r="K33" s="1949">
        <v>311.44610531199999</v>
      </c>
      <c r="L33" s="1945">
        <v>8304</v>
      </c>
      <c r="M33" s="1949">
        <v>16.535123172399999</v>
      </c>
      <c r="N33" s="1945">
        <v>3179129</v>
      </c>
      <c r="O33" s="1949">
        <v>1852.654123908</v>
      </c>
      <c r="P33" s="1945">
        <v>386697</v>
      </c>
      <c r="Q33" s="1949">
        <v>289.23879058770001</v>
      </c>
      <c r="R33" s="1945">
        <v>1207466</v>
      </c>
      <c r="S33" s="1949">
        <v>885.24754472400002</v>
      </c>
      <c r="T33" s="1945">
        <v>323455</v>
      </c>
      <c r="U33" s="1949">
        <v>153.75808022769999</v>
      </c>
      <c r="V33" s="1945">
        <v>5480324</v>
      </c>
      <c r="W33" s="1949">
        <v>3508.8797679318</v>
      </c>
      <c r="X33" s="1949">
        <v>12217.831576410999</v>
      </c>
      <c r="Y33" s="1945" t="s">
        <v>559</v>
      </c>
      <c r="Z33" s="1945">
        <v>37765661</v>
      </c>
      <c r="AA33" s="1949">
        <v>41696.47755001</v>
      </c>
      <c r="AB33" s="1945">
        <v>18432</v>
      </c>
      <c r="AC33" s="1949">
        <v>42.794006952499998</v>
      </c>
      <c r="AD33" s="1945">
        <v>3647147</v>
      </c>
      <c r="AE33" s="1949">
        <v>1196.9288318829999</v>
      </c>
      <c r="AF33" s="1945">
        <v>135177</v>
      </c>
      <c r="AG33" s="1949">
        <v>93.041138607199997</v>
      </c>
      <c r="AH33" s="1945">
        <v>3177445</v>
      </c>
      <c r="AI33" s="1949">
        <v>581.65981115</v>
      </c>
      <c r="AJ33" s="1945">
        <v>452609</v>
      </c>
      <c r="AK33" s="1949">
        <v>192.6825256635</v>
      </c>
      <c r="AL33" s="1945">
        <v>45196471</v>
      </c>
      <c r="AM33" s="1949">
        <v>43803.583864266198</v>
      </c>
      <c r="AN33" s="1945">
        <v>412465</v>
      </c>
      <c r="AO33" s="1949">
        <v>390.82259022400001</v>
      </c>
      <c r="AP33" s="1945">
        <v>11665</v>
      </c>
      <c r="AQ33" s="1949">
        <v>11.650109473700001</v>
      </c>
      <c r="AR33" s="1945">
        <v>41047</v>
      </c>
      <c r="AS33" s="1949">
        <v>61.327469999999998</v>
      </c>
      <c r="AT33" s="1945">
        <v>127118</v>
      </c>
      <c r="AU33" s="1949">
        <v>132.83519913000001</v>
      </c>
      <c r="AV33" s="1945">
        <v>251945</v>
      </c>
      <c r="AW33" s="1949">
        <v>141.11370831400001</v>
      </c>
      <c r="AX33" s="1945" t="s">
        <v>559</v>
      </c>
      <c r="AY33" s="1945">
        <v>420110</v>
      </c>
      <c r="AZ33" s="1949">
        <v>335.27637744399999</v>
      </c>
      <c r="BA33" s="1950">
        <v>51521035</v>
      </c>
      <c r="BB33" s="1949">
        <v>48050.212709339699</v>
      </c>
      <c r="BC33" s="1945">
        <v>2979489</v>
      </c>
      <c r="BD33" s="1945">
        <v>44082562</v>
      </c>
      <c r="BE33" s="1945">
        <v>9825359</v>
      </c>
      <c r="BF33" s="1945">
        <f>BC33+BD33+BE33</f>
        <v>56887410</v>
      </c>
      <c r="BG33" s="1945">
        <v>11642594</v>
      </c>
      <c r="BH33" s="1945">
        <v>20361782</v>
      </c>
      <c r="BI33" s="1949">
        <v>113470.25018894501</v>
      </c>
      <c r="BJ33" s="1945">
        <v>1442007</v>
      </c>
      <c r="BK33" s="1945">
        <v>625295220</v>
      </c>
      <c r="BL33" s="1949">
        <v>148566.62480855899</v>
      </c>
      <c r="BM33" s="1945">
        <v>145825056</v>
      </c>
      <c r="BN33" s="1945">
        <v>15342</v>
      </c>
      <c r="BO33" s="1945">
        <v>13946868</v>
      </c>
      <c r="BP33" s="1949">
        <v>65402.491000000002</v>
      </c>
      <c r="BQ33" s="1945">
        <v>24616822</v>
      </c>
      <c r="BR33" s="1945">
        <v>12814</v>
      </c>
      <c r="BS33" s="1945">
        <v>134327</v>
      </c>
      <c r="BT33" s="1166"/>
    </row>
    <row r="34" spans="1:80" s="173" customFormat="1" ht="10.5" customHeight="1">
      <c r="A34" s="1946" t="s">
        <v>560</v>
      </c>
      <c r="B34" s="1946">
        <v>1511562</v>
      </c>
      <c r="C34" s="1947">
        <v>144540.22213074501</v>
      </c>
      <c r="D34" s="1946">
        <v>6632</v>
      </c>
      <c r="E34" s="1947">
        <v>252.13247107000001</v>
      </c>
      <c r="F34" s="1946">
        <f t="shared" si="5"/>
        <v>1518194</v>
      </c>
      <c r="G34" s="1947">
        <f>E34+C34</f>
        <v>144792.35460181502</v>
      </c>
      <c r="H34" s="1948">
        <v>16240007</v>
      </c>
      <c r="I34" s="1947">
        <v>69470.731684391998</v>
      </c>
      <c r="J34" s="1946">
        <v>437240</v>
      </c>
      <c r="K34" s="1947">
        <v>372.07729776999997</v>
      </c>
      <c r="L34" s="1946">
        <v>6835</v>
      </c>
      <c r="M34" s="1947">
        <v>15.90362199786</v>
      </c>
      <c r="N34" s="1946">
        <v>3406437</v>
      </c>
      <c r="O34" s="1947">
        <v>1909.858418925</v>
      </c>
      <c r="P34" s="1946">
        <v>375155</v>
      </c>
      <c r="Q34" s="1947">
        <v>273.79869985049999</v>
      </c>
      <c r="R34" s="1946">
        <v>1325620</v>
      </c>
      <c r="S34" s="1947">
        <v>1044.152157446</v>
      </c>
      <c r="T34" s="1946">
        <v>310353</v>
      </c>
      <c r="U34" s="1947">
        <v>145.00379950530001</v>
      </c>
      <c r="V34" s="1946">
        <v>5861640</v>
      </c>
      <c r="W34" s="1947">
        <v>3760.7939954946601</v>
      </c>
      <c r="X34" s="1947">
        <v>12392.700568492</v>
      </c>
      <c r="Y34" s="1946" t="s">
        <v>560</v>
      </c>
      <c r="Z34" s="1946">
        <v>38733387</v>
      </c>
      <c r="AA34" s="1947">
        <v>38617.307035263002</v>
      </c>
      <c r="AB34" s="1946">
        <v>19846</v>
      </c>
      <c r="AC34" s="1947">
        <v>45.990203174999998</v>
      </c>
      <c r="AD34" s="1946">
        <v>3899214</v>
      </c>
      <c r="AE34" s="1947">
        <v>1279.6237408909999</v>
      </c>
      <c r="AF34" s="1946">
        <v>141795</v>
      </c>
      <c r="AG34" s="1947">
        <v>92.462346917000005</v>
      </c>
      <c r="AH34" s="1946">
        <v>3688316</v>
      </c>
      <c r="AI34" s="1947">
        <v>609.03027412699998</v>
      </c>
      <c r="AJ34" s="1946">
        <v>464635</v>
      </c>
      <c r="AK34" s="1947">
        <v>203.15478869699999</v>
      </c>
      <c r="AL34" s="1946">
        <v>46947193</v>
      </c>
      <c r="AM34" s="1947">
        <v>40847.568389070002</v>
      </c>
      <c r="AN34" s="1946">
        <v>577908</v>
      </c>
      <c r="AO34" s="1947">
        <v>416.92239135599999</v>
      </c>
      <c r="AP34" s="1946">
        <v>187065</v>
      </c>
      <c r="AQ34" s="1947">
        <v>64.688959681979995</v>
      </c>
      <c r="AR34" s="1946">
        <v>41513</v>
      </c>
      <c r="AS34" s="1947">
        <v>62.38796</v>
      </c>
      <c r="AT34" s="1946">
        <v>119121</v>
      </c>
      <c r="AU34" s="1947">
        <v>108.97973099399999</v>
      </c>
      <c r="AV34" s="1946">
        <v>264436</v>
      </c>
      <c r="AW34" s="1947">
        <v>136.899334767</v>
      </c>
      <c r="AX34" s="1946" t="s">
        <v>560</v>
      </c>
      <c r="AY34" s="1946">
        <v>425070</v>
      </c>
      <c r="AZ34" s="1947">
        <v>308.26702576100001</v>
      </c>
      <c r="BA34" s="1948">
        <v>53998876</v>
      </c>
      <c r="BB34" s="1947">
        <v>45398.240761363602</v>
      </c>
      <c r="BC34" s="1946">
        <v>3008436</v>
      </c>
      <c r="BD34" s="1946">
        <v>44993654</v>
      </c>
      <c r="BE34" s="1946">
        <v>9994907</v>
      </c>
      <c r="BF34" s="1946">
        <f t="shared" ref="BF34:BF43" si="13">BC34+BD34+BE34</f>
        <v>57996997</v>
      </c>
      <c r="BG34" s="1946">
        <v>11963735</v>
      </c>
      <c r="BH34" s="1946">
        <v>21234251</v>
      </c>
      <c r="BI34" s="1947">
        <v>111667.097575793</v>
      </c>
      <c r="BJ34" s="1946">
        <v>1441156</v>
      </c>
      <c r="BK34" s="1946">
        <v>653592222</v>
      </c>
      <c r="BL34" s="1947">
        <v>151123.645042497</v>
      </c>
      <c r="BM34" s="1946">
        <v>146464063</v>
      </c>
      <c r="BN34" s="1946">
        <v>15346</v>
      </c>
      <c r="BO34" s="1946">
        <v>13314605</v>
      </c>
      <c r="BP34" s="1947">
        <v>63571.173717846003</v>
      </c>
      <c r="BQ34" s="1946">
        <v>24863366</v>
      </c>
      <c r="BR34" s="1946">
        <v>12801</v>
      </c>
      <c r="BS34" s="1946">
        <v>134615</v>
      </c>
      <c r="BT34" s="1166"/>
    </row>
    <row r="35" spans="1:80" s="173" customFormat="1" ht="10.5" customHeight="1">
      <c r="A35" s="1945" t="s">
        <v>554</v>
      </c>
      <c r="B35" s="1945">
        <v>1511562</v>
      </c>
      <c r="C35" s="1949">
        <v>144540.22213074501</v>
      </c>
      <c r="D35" s="1945">
        <v>6897</v>
      </c>
      <c r="E35" s="1949">
        <v>177.13499999999999</v>
      </c>
      <c r="F35" s="1945">
        <f t="shared" si="5"/>
        <v>1518459</v>
      </c>
      <c r="G35" s="1949">
        <f>E35+C35</f>
        <v>144717.35713074502</v>
      </c>
      <c r="H35" s="1950">
        <v>15746700</v>
      </c>
      <c r="I35" s="1949">
        <v>74816.953000000009</v>
      </c>
      <c r="J35" s="1945">
        <v>461687</v>
      </c>
      <c r="K35" s="1949">
        <v>406.27558069899999</v>
      </c>
      <c r="L35" s="1945">
        <v>6903</v>
      </c>
      <c r="M35" s="1949">
        <v>15.396472680700001</v>
      </c>
      <c r="N35" s="1945">
        <v>3523773</v>
      </c>
      <c r="O35" s="1949">
        <v>1975.6577413570001</v>
      </c>
      <c r="P35" s="1945">
        <v>406646</v>
      </c>
      <c r="Q35" s="1949">
        <v>294.14496199360002</v>
      </c>
      <c r="R35" s="1945">
        <v>1296548</v>
      </c>
      <c r="S35" s="1949">
        <v>958.67237527700001</v>
      </c>
      <c r="T35" s="1945">
        <v>321682</v>
      </c>
      <c r="U35" s="1949">
        <v>167.14675900290001</v>
      </c>
      <c r="V35" s="1945">
        <v>6017239</v>
      </c>
      <c r="W35" s="1949">
        <v>3817.2938910101998</v>
      </c>
      <c r="X35" s="1949">
        <v>11630.972811063</v>
      </c>
      <c r="Y35" s="1945" t="s">
        <v>554</v>
      </c>
      <c r="Z35" s="1945">
        <v>37616037</v>
      </c>
      <c r="AA35" s="1949">
        <v>39695.364927249997</v>
      </c>
      <c r="AB35" s="1945">
        <v>23191</v>
      </c>
      <c r="AC35" s="1949">
        <v>53.113377392319997</v>
      </c>
      <c r="AD35" s="1945">
        <v>3902652</v>
      </c>
      <c r="AE35" s="1949">
        <v>1400.1206824010001</v>
      </c>
      <c r="AF35" s="1945">
        <v>177325</v>
      </c>
      <c r="AG35" s="1949">
        <v>103.270490657</v>
      </c>
      <c r="AH35" s="1945">
        <v>3389105</v>
      </c>
      <c r="AI35" s="1949">
        <v>605.042610674</v>
      </c>
      <c r="AJ35" s="1945">
        <v>513907</v>
      </c>
      <c r="AK35" s="1949">
        <v>186.88896187509999</v>
      </c>
      <c r="AL35" s="1945">
        <v>45622217</v>
      </c>
      <c r="AM35" s="1949">
        <v>42043.8010502494</v>
      </c>
      <c r="AN35" s="1945">
        <v>578869</v>
      </c>
      <c r="AO35" s="1949">
        <v>424.27212027899998</v>
      </c>
      <c r="AP35" s="1945">
        <v>179370</v>
      </c>
      <c r="AQ35" s="1949">
        <v>67.129303256529994</v>
      </c>
      <c r="AR35" s="1945">
        <v>39852</v>
      </c>
      <c r="AS35" s="1949">
        <v>58.026769999999999</v>
      </c>
      <c r="AT35" s="1945">
        <v>106440</v>
      </c>
      <c r="AU35" s="1949">
        <v>101.047514831</v>
      </c>
      <c r="AV35" s="1945">
        <v>293757</v>
      </c>
      <c r="AW35" s="1949">
        <v>151.42616693900001</v>
      </c>
      <c r="AX35" s="1945" t="s">
        <v>554</v>
      </c>
      <c r="AY35" s="1945">
        <v>440049</v>
      </c>
      <c r="AZ35" s="1949">
        <v>310.50045176999998</v>
      </c>
      <c r="BA35" s="1950">
        <v>52837744</v>
      </c>
      <c r="BB35" s="1949">
        <v>46662.996816565203</v>
      </c>
      <c r="BC35" s="1945">
        <v>2650935</v>
      </c>
      <c r="BD35" s="1945">
        <v>42800891</v>
      </c>
      <c r="BE35" s="1945">
        <v>9720330</v>
      </c>
      <c r="BF35" s="1945">
        <f t="shared" si="13"/>
        <v>55172156</v>
      </c>
      <c r="BG35" s="1945">
        <v>12261943</v>
      </c>
      <c r="BH35" s="1945">
        <v>21778951</v>
      </c>
      <c r="BI35" s="1949">
        <v>108628.06299999999</v>
      </c>
      <c r="BJ35" s="1945">
        <v>1445169</v>
      </c>
      <c r="BK35" s="1945">
        <v>644448320</v>
      </c>
      <c r="BL35" s="1949">
        <v>153951.70199999999</v>
      </c>
      <c r="BM35" s="1945">
        <v>141775261</v>
      </c>
      <c r="BN35" s="1945">
        <v>15321</v>
      </c>
      <c r="BO35" s="1945">
        <v>13610375</v>
      </c>
      <c r="BP35" s="1949">
        <v>66965.959566225007</v>
      </c>
      <c r="BQ35" s="1945">
        <v>25107164</v>
      </c>
      <c r="BR35" s="1945">
        <v>12849</v>
      </c>
      <c r="BS35" s="1945">
        <v>136309</v>
      </c>
      <c r="BT35" s="1166"/>
    </row>
    <row r="36" spans="1:80" s="173" customFormat="1" ht="10.5" customHeight="1">
      <c r="A36" s="1946" t="s">
        <v>561</v>
      </c>
      <c r="B36" s="1946">
        <v>1523144</v>
      </c>
      <c r="C36" s="1947">
        <v>139165.72778526001</v>
      </c>
      <c r="D36" s="1946">
        <v>6691</v>
      </c>
      <c r="E36" s="1947">
        <v>242.25942832000001</v>
      </c>
      <c r="F36" s="1946">
        <f t="shared" ref="F36:F38" si="14">B36+D36</f>
        <v>1529835</v>
      </c>
      <c r="G36" s="1947">
        <f t="shared" ref="G36:G38" si="15">E36+C36</f>
        <v>139407.98721358</v>
      </c>
      <c r="H36" s="1948">
        <v>27306554</v>
      </c>
      <c r="I36" s="1947">
        <v>70629.457559830989</v>
      </c>
      <c r="J36" s="1946">
        <v>460579</v>
      </c>
      <c r="K36" s="1947">
        <v>400.05180861400004</v>
      </c>
      <c r="L36" s="1946">
        <v>7911</v>
      </c>
      <c r="M36" s="1947">
        <v>18.1575957919</v>
      </c>
      <c r="N36" s="1946">
        <v>3541846</v>
      </c>
      <c r="O36" s="1947">
        <v>2187.1645293470001</v>
      </c>
      <c r="P36" s="1946">
        <v>443765</v>
      </c>
      <c r="Q36" s="1947">
        <v>335.77329013500008</v>
      </c>
      <c r="R36" s="1946">
        <v>1317584</v>
      </c>
      <c r="S36" s="1947">
        <v>967.62526595099985</v>
      </c>
      <c r="T36" s="1946">
        <v>333468</v>
      </c>
      <c r="U36" s="1947">
        <v>151.16118712619999</v>
      </c>
      <c r="V36" s="1946">
        <v>6105153</v>
      </c>
      <c r="W36" s="1947">
        <v>4059.9336769651004</v>
      </c>
      <c r="X36" s="1947">
        <v>11530.164889638001</v>
      </c>
      <c r="Y36" s="1946" t="s">
        <v>561</v>
      </c>
      <c r="Z36" s="1946">
        <v>38315812</v>
      </c>
      <c r="AA36" s="1947">
        <v>40700.895657729998</v>
      </c>
      <c r="AB36" s="1946">
        <v>24324</v>
      </c>
      <c r="AC36" s="1947">
        <v>53.948991626189994</v>
      </c>
      <c r="AD36" s="1946">
        <v>4173883</v>
      </c>
      <c r="AE36" s="1947">
        <v>1515.0634444269999</v>
      </c>
      <c r="AF36" s="1946">
        <v>209359</v>
      </c>
      <c r="AG36" s="1947">
        <v>288.8481601955001</v>
      </c>
      <c r="AH36" s="1946">
        <v>3334233</v>
      </c>
      <c r="AI36" s="1947">
        <v>586.76958069799991</v>
      </c>
      <c r="AJ36" s="1946">
        <v>517369</v>
      </c>
      <c r="AK36" s="1947">
        <v>167.90267424279997</v>
      </c>
      <c r="AL36" s="1946">
        <v>46574980</v>
      </c>
      <c r="AM36" s="1947">
        <v>43313.428508919496</v>
      </c>
      <c r="AN36" s="1946">
        <v>574668</v>
      </c>
      <c r="AO36" s="1947">
        <v>417.86603096400006</v>
      </c>
      <c r="AP36" s="1946">
        <v>201314</v>
      </c>
      <c r="AQ36" s="1947">
        <v>66.482342714400005</v>
      </c>
      <c r="AR36" s="1946">
        <v>42073</v>
      </c>
      <c r="AS36" s="1947">
        <v>62.544809999999998</v>
      </c>
      <c r="AT36" s="1946">
        <v>114161</v>
      </c>
      <c r="AU36" s="1947">
        <v>104.016897965</v>
      </c>
      <c r="AV36" s="1946">
        <v>51122</v>
      </c>
      <c r="AW36" s="1947">
        <v>21.938618174999998</v>
      </c>
      <c r="AX36" s="1946" t="s">
        <v>561</v>
      </c>
      <c r="AY36" s="1946">
        <v>207356</v>
      </c>
      <c r="AZ36" s="1947">
        <v>188.50032613999997</v>
      </c>
      <c r="BA36" s="1948">
        <v>53663471</v>
      </c>
      <c r="BB36" s="1947">
        <v>48046.210885702996</v>
      </c>
      <c r="BC36" s="1946">
        <v>2741767</v>
      </c>
      <c r="BD36" s="1946">
        <v>40645345</v>
      </c>
      <c r="BE36" s="1946">
        <v>9337857</v>
      </c>
      <c r="BF36" s="1946">
        <f t="shared" si="13"/>
        <v>52724969</v>
      </c>
      <c r="BG36" s="1946">
        <v>12547851</v>
      </c>
      <c r="BH36" s="1946">
        <v>22948517</v>
      </c>
      <c r="BI36" s="1947">
        <v>123083.48556929504</v>
      </c>
      <c r="BJ36" s="1946">
        <v>1465506</v>
      </c>
      <c r="BK36" s="1946">
        <v>678633515</v>
      </c>
      <c r="BL36" s="1947">
        <v>158295.75149409295</v>
      </c>
      <c r="BM36" s="1946">
        <v>142284228</v>
      </c>
      <c r="BN36" s="1946">
        <v>15349</v>
      </c>
      <c r="BO36" s="1946">
        <v>16530294</v>
      </c>
      <c r="BP36" s="1947">
        <v>66099.091784966993</v>
      </c>
      <c r="BQ36" s="1946">
        <v>25382771</v>
      </c>
      <c r="BR36" s="1946">
        <v>12792</v>
      </c>
      <c r="BS36" s="1946">
        <v>136717</v>
      </c>
      <c r="BT36" s="1166"/>
    </row>
    <row r="37" spans="1:80" s="1057" customFormat="1" ht="10.5" customHeight="1">
      <c r="A37" s="1945" t="s">
        <v>562</v>
      </c>
      <c r="B37" s="1945">
        <v>1584064</v>
      </c>
      <c r="C37" s="1949">
        <v>147318.75415785395</v>
      </c>
      <c r="D37" s="1945">
        <v>6591</v>
      </c>
      <c r="E37" s="1949">
        <v>290.60603071000003</v>
      </c>
      <c r="F37" s="1945">
        <f t="shared" si="14"/>
        <v>1590655</v>
      </c>
      <c r="G37" s="1949">
        <f t="shared" si="15"/>
        <v>147609.36018856397</v>
      </c>
      <c r="H37" s="1950">
        <v>17031013</v>
      </c>
      <c r="I37" s="1949">
        <v>73803.990267700996</v>
      </c>
      <c r="J37" s="1945">
        <v>468971</v>
      </c>
      <c r="K37" s="1949">
        <v>382.48137285900003</v>
      </c>
      <c r="L37" s="1945">
        <v>7655</v>
      </c>
      <c r="M37" s="1949">
        <v>21.942084946630004</v>
      </c>
      <c r="N37" s="1945">
        <v>3443940</v>
      </c>
      <c r="O37" s="1949">
        <v>2048.0819157750002</v>
      </c>
      <c r="P37" s="1945">
        <v>363366</v>
      </c>
      <c r="Q37" s="1949">
        <v>329.70456795179996</v>
      </c>
      <c r="R37" s="1945">
        <v>1427149</v>
      </c>
      <c r="S37" s="1949">
        <v>1078.2497508819997</v>
      </c>
      <c r="T37" s="1945">
        <v>336300</v>
      </c>
      <c r="U37" s="1949">
        <v>204.46648583780001</v>
      </c>
      <c r="V37" s="1945">
        <v>6047381</v>
      </c>
      <c r="W37" s="1949">
        <v>4064.926178252229</v>
      </c>
      <c r="X37" s="1949">
        <v>12023.173934245997</v>
      </c>
      <c r="Y37" s="1945" t="s">
        <v>562</v>
      </c>
      <c r="Z37" s="1945">
        <v>37738507</v>
      </c>
      <c r="AA37" s="1949">
        <v>40326.258886982992</v>
      </c>
      <c r="AB37" s="1945">
        <v>23070</v>
      </c>
      <c r="AC37" s="1949">
        <v>48.210516362799993</v>
      </c>
      <c r="AD37" s="1945">
        <v>3885765</v>
      </c>
      <c r="AE37" s="1949">
        <v>1241.4888597300001</v>
      </c>
      <c r="AF37" s="1945">
        <v>190897</v>
      </c>
      <c r="AG37" s="1949">
        <v>111.83377934809998</v>
      </c>
      <c r="AH37" s="1945">
        <v>3402093</v>
      </c>
      <c r="AI37" s="1949">
        <v>626.37109246199998</v>
      </c>
      <c r="AJ37" s="1945">
        <v>525324</v>
      </c>
      <c r="AK37" s="1949">
        <v>182.97801063510002</v>
      </c>
      <c r="AL37" s="1945">
        <v>45765656</v>
      </c>
      <c r="AM37" s="1949">
        <v>42537.141145520996</v>
      </c>
      <c r="AN37" s="1945">
        <v>554580</v>
      </c>
      <c r="AO37" s="1949">
        <v>413.24462087900002</v>
      </c>
      <c r="AP37" s="1945">
        <v>195347</v>
      </c>
      <c r="AQ37" s="1949">
        <v>60.852722171539995</v>
      </c>
      <c r="AR37" s="1945">
        <v>40293</v>
      </c>
      <c r="AS37" s="1949">
        <v>58.994289999999999</v>
      </c>
      <c r="AT37" s="1945">
        <v>129505</v>
      </c>
      <c r="AU37" s="1949">
        <v>123.60847838499998</v>
      </c>
      <c r="AV37" s="1945">
        <v>328678</v>
      </c>
      <c r="AW37" s="1949">
        <v>278.06085191599999</v>
      </c>
      <c r="AX37" s="1945" t="s">
        <v>562</v>
      </c>
      <c r="AY37" s="1945">
        <v>498476</v>
      </c>
      <c r="AZ37" s="1949">
        <v>460.66362030100004</v>
      </c>
      <c r="BA37" s="1950">
        <v>53061440</v>
      </c>
      <c r="BB37" s="1949">
        <v>47536.828287124765</v>
      </c>
      <c r="BC37" s="1945">
        <v>2793187</v>
      </c>
      <c r="BD37" s="1945">
        <v>40719233</v>
      </c>
      <c r="BE37" s="1945">
        <v>8977847</v>
      </c>
      <c r="BF37" s="1945">
        <f t="shared" si="13"/>
        <v>52490267</v>
      </c>
      <c r="BG37" s="1945">
        <v>12590364</v>
      </c>
      <c r="BH37" s="1945">
        <v>22433034</v>
      </c>
      <c r="BI37" s="1949">
        <v>107993.16727004902</v>
      </c>
      <c r="BJ37" s="1945">
        <v>1491161</v>
      </c>
      <c r="BK37" s="1945">
        <v>666334177</v>
      </c>
      <c r="BL37" s="1949">
        <v>158409.155376173</v>
      </c>
      <c r="BM37" s="1945">
        <v>143074976</v>
      </c>
      <c r="BN37" s="1945">
        <v>15340</v>
      </c>
      <c r="BO37" s="1945">
        <v>14276252</v>
      </c>
      <c r="BP37" s="1949">
        <v>67696.326846656011</v>
      </c>
      <c r="BQ37" s="1945">
        <v>25616672</v>
      </c>
      <c r="BR37" s="1945">
        <v>12768</v>
      </c>
      <c r="BS37" s="1945">
        <v>140167</v>
      </c>
      <c r="BT37" s="1462"/>
    </row>
    <row r="38" spans="1:80" ht="10.5" customHeight="1">
      <c r="A38" s="1946" t="s">
        <v>555</v>
      </c>
      <c r="B38" s="1946">
        <v>1600784</v>
      </c>
      <c r="C38" s="1947">
        <v>148469.95409586601</v>
      </c>
      <c r="D38" s="1946">
        <v>6687</v>
      </c>
      <c r="E38" s="1947">
        <v>2842.8917611699999</v>
      </c>
      <c r="F38" s="1946">
        <f t="shared" si="14"/>
        <v>1607471</v>
      </c>
      <c r="G38" s="1947">
        <f t="shared" si="15"/>
        <v>151312.84585703601</v>
      </c>
      <c r="H38" s="1948">
        <v>20256732</v>
      </c>
      <c r="I38" s="1947">
        <v>72386.612329633004</v>
      </c>
      <c r="J38" s="1946">
        <v>501132</v>
      </c>
      <c r="K38" s="1947">
        <v>462.7028613</v>
      </c>
      <c r="L38" s="1946">
        <v>7260</v>
      </c>
      <c r="M38" s="1947">
        <v>14.083496370000001</v>
      </c>
      <c r="N38" s="1946">
        <v>3513695</v>
      </c>
      <c r="O38" s="1947">
        <v>2189.9375180000002</v>
      </c>
      <c r="P38" s="1946">
        <v>355324</v>
      </c>
      <c r="Q38" s="1947">
        <v>246.53688059999999</v>
      </c>
      <c r="R38" s="1946">
        <v>1467281</v>
      </c>
      <c r="S38" s="1947">
        <v>1206.231096</v>
      </c>
      <c r="T38" s="1946">
        <v>317915</v>
      </c>
      <c r="U38" s="1947">
        <v>156.63308910000001</v>
      </c>
      <c r="V38" s="1946">
        <v>6162607</v>
      </c>
      <c r="W38" s="1947">
        <v>4276.124941</v>
      </c>
      <c r="X38" s="1947">
        <v>12168.02491</v>
      </c>
      <c r="Y38" s="1946" t="s">
        <v>555</v>
      </c>
      <c r="Z38" s="1946">
        <v>38339919</v>
      </c>
      <c r="AA38" s="1947">
        <v>42131.249049999999</v>
      </c>
      <c r="AB38" s="1946">
        <v>21006</v>
      </c>
      <c r="AC38" s="1947">
        <v>48.258557000000003</v>
      </c>
      <c r="AD38" s="1946">
        <v>3873688</v>
      </c>
      <c r="AE38" s="1947">
        <v>1296.8154750000001</v>
      </c>
      <c r="AF38" s="1946">
        <v>169138</v>
      </c>
      <c r="AG38" s="1947">
        <v>104.5451659</v>
      </c>
      <c r="AH38" s="1946">
        <v>4312755</v>
      </c>
      <c r="AI38" s="1947">
        <v>618.91923710000003</v>
      </c>
      <c r="AJ38" s="1946">
        <v>422224</v>
      </c>
      <c r="AK38" s="1947">
        <v>183.55454230000001</v>
      </c>
      <c r="AL38" s="1946">
        <v>47138730</v>
      </c>
      <c r="AM38" s="1947">
        <v>44383.34203</v>
      </c>
      <c r="AN38" s="1946">
        <v>573827</v>
      </c>
      <c r="AO38" s="1947">
        <v>439.3809038</v>
      </c>
      <c r="AP38" s="1946">
        <v>172693</v>
      </c>
      <c r="AQ38" s="1947">
        <v>56.03201584</v>
      </c>
      <c r="AR38" s="1946">
        <v>46817</v>
      </c>
      <c r="AS38" s="1947">
        <v>71.089261239999999</v>
      </c>
      <c r="AT38" s="1946">
        <v>170067</v>
      </c>
      <c r="AU38" s="1947">
        <v>143.5281803</v>
      </c>
      <c r="AV38" s="1946">
        <v>33535</v>
      </c>
      <c r="AW38" s="1947">
        <v>22.500195770000001</v>
      </c>
      <c r="AX38" s="1946" t="s">
        <v>555</v>
      </c>
      <c r="AY38" s="1946">
        <v>250419</v>
      </c>
      <c r="AZ38" s="1947">
        <v>237.11763730000001</v>
      </c>
      <c r="BA38" s="1948">
        <v>54298276</v>
      </c>
      <c r="BB38" s="1947">
        <v>49391.997530000001</v>
      </c>
      <c r="BC38" s="1946">
        <v>2807820</v>
      </c>
      <c r="BD38" s="1946">
        <v>40289810</v>
      </c>
      <c r="BE38" s="1946">
        <v>8679473</v>
      </c>
      <c r="BF38" s="1946">
        <f t="shared" si="13"/>
        <v>51777103</v>
      </c>
      <c r="BG38" s="1946">
        <v>12899891</v>
      </c>
      <c r="BH38" s="1946">
        <v>25440081</v>
      </c>
      <c r="BI38" s="1947">
        <v>118205.92660207101</v>
      </c>
      <c r="BJ38" s="1946">
        <v>1515704</v>
      </c>
      <c r="BK38" s="1946">
        <v>708314372</v>
      </c>
      <c r="BL38" s="1947">
        <v>167674.39788760801</v>
      </c>
      <c r="BM38" s="1946">
        <v>144092030</v>
      </c>
      <c r="BN38" s="1946">
        <v>15328</v>
      </c>
      <c r="BO38" s="1946">
        <v>15045342</v>
      </c>
      <c r="BP38" s="1947">
        <v>68593.958033186995</v>
      </c>
      <c r="BQ38" s="1946">
        <v>25832979</v>
      </c>
      <c r="BR38" s="1946">
        <v>12713</v>
      </c>
      <c r="BS38" s="1946">
        <v>142773</v>
      </c>
      <c r="BT38" s="943"/>
      <c r="BU38" s="1072"/>
      <c r="BV38" s="172"/>
    </row>
    <row r="39" spans="1:80" ht="10.5" customHeight="1">
      <c r="A39" s="1952" t="s">
        <v>563</v>
      </c>
      <c r="B39" s="1952">
        <v>1625972</v>
      </c>
      <c r="C39" s="1953">
        <v>152871.655908463</v>
      </c>
      <c r="D39" s="1952">
        <v>6288</v>
      </c>
      <c r="E39" s="1953">
        <v>263.39438776999998</v>
      </c>
      <c r="F39" s="1952">
        <f t="shared" ref="F39:F40" si="16">B39+D39</f>
        <v>1632260</v>
      </c>
      <c r="G39" s="1953">
        <f t="shared" ref="G39:G40" si="17">E39+C39</f>
        <v>153135.05029623301</v>
      </c>
      <c r="H39" s="1954">
        <v>25715795</v>
      </c>
      <c r="I39" s="1953">
        <v>76064.978508002023</v>
      </c>
      <c r="J39" s="1952">
        <v>636237</v>
      </c>
      <c r="K39" s="1953">
        <v>599.56036608099998</v>
      </c>
      <c r="L39" s="1952">
        <v>6989</v>
      </c>
      <c r="M39" s="1953">
        <v>14.815913629849998</v>
      </c>
      <c r="N39" s="1952">
        <v>3597309</v>
      </c>
      <c r="O39" s="1953">
        <v>2167.0796098750006</v>
      </c>
      <c r="P39" s="1952">
        <v>331168</v>
      </c>
      <c r="Q39" s="1953">
        <v>256.08718872039998</v>
      </c>
      <c r="R39" s="1952">
        <v>1436732</v>
      </c>
      <c r="S39" s="1953">
        <v>1211.6741886080001</v>
      </c>
      <c r="T39" s="1952">
        <v>299767</v>
      </c>
      <c r="U39" s="1953">
        <v>145.86323327165002</v>
      </c>
      <c r="V39" s="1952">
        <v>6308202</v>
      </c>
      <c r="W39" s="1953">
        <v>4395.0805001859007</v>
      </c>
      <c r="X39" s="1953">
        <v>13013.387112577002</v>
      </c>
      <c r="Y39" s="1952" t="s">
        <v>563</v>
      </c>
      <c r="Z39" s="1952">
        <v>39549787</v>
      </c>
      <c r="AA39" s="1953">
        <v>43688.366865495002</v>
      </c>
      <c r="AB39" s="1952">
        <v>20362</v>
      </c>
      <c r="AC39" s="1953">
        <v>44.7969911056</v>
      </c>
      <c r="AD39" s="1952">
        <v>3994020</v>
      </c>
      <c r="AE39" s="1953">
        <v>1373.9096492240001</v>
      </c>
      <c r="AF39" s="1952">
        <v>164618</v>
      </c>
      <c r="AG39" s="1953">
        <v>106.27764426390002</v>
      </c>
      <c r="AH39" s="1952">
        <v>3396970</v>
      </c>
      <c r="AI39" s="1953">
        <v>695.32583162000014</v>
      </c>
      <c r="AJ39" s="1952">
        <v>496200</v>
      </c>
      <c r="AK39" s="1953">
        <v>182.19967283009998</v>
      </c>
      <c r="AL39" s="1952">
        <v>47621957</v>
      </c>
      <c r="AM39" s="1953">
        <v>46090.876654538595</v>
      </c>
      <c r="AN39" s="1952">
        <v>600351</v>
      </c>
      <c r="AO39" s="1953">
        <v>470.00548876099992</v>
      </c>
      <c r="AP39" s="1952">
        <v>160486</v>
      </c>
      <c r="AQ39" s="1953">
        <v>58.34478016264999</v>
      </c>
      <c r="AR39" s="1952">
        <v>61907</v>
      </c>
      <c r="AS39" s="1953">
        <v>88.486205193999993</v>
      </c>
      <c r="AT39" s="1952">
        <v>194650</v>
      </c>
      <c r="AU39" s="1953">
        <v>157.08748847300001</v>
      </c>
      <c r="AV39" s="1952">
        <v>45338</v>
      </c>
      <c r="AW39" s="1952">
        <v>35.614113123999999</v>
      </c>
      <c r="AX39" s="1952" t="s">
        <v>563</v>
      </c>
      <c r="AY39" s="1952">
        <v>301895</v>
      </c>
      <c r="AZ39" s="1953">
        <v>281.18780679099996</v>
      </c>
      <c r="BA39" s="1954">
        <v>54992891</v>
      </c>
      <c r="BB39" s="1953">
        <v>51295.495230439155</v>
      </c>
      <c r="BC39" s="1952">
        <v>2585639</v>
      </c>
      <c r="BD39" s="1952">
        <v>40655731</v>
      </c>
      <c r="BE39" s="1952">
        <v>8342330</v>
      </c>
      <c r="BF39" s="1952">
        <f t="shared" si="13"/>
        <v>51583700</v>
      </c>
      <c r="BG39" s="1952">
        <v>13337818</v>
      </c>
      <c r="BH39" s="1952">
        <v>24797148</v>
      </c>
      <c r="BI39" s="1953">
        <v>136347.72356230402</v>
      </c>
      <c r="BJ39" s="1952">
        <v>1510465</v>
      </c>
      <c r="BK39" s="1952">
        <v>744055515</v>
      </c>
      <c r="BL39" s="1953">
        <v>172873.78350912599</v>
      </c>
      <c r="BM39" s="1952">
        <v>144943391</v>
      </c>
      <c r="BN39" s="1952">
        <v>15217</v>
      </c>
      <c r="BO39" s="1952">
        <v>17621693</v>
      </c>
      <c r="BP39" s="1953">
        <v>73410.096999999994</v>
      </c>
      <c r="BQ39" s="1952">
        <v>26033997</v>
      </c>
      <c r="BR39" s="1952">
        <v>12674</v>
      </c>
      <c r="BS39" s="1952">
        <v>143209</v>
      </c>
      <c r="BT39" s="943"/>
      <c r="BU39" s="1072"/>
      <c r="BV39" s="172"/>
    </row>
    <row r="40" spans="1:80" ht="10.5" customHeight="1">
      <c r="A40" s="1946" t="s">
        <v>564</v>
      </c>
      <c r="B40" s="1946">
        <v>1395662</v>
      </c>
      <c r="C40" s="1947">
        <v>131375.93443164902</v>
      </c>
      <c r="D40" s="1946">
        <v>7553</v>
      </c>
      <c r="E40" s="1947">
        <v>316.15115804999999</v>
      </c>
      <c r="F40" s="1948">
        <f t="shared" si="16"/>
        <v>1403215</v>
      </c>
      <c r="G40" s="1947">
        <f t="shared" si="17"/>
        <v>131692.08558969901</v>
      </c>
      <c r="H40" s="1948">
        <v>14706235</v>
      </c>
      <c r="I40" s="1947">
        <v>69146.103797775024</v>
      </c>
      <c r="J40" s="1946">
        <v>426680</v>
      </c>
      <c r="K40" s="1947">
        <v>475.87097764300006</v>
      </c>
      <c r="L40" s="1946">
        <v>5686</v>
      </c>
      <c r="M40" s="1947">
        <v>12.525116145100004</v>
      </c>
      <c r="N40" s="1946">
        <v>3217263</v>
      </c>
      <c r="O40" s="1947">
        <v>1971.127415234</v>
      </c>
      <c r="P40" s="1946">
        <v>270459</v>
      </c>
      <c r="Q40" s="1947">
        <v>199.46011991510002</v>
      </c>
      <c r="R40" s="1946">
        <v>1228327</v>
      </c>
      <c r="S40" s="1947">
        <v>916.94629778700005</v>
      </c>
      <c r="T40" s="1946">
        <v>260156</v>
      </c>
      <c r="U40" s="1947">
        <v>120.80637227769998</v>
      </c>
      <c r="V40" s="1946">
        <v>5408571</v>
      </c>
      <c r="W40" s="1947">
        <v>3696.7362990019001</v>
      </c>
      <c r="X40" s="1947">
        <v>13012.090198563001</v>
      </c>
      <c r="Y40" s="1946" t="s">
        <v>564</v>
      </c>
      <c r="Z40" s="1946">
        <v>36830157</v>
      </c>
      <c r="AA40" s="1947">
        <v>41604.220315311999</v>
      </c>
      <c r="AB40" s="1946">
        <v>16706</v>
      </c>
      <c r="AC40" s="1947">
        <v>36.247313677400001</v>
      </c>
      <c r="AD40" s="1946">
        <v>3550238</v>
      </c>
      <c r="AE40" s="1947">
        <v>1198.6182733649998</v>
      </c>
      <c r="AF40" s="1946">
        <v>143802</v>
      </c>
      <c r="AG40" s="1947">
        <v>86.622379403899998</v>
      </c>
      <c r="AH40" s="1946">
        <v>3050989</v>
      </c>
      <c r="AI40" s="1947">
        <v>564.4430406969999</v>
      </c>
      <c r="AJ40" s="1946">
        <v>398119</v>
      </c>
      <c r="AK40" s="1947">
        <v>134.06191576809999</v>
      </c>
      <c r="AL40" s="1946">
        <v>43990011</v>
      </c>
      <c r="AM40" s="1947">
        <v>43624.213238223398</v>
      </c>
      <c r="AN40" s="1946">
        <v>557254</v>
      </c>
      <c r="AO40" s="1947">
        <v>447.6742121829999</v>
      </c>
      <c r="AP40" s="1946">
        <v>121761</v>
      </c>
      <c r="AQ40" s="1947">
        <v>41.020386024159997</v>
      </c>
      <c r="AR40" s="1946">
        <v>50073</v>
      </c>
      <c r="AS40" s="1947">
        <v>72.610658924000006</v>
      </c>
      <c r="AT40" s="1946">
        <v>116933</v>
      </c>
      <c r="AU40" s="1947">
        <v>95.33033058700002</v>
      </c>
      <c r="AV40" s="1946">
        <v>32355</v>
      </c>
      <c r="AW40" s="1946">
        <v>20.901416459</v>
      </c>
      <c r="AX40" s="1946" t="s">
        <v>564</v>
      </c>
      <c r="AY40" s="1946">
        <v>199361</v>
      </c>
      <c r="AZ40" s="1947">
        <v>188.84240597000002</v>
      </c>
      <c r="BA40" s="1948">
        <v>50276958</v>
      </c>
      <c r="BB40" s="1947">
        <v>47998.486541402461</v>
      </c>
      <c r="BC40" s="1946">
        <v>2607835</v>
      </c>
      <c r="BD40" s="1946">
        <v>40454466</v>
      </c>
      <c r="BE40" s="1946">
        <v>8120519</v>
      </c>
      <c r="BF40" s="1946">
        <f t="shared" si="13"/>
        <v>51182820</v>
      </c>
      <c r="BG40" s="1946">
        <v>23038900</v>
      </c>
      <c r="BH40" s="1946">
        <v>28768089</v>
      </c>
      <c r="BI40" s="1947">
        <v>140515.53225151298</v>
      </c>
      <c r="BJ40" s="1946">
        <v>1523235</v>
      </c>
      <c r="BK40" s="1946">
        <v>615580925</v>
      </c>
      <c r="BL40" s="1947">
        <v>148045.45775036301</v>
      </c>
      <c r="BM40" s="1946">
        <v>145103411</v>
      </c>
      <c r="BN40" s="1946">
        <v>15217</v>
      </c>
      <c r="BO40" s="1946">
        <v>12275084</v>
      </c>
      <c r="BP40" s="1947">
        <v>61340.529521901</v>
      </c>
      <c r="BQ40" s="1946">
        <v>26033997</v>
      </c>
      <c r="BR40" s="1946">
        <v>12773</v>
      </c>
      <c r="BS40" s="1946">
        <v>146530</v>
      </c>
      <c r="BT40" s="943"/>
      <c r="BU40" s="1072"/>
      <c r="BV40" s="172"/>
    </row>
    <row r="41" spans="1:80" s="1607" customFormat="1" ht="10.5" customHeight="1">
      <c r="A41" s="1952" t="s">
        <v>556</v>
      </c>
      <c r="B41" s="1952">
        <v>1510298</v>
      </c>
      <c r="C41" s="1953">
        <v>144689.29460324399</v>
      </c>
      <c r="D41" s="1952">
        <v>9182</v>
      </c>
      <c r="E41" s="1953">
        <v>261.06897086999999</v>
      </c>
      <c r="F41" s="1952">
        <f t="shared" ref="F41" si="18">B41+D41</f>
        <v>1519480</v>
      </c>
      <c r="G41" s="1953">
        <f t="shared" ref="G41" si="19">E41+C41</f>
        <v>144950.36357411399</v>
      </c>
      <c r="H41" s="1954">
        <v>35074103</v>
      </c>
      <c r="I41" s="1953">
        <v>84084.767718070027</v>
      </c>
      <c r="J41" s="1952">
        <v>447933</v>
      </c>
      <c r="K41" s="1953">
        <v>523.57231223600002</v>
      </c>
      <c r="L41" s="1952">
        <v>7164</v>
      </c>
      <c r="M41" s="1953">
        <v>14.838163231000005</v>
      </c>
      <c r="N41" s="1952">
        <v>4160714</v>
      </c>
      <c r="O41" s="1953">
        <v>2496.4343992540003</v>
      </c>
      <c r="P41" s="1952">
        <v>363786</v>
      </c>
      <c r="Q41" s="1953">
        <v>252.97788809120001</v>
      </c>
      <c r="R41" s="1952">
        <v>1432051</v>
      </c>
      <c r="S41" s="1953">
        <v>1181.0081145550002</v>
      </c>
      <c r="T41" s="1952">
        <v>308835</v>
      </c>
      <c r="U41" s="1953">
        <v>141.222126648</v>
      </c>
      <c r="V41" s="1952">
        <v>6720483</v>
      </c>
      <c r="W41" s="1953">
        <v>4610.0530040152007</v>
      </c>
      <c r="X41" s="1953">
        <v>14220.277981787</v>
      </c>
      <c r="Y41" s="1952" t="s">
        <v>556</v>
      </c>
      <c r="Z41" s="1952">
        <v>45426931</v>
      </c>
      <c r="AA41" s="1953">
        <v>52319.837144396995</v>
      </c>
      <c r="AB41" s="1952">
        <v>21033</v>
      </c>
      <c r="AC41" s="1953">
        <v>45.100882169000002</v>
      </c>
      <c r="AD41" s="1952">
        <v>4918867</v>
      </c>
      <c r="AE41" s="1953">
        <v>1729.7771310930007</v>
      </c>
      <c r="AF41" s="1952">
        <v>179072</v>
      </c>
      <c r="AG41" s="1953">
        <v>107.77015678900004</v>
      </c>
      <c r="AH41" s="1952">
        <v>3671098</v>
      </c>
      <c r="AI41" s="1953">
        <v>704.96634686800007</v>
      </c>
      <c r="AJ41" s="1952">
        <v>436113</v>
      </c>
      <c r="AK41" s="1953">
        <v>143.87114422699997</v>
      </c>
      <c r="AL41" s="1952">
        <v>54653114</v>
      </c>
      <c r="AM41" s="1953">
        <v>55051.322805542986</v>
      </c>
      <c r="AN41" s="1952">
        <v>803987</v>
      </c>
      <c r="AO41" s="1953">
        <v>582.47323901300012</v>
      </c>
      <c r="AP41" s="1952">
        <v>128038</v>
      </c>
      <c r="AQ41" s="1953">
        <v>43.413687816000007</v>
      </c>
      <c r="AR41" s="1952">
        <v>56642</v>
      </c>
      <c r="AS41" s="1953">
        <v>55.320896721000011</v>
      </c>
      <c r="AT41" s="1952">
        <v>138256</v>
      </c>
      <c r="AU41" s="1953">
        <v>108.19179778899999</v>
      </c>
      <c r="AV41" s="1952">
        <v>43994</v>
      </c>
      <c r="AW41" s="1952">
        <v>27.199350787000004</v>
      </c>
      <c r="AX41" s="1952" t="s">
        <v>556</v>
      </c>
      <c r="AY41" s="1952">
        <v>238892</v>
      </c>
      <c r="AZ41" s="1953">
        <v>190.71204529700003</v>
      </c>
      <c r="BA41" s="1954">
        <v>62544514</v>
      </c>
      <c r="BB41" s="1953">
        <v>60477.974781684185</v>
      </c>
      <c r="BC41" s="1952">
        <v>2615191</v>
      </c>
      <c r="BD41" s="1952">
        <v>39975200</v>
      </c>
      <c r="BE41" s="1952">
        <v>8203668</v>
      </c>
      <c r="BF41" s="1952">
        <f t="shared" si="13"/>
        <v>50794059</v>
      </c>
      <c r="BG41" s="1952">
        <v>22324134</v>
      </c>
      <c r="BH41" s="1952">
        <v>35388778</v>
      </c>
      <c r="BI41" s="1953">
        <v>167837.09734705699</v>
      </c>
      <c r="BJ41" s="1954">
        <v>2070576</v>
      </c>
      <c r="BK41" s="1954">
        <v>1082276049</v>
      </c>
      <c r="BL41" s="1953">
        <v>239593.724322336</v>
      </c>
      <c r="BM41" s="1954">
        <v>253279245</v>
      </c>
      <c r="BN41" s="1952">
        <v>15184</v>
      </c>
      <c r="BO41" s="1952">
        <v>16848081</v>
      </c>
      <c r="BP41" s="1953">
        <v>68221.829167332995</v>
      </c>
      <c r="BQ41" s="1952">
        <v>26464203</v>
      </c>
      <c r="BR41" s="1952">
        <v>12755</v>
      </c>
      <c r="BS41" s="1952">
        <v>149175</v>
      </c>
      <c r="BT41" s="943"/>
      <c r="BU41" s="1072"/>
      <c r="BV41" s="172"/>
    </row>
    <row r="42" spans="1:80" ht="10.5" customHeight="1">
      <c r="A42" s="1946" t="s">
        <v>565</v>
      </c>
      <c r="B42" s="1946">
        <v>1561627</v>
      </c>
      <c r="C42" s="1947">
        <v>153282.64475281592</v>
      </c>
      <c r="D42" s="1946">
        <v>10341</v>
      </c>
      <c r="E42" s="1947">
        <v>265.74117055699998</v>
      </c>
      <c r="F42" s="1948">
        <f t="shared" ref="F42" si="20">B42+D42</f>
        <v>1571968</v>
      </c>
      <c r="G42" s="1947">
        <f t="shared" ref="G42" si="21">E42+C42</f>
        <v>153548.38592337293</v>
      </c>
      <c r="H42" s="1948">
        <v>18293452</v>
      </c>
      <c r="I42" s="1947">
        <v>71929.445001044005</v>
      </c>
      <c r="J42" s="1946">
        <v>482714</v>
      </c>
      <c r="K42" s="1947">
        <v>548.61869937899996</v>
      </c>
      <c r="L42" s="1946">
        <v>6110</v>
      </c>
      <c r="M42" s="1947">
        <v>12.790860313249999</v>
      </c>
      <c r="N42" s="1946">
        <v>3303958</v>
      </c>
      <c r="O42" s="1947">
        <v>2023.229258414</v>
      </c>
      <c r="P42" s="1946">
        <v>328373</v>
      </c>
      <c r="Q42" s="1947">
        <v>225.55648892250011</v>
      </c>
      <c r="R42" s="1946">
        <v>1454346</v>
      </c>
      <c r="S42" s="1947">
        <v>1090.7801559119998</v>
      </c>
      <c r="T42" s="1946">
        <v>313101</v>
      </c>
      <c r="U42" s="1947">
        <v>141.14075612579998</v>
      </c>
      <c r="V42" s="1946">
        <v>5888602</v>
      </c>
      <c r="W42" s="1947">
        <v>4042.11621906655</v>
      </c>
      <c r="X42" s="1947">
        <v>11543.213489195001</v>
      </c>
      <c r="Y42" s="1946" t="s">
        <v>565</v>
      </c>
      <c r="Z42" s="1946">
        <v>39440158</v>
      </c>
      <c r="AA42" s="1947">
        <v>42983.786199092006</v>
      </c>
      <c r="AB42" s="1946">
        <v>19496</v>
      </c>
      <c r="AC42" s="1947">
        <v>39.626546118799993</v>
      </c>
      <c r="AD42" s="1946">
        <v>3808799</v>
      </c>
      <c r="AE42" s="1947">
        <v>1221.6962387369999</v>
      </c>
      <c r="AF42" s="1946">
        <v>172420</v>
      </c>
      <c r="AG42" s="1947">
        <v>97.193258911699999</v>
      </c>
      <c r="AH42" s="1946">
        <v>3629127</v>
      </c>
      <c r="AI42" s="1947">
        <v>651.22845979199997</v>
      </c>
      <c r="AJ42" s="1946">
        <v>468558</v>
      </c>
      <c r="AK42" s="1947">
        <v>164.2751047905</v>
      </c>
      <c r="AL42" s="1946">
        <v>47538558</v>
      </c>
      <c r="AM42" s="1947">
        <v>45157.805807442004</v>
      </c>
      <c r="AN42" s="1946">
        <v>684419</v>
      </c>
      <c r="AO42" s="1947">
        <v>468.91538161400001</v>
      </c>
      <c r="AP42" s="1946">
        <v>130988</v>
      </c>
      <c r="AQ42" s="1947">
        <v>45.564331032950001</v>
      </c>
      <c r="AR42" s="1946">
        <v>58918</v>
      </c>
      <c r="AS42" s="1947">
        <v>79.968960321000012</v>
      </c>
      <c r="AT42" s="1946">
        <v>162976</v>
      </c>
      <c r="AU42" s="1947">
        <v>129.31782501399999</v>
      </c>
      <c r="AV42" s="1946">
        <v>48821</v>
      </c>
      <c r="AW42" s="1946">
        <v>30.110105203</v>
      </c>
      <c r="AX42" s="1946" t="s">
        <v>565</v>
      </c>
      <c r="AY42" s="1946">
        <v>270715</v>
      </c>
      <c r="AZ42" s="1947">
        <v>239.39689053799998</v>
      </c>
      <c r="BA42" s="1948">
        <v>54513282</v>
      </c>
      <c r="BB42" s="1947">
        <v>49953.798629693505</v>
      </c>
      <c r="BC42" s="1946">
        <v>2631521</v>
      </c>
      <c r="BD42" s="1946">
        <v>39786132</v>
      </c>
      <c r="BE42" s="1946">
        <v>8296152</v>
      </c>
      <c r="BF42" s="1946">
        <f t="shared" si="13"/>
        <v>50713805</v>
      </c>
      <c r="BG42" s="1946">
        <v>22576982.800000001</v>
      </c>
      <c r="BH42" s="1946">
        <v>33781869</v>
      </c>
      <c r="BI42" s="1947">
        <v>158917.184656553</v>
      </c>
      <c r="BJ42" s="1946">
        <v>2056044</v>
      </c>
      <c r="BK42" s="1946">
        <v>993614913</v>
      </c>
      <c r="BL42" s="1947">
        <v>201337.3394187447</v>
      </c>
      <c r="BM42" s="1946">
        <v>254724214</v>
      </c>
      <c r="BN42" s="1946">
        <v>15272</v>
      </c>
      <c r="BO42" s="1946">
        <v>13469140</v>
      </c>
      <c r="BP42" s="1947">
        <v>68595.282784058989</v>
      </c>
      <c r="BQ42" s="1946">
        <v>26760054</v>
      </c>
      <c r="BR42" s="1946">
        <v>12744</v>
      </c>
      <c r="BS42" s="1946">
        <v>149504</v>
      </c>
      <c r="BT42" s="943"/>
      <c r="BU42" s="1072"/>
      <c r="BV42" s="172"/>
    </row>
    <row r="43" spans="1:80" ht="10.5" customHeight="1">
      <c r="A43" s="1952" t="s">
        <v>566</v>
      </c>
      <c r="B43" s="1952">
        <v>1461933</v>
      </c>
      <c r="C43" s="1953">
        <v>140186.70164916903</v>
      </c>
      <c r="D43" s="1952">
        <v>7895</v>
      </c>
      <c r="E43" s="1953">
        <v>242.26584509999998</v>
      </c>
      <c r="F43" s="1954">
        <f t="shared" ref="F43" si="22">B43+D43</f>
        <v>1469828</v>
      </c>
      <c r="G43" s="1953">
        <f t="shared" ref="G43" si="23">E43+C43</f>
        <v>140428.96749426902</v>
      </c>
      <c r="H43" s="1954">
        <v>43552608</v>
      </c>
      <c r="I43" s="1953">
        <v>78933.850252845994</v>
      </c>
      <c r="J43" s="1952">
        <v>452695</v>
      </c>
      <c r="K43" s="1953">
        <v>552.65411048199996</v>
      </c>
      <c r="L43" s="1952">
        <v>5937</v>
      </c>
      <c r="M43" s="1953">
        <v>11.9070995344</v>
      </c>
      <c r="N43" s="1952">
        <v>3727050</v>
      </c>
      <c r="O43" s="1953">
        <v>2278.5629535850003</v>
      </c>
      <c r="P43" s="1952">
        <v>336003</v>
      </c>
      <c r="Q43" s="1953">
        <v>231.18840088670004</v>
      </c>
      <c r="R43" s="1952">
        <v>1446847</v>
      </c>
      <c r="S43" s="1953">
        <v>1283.1807823920001</v>
      </c>
      <c r="T43" s="1952">
        <v>326205</v>
      </c>
      <c r="U43" s="1953">
        <v>149.61190571590004</v>
      </c>
      <c r="V43" s="1952">
        <v>6294737</v>
      </c>
      <c r="W43" s="1953">
        <v>4507.1052525959994</v>
      </c>
      <c r="X43" s="1953">
        <v>13444.644596384</v>
      </c>
      <c r="Y43" s="1952" t="s">
        <v>566</v>
      </c>
      <c r="Z43" s="1952">
        <v>44800470</v>
      </c>
      <c r="AA43" s="1953">
        <v>53357.409407809995</v>
      </c>
      <c r="AB43" s="1952">
        <v>19708</v>
      </c>
      <c r="AC43" s="1953">
        <v>42.092030355000006</v>
      </c>
      <c r="AD43" s="1952">
        <v>4415653</v>
      </c>
      <c r="AE43" s="1953">
        <v>1447.2660947309998</v>
      </c>
      <c r="AF43" s="1952">
        <v>180150</v>
      </c>
      <c r="AG43" s="1953">
        <v>106.51550510299998</v>
      </c>
      <c r="AH43" s="1952">
        <v>4061585</v>
      </c>
      <c r="AI43" s="1953">
        <v>756.01140908000013</v>
      </c>
      <c r="AJ43" s="1952">
        <v>486468</v>
      </c>
      <c r="AK43" s="1953">
        <v>175.15925179799999</v>
      </c>
      <c r="AL43" s="1952">
        <v>53964034</v>
      </c>
      <c r="AM43" s="1953">
        <v>55884.453698876998</v>
      </c>
      <c r="AN43" s="1952">
        <v>875343</v>
      </c>
      <c r="AO43" s="1953">
        <v>629.33896160000006</v>
      </c>
      <c r="AP43" s="1952">
        <v>135486</v>
      </c>
      <c r="AQ43" s="1953">
        <v>51.387432148499997</v>
      </c>
      <c r="AR43" s="1952">
        <v>59869</v>
      </c>
      <c r="AS43" s="1953">
        <v>77.861980953</v>
      </c>
      <c r="AT43" s="1952">
        <v>152856</v>
      </c>
      <c r="AU43" s="1953">
        <v>94.426007344999988</v>
      </c>
      <c r="AV43" s="1952">
        <v>49565</v>
      </c>
      <c r="AW43" s="1952">
        <v>27.541143424000001</v>
      </c>
      <c r="AX43" s="1952" t="s">
        <v>566</v>
      </c>
      <c r="AY43" s="1952">
        <v>262290</v>
      </c>
      <c r="AZ43" s="1953">
        <v>199.829131722</v>
      </c>
      <c r="BA43" s="1954">
        <v>61531890</v>
      </c>
      <c r="BB43" s="1953">
        <v>61272.11447694349</v>
      </c>
      <c r="BC43" s="1945">
        <v>2649976</v>
      </c>
      <c r="BD43" s="1945">
        <v>39780079</v>
      </c>
      <c r="BE43" s="1945">
        <v>8601389</v>
      </c>
      <c r="BF43" s="1945">
        <f t="shared" si="13"/>
        <v>51031444</v>
      </c>
      <c r="BG43" s="1945">
        <v>22864852</v>
      </c>
      <c r="BH43" s="1945">
        <v>42519761</v>
      </c>
      <c r="BI43" s="1949">
        <v>173559.89333275103</v>
      </c>
      <c r="BJ43" s="1952">
        <v>2071078</v>
      </c>
      <c r="BK43" s="1952">
        <v>1123724429</v>
      </c>
      <c r="BL43" s="1953">
        <v>247373.82998467301</v>
      </c>
      <c r="BM43" s="1952">
        <v>255761057</v>
      </c>
      <c r="BN43" s="1952">
        <v>15339</v>
      </c>
      <c r="BO43" s="1952">
        <v>17172226</v>
      </c>
      <c r="BP43" s="1953">
        <v>67510.050916576991</v>
      </c>
      <c r="BQ43" s="1952">
        <v>26986693</v>
      </c>
      <c r="BR43" s="1952">
        <v>12805</v>
      </c>
      <c r="BS43" s="1952">
        <v>151361</v>
      </c>
      <c r="BT43" s="1323"/>
      <c r="BU43" s="1323"/>
      <c r="BV43" s="1323"/>
      <c r="BW43" s="1323"/>
      <c r="BX43" s="1323"/>
      <c r="BY43" s="1323"/>
      <c r="BZ43" s="1323"/>
      <c r="CA43" s="1323"/>
      <c r="CB43" s="1323"/>
    </row>
    <row r="44" spans="1:80" ht="11.25" customHeight="1">
      <c r="A44" s="1946" t="s">
        <v>557</v>
      </c>
      <c r="B44" s="1946">
        <v>1576528</v>
      </c>
      <c r="C44" s="1947">
        <v>189177.93682545805</v>
      </c>
      <c r="D44" s="1946">
        <v>7368</v>
      </c>
      <c r="E44" s="1947">
        <v>267.28441899299997</v>
      </c>
      <c r="F44" s="1948">
        <v>1583896</v>
      </c>
      <c r="G44" s="1947">
        <v>189445.22124445104</v>
      </c>
      <c r="H44" s="1948">
        <v>38243532</v>
      </c>
      <c r="I44" s="1947">
        <v>92530.514216260985</v>
      </c>
      <c r="J44" s="1946">
        <v>477514</v>
      </c>
      <c r="K44" s="1947">
        <v>573.18832801099995</v>
      </c>
      <c r="L44" s="1946">
        <v>6589</v>
      </c>
      <c r="M44" s="1947">
        <v>14.030502421349999</v>
      </c>
      <c r="N44" s="1946">
        <v>3070087</v>
      </c>
      <c r="O44" s="1947">
        <v>3300.2568390330002</v>
      </c>
      <c r="P44" s="1946">
        <v>399996</v>
      </c>
      <c r="Q44" s="1947">
        <v>304.7664551913</v>
      </c>
      <c r="R44" s="1946">
        <v>1312643</v>
      </c>
      <c r="S44" s="1947">
        <v>1306.6330957599998</v>
      </c>
      <c r="T44" s="1946">
        <v>332410</v>
      </c>
      <c r="U44" s="1947">
        <v>162.4405463969</v>
      </c>
      <c r="V44" s="1946">
        <v>5599239</v>
      </c>
      <c r="W44" s="1947">
        <v>5661.3157668135509</v>
      </c>
      <c r="X44" s="1947">
        <v>13684.722854515998</v>
      </c>
      <c r="Y44" s="1946" t="s">
        <v>557</v>
      </c>
      <c r="Z44" s="1946">
        <v>33193386</v>
      </c>
      <c r="AA44" s="1947">
        <v>36507.703879680004</v>
      </c>
      <c r="AB44" s="1946">
        <v>20333</v>
      </c>
      <c r="AC44" s="1947">
        <v>44.048910622999998</v>
      </c>
      <c r="AD44" s="1946">
        <v>3546628</v>
      </c>
      <c r="AE44" s="1947">
        <v>1212.1276412909997</v>
      </c>
      <c r="AF44" s="1946">
        <v>197864</v>
      </c>
      <c r="AG44" s="1947">
        <v>125.43362221340003</v>
      </c>
      <c r="AH44" s="1946">
        <v>3473305</v>
      </c>
      <c r="AI44" s="1947">
        <v>609.59534931799976</v>
      </c>
      <c r="AJ44" s="1946">
        <v>476725</v>
      </c>
      <c r="AK44" s="1947">
        <v>203.46911257460005</v>
      </c>
      <c r="AL44" s="1946">
        <v>40908241</v>
      </c>
      <c r="AM44" s="1947">
        <v>38702.378515700002</v>
      </c>
      <c r="AN44" s="1946">
        <v>380749</v>
      </c>
      <c r="AO44" s="1947">
        <v>287.30519768700003</v>
      </c>
      <c r="AP44" s="1946">
        <v>145863</v>
      </c>
      <c r="AQ44" s="1947">
        <v>59.853368549699994</v>
      </c>
      <c r="AR44" s="1946">
        <v>52889</v>
      </c>
      <c r="AS44" s="1947">
        <v>71.709398456999992</v>
      </c>
      <c r="AT44" s="1946">
        <v>167279</v>
      </c>
      <c r="AU44" s="1947">
        <v>125.760971598</v>
      </c>
      <c r="AV44" s="1946">
        <v>45748</v>
      </c>
      <c r="AW44" s="1946">
        <v>28.863366453000005</v>
      </c>
      <c r="AX44" s="1946" t="s">
        <v>557</v>
      </c>
      <c r="AY44" s="1946">
        <v>265916</v>
      </c>
      <c r="AZ44" s="1947">
        <v>226.33373650799999</v>
      </c>
      <c r="BA44" s="1948">
        <v>47300008</v>
      </c>
      <c r="BB44" s="1947">
        <v>44937.186585258256</v>
      </c>
      <c r="BC44" s="1946">
        <v>2658667</v>
      </c>
      <c r="BD44" s="1946">
        <v>40268746</v>
      </c>
      <c r="BE44" s="1946">
        <v>8696712</v>
      </c>
      <c r="BF44" s="1946">
        <v>51624125</v>
      </c>
      <c r="BG44" s="1946">
        <v>22718551</v>
      </c>
      <c r="BH44" s="1946">
        <v>39875888</v>
      </c>
      <c r="BI44" s="1947">
        <v>184349.43435851097</v>
      </c>
      <c r="BJ44" s="1946">
        <v>2083522</v>
      </c>
      <c r="BK44" s="1946">
        <v>1044601352</v>
      </c>
      <c r="BL44" s="1947">
        <v>208811.82622193202</v>
      </c>
      <c r="BM44" s="1946">
        <v>256966517</v>
      </c>
      <c r="BN44" s="1946">
        <v>15423</v>
      </c>
      <c r="BO44" s="1946">
        <v>16097869</v>
      </c>
      <c r="BP44" s="1947">
        <v>67234.914228986992</v>
      </c>
      <c r="BQ44" s="1946">
        <v>27223081</v>
      </c>
      <c r="BR44" s="1946">
        <v>12798</v>
      </c>
      <c r="BS44" s="1946">
        <v>153992</v>
      </c>
      <c r="BU44" s="1072"/>
      <c r="BV44" s="172"/>
    </row>
    <row r="45" spans="1:80" ht="13.5" customHeight="1">
      <c r="A45" s="1955" t="s">
        <v>3073</v>
      </c>
      <c r="B45" s="1945"/>
      <c r="C45" s="1949"/>
      <c r="D45" s="1945"/>
      <c r="E45" s="1949"/>
      <c r="F45" s="1950"/>
      <c r="G45" s="1949"/>
      <c r="H45" s="1950"/>
      <c r="I45" s="1949"/>
      <c r="J45" s="1945"/>
      <c r="K45" s="1949"/>
      <c r="L45" s="1945"/>
      <c r="M45" s="1949"/>
      <c r="N45" s="1945"/>
      <c r="O45" s="1949"/>
      <c r="P45" s="1945"/>
      <c r="Q45" s="1949"/>
      <c r="R45" s="1945"/>
      <c r="S45" s="1949"/>
      <c r="T45" s="1945"/>
      <c r="U45" s="1949"/>
      <c r="V45" s="1945"/>
      <c r="W45" s="1949"/>
      <c r="X45" s="1949"/>
      <c r="Y45" s="1955" t="s">
        <v>3073</v>
      </c>
      <c r="Z45" s="1945"/>
      <c r="AA45" s="1949"/>
      <c r="AB45" s="1945"/>
      <c r="AC45" s="1949"/>
      <c r="AD45" s="1945"/>
      <c r="AE45" s="1949"/>
      <c r="AF45" s="1945"/>
      <c r="AG45" s="1949"/>
      <c r="AH45" s="1945"/>
      <c r="AI45" s="1949"/>
      <c r="AJ45" s="1945"/>
      <c r="AK45" s="1949"/>
      <c r="AL45" s="1945"/>
      <c r="AM45" s="1949"/>
      <c r="AN45" s="1945"/>
      <c r="AO45" s="1949"/>
      <c r="AP45" s="1945"/>
      <c r="AQ45" s="1949"/>
      <c r="AR45" s="1945"/>
      <c r="AS45" s="1949"/>
      <c r="AT45" s="1945"/>
      <c r="AU45" s="1949"/>
      <c r="AV45" s="1945"/>
      <c r="AW45" s="1945"/>
      <c r="AX45" s="1955" t="s">
        <v>3073</v>
      </c>
      <c r="AY45" s="1945"/>
      <c r="AZ45" s="1949"/>
      <c r="BA45" s="1950"/>
      <c r="BB45" s="1949"/>
      <c r="BC45" s="1945"/>
      <c r="BD45" s="1945"/>
      <c r="BE45" s="1945"/>
      <c r="BF45" s="1945"/>
      <c r="BG45" s="1945"/>
      <c r="BH45" s="1945"/>
      <c r="BI45" s="1949"/>
      <c r="BJ45" s="1945"/>
      <c r="BK45" s="1945"/>
      <c r="BL45" s="1949"/>
      <c r="BM45" s="1945"/>
      <c r="BN45" s="1945"/>
      <c r="BO45" s="1945"/>
      <c r="BP45" s="1949"/>
      <c r="BQ45" s="1945"/>
      <c r="BR45" s="1945"/>
      <c r="BS45" s="1945"/>
      <c r="BU45" s="1072"/>
      <c r="BV45" s="172"/>
    </row>
    <row r="46" spans="1:80" s="1640" customFormat="1" ht="11.25" customHeight="1" thickBot="1">
      <c r="A46" s="1956" t="s">
        <v>559</v>
      </c>
      <c r="B46" s="1956">
        <v>1521728</v>
      </c>
      <c r="C46" s="1957">
        <v>152919.316733021</v>
      </c>
      <c r="D46" s="1956">
        <v>6454</v>
      </c>
      <c r="E46" s="1957">
        <v>204.82278909999999</v>
      </c>
      <c r="F46" s="1958">
        <v>1528182</v>
      </c>
      <c r="G46" s="1957">
        <v>153124.139522121</v>
      </c>
      <c r="H46" s="1958">
        <v>14612565</v>
      </c>
      <c r="I46" s="1957">
        <v>69355.853225184997</v>
      </c>
      <c r="J46" s="1956">
        <v>521434</v>
      </c>
      <c r="K46" s="1957">
        <v>618.13718082399998</v>
      </c>
      <c r="L46" s="1956">
        <v>5917</v>
      </c>
      <c r="M46" s="1957">
        <v>12.526081364129999</v>
      </c>
      <c r="N46" s="1956">
        <v>3737409</v>
      </c>
      <c r="O46" s="1957">
        <v>2096.0966517670004</v>
      </c>
      <c r="P46" s="1956">
        <v>406162</v>
      </c>
      <c r="Q46" s="1957">
        <v>309.21319835800006</v>
      </c>
      <c r="R46" s="1956">
        <v>1508745</v>
      </c>
      <c r="S46" s="1957">
        <v>1257.675550312</v>
      </c>
      <c r="T46" s="1956">
        <v>341713</v>
      </c>
      <c r="U46" s="1957">
        <v>162.63508423930003</v>
      </c>
      <c r="V46" s="1956">
        <v>6521380</v>
      </c>
      <c r="W46" s="1957">
        <v>4456.2837468644311</v>
      </c>
      <c r="X46" s="1957">
        <v>13383.556784798999</v>
      </c>
      <c r="Y46" s="1956" t="s">
        <v>559</v>
      </c>
      <c r="Z46" s="1956">
        <v>37274059</v>
      </c>
      <c r="AA46" s="1957">
        <v>39890.995265972997</v>
      </c>
      <c r="AB46" s="1956">
        <v>19988</v>
      </c>
      <c r="AC46" s="1957">
        <v>40.762151074300007</v>
      </c>
      <c r="AD46" s="1956">
        <v>4231252</v>
      </c>
      <c r="AE46" s="1957">
        <v>1377.5005383590001</v>
      </c>
      <c r="AF46" s="1956">
        <v>203997</v>
      </c>
      <c r="AG46" s="1957">
        <v>131.91227508650005</v>
      </c>
      <c r="AH46" s="1956">
        <v>3802781</v>
      </c>
      <c r="AI46" s="1957">
        <v>678.75966651200008</v>
      </c>
      <c r="AJ46" s="1956">
        <v>524745</v>
      </c>
      <c r="AK46" s="1957">
        <v>205.2680705706</v>
      </c>
      <c r="AL46" s="1956">
        <v>46056822</v>
      </c>
      <c r="AM46" s="1957">
        <v>42325.197967575397</v>
      </c>
      <c r="AN46" s="1956">
        <v>714548</v>
      </c>
      <c r="AO46" s="1957">
        <v>529.33534518019997</v>
      </c>
      <c r="AP46" s="1956">
        <v>151294</v>
      </c>
      <c r="AQ46" s="1957">
        <v>59.72829958781999</v>
      </c>
      <c r="AR46" s="1956">
        <v>58436</v>
      </c>
      <c r="AS46" s="1957">
        <v>75.754114182999984</v>
      </c>
      <c r="AT46" s="1956">
        <v>170815</v>
      </c>
      <c r="AU46" s="1957">
        <v>126.737269295</v>
      </c>
      <c r="AV46" s="1956">
        <v>40053</v>
      </c>
      <c r="AW46" s="1956">
        <v>28.099731941000005</v>
      </c>
      <c r="AX46" s="1956" t="s">
        <v>559</v>
      </c>
      <c r="AY46" s="1956">
        <v>269304</v>
      </c>
      <c r="AZ46" s="1957">
        <v>230.591115419</v>
      </c>
      <c r="BA46" s="1958">
        <v>53713348</v>
      </c>
      <c r="BB46" s="1957">
        <v>47601.136474626852</v>
      </c>
      <c r="BC46" s="1956">
        <v>2611223</v>
      </c>
      <c r="BD46" s="1956">
        <v>40630475</v>
      </c>
      <c r="BE46" s="1956">
        <v>9081329</v>
      </c>
      <c r="BF46" s="1956">
        <v>52323027</v>
      </c>
      <c r="BG46" s="1956">
        <v>23464442</v>
      </c>
      <c r="BH46" s="1956">
        <v>39399789</v>
      </c>
      <c r="BI46" s="1957">
        <v>174129.52044457896</v>
      </c>
      <c r="BJ46" s="1956">
        <v>2083522</v>
      </c>
      <c r="BK46" s="1956">
        <v>1027196369</v>
      </c>
      <c r="BL46" s="1957">
        <v>216512.04107253804</v>
      </c>
      <c r="BM46" s="1956">
        <v>256966517</v>
      </c>
      <c r="BN46" s="1956">
        <v>15434</v>
      </c>
      <c r="BO46" s="1956">
        <v>12893891</v>
      </c>
      <c r="BP46" s="1957">
        <v>60332.939360074</v>
      </c>
      <c r="BQ46" s="1956">
        <v>27389404</v>
      </c>
      <c r="BR46" s="1956">
        <v>12845</v>
      </c>
      <c r="BS46" s="1956">
        <v>156144</v>
      </c>
      <c r="BU46" s="1072"/>
      <c r="BV46" s="172"/>
    </row>
    <row r="47" spans="1:80" s="1640" customFormat="1">
      <c r="A47" s="926" t="s">
        <v>2695</v>
      </c>
      <c r="B47" s="926"/>
      <c r="C47" s="999"/>
      <c r="D47" s="926"/>
      <c r="E47" s="999"/>
      <c r="F47" s="926"/>
      <c r="G47" s="999"/>
      <c r="H47" s="1426"/>
      <c r="I47" s="999"/>
      <c r="J47" s="926"/>
      <c r="K47" s="999"/>
      <c r="L47" s="926" t="s">
        <v>2696</v>
      </c>
      <c r="M47" s="999"/>
      <c r="N47" s="926"/>
      <c r="O47" s="999"/>
      <c r="P47" s="926"/>
      <c r="Q47" s="999"/>
      <c r="R47" s="926"/>
      <c r="S47" s="999"/>
      <c r="T47" s="926"/>
      <c r="U47" s="999"/>
      <c r="V47" s="926"/>
      <c r="W47" s="999"/>
      <c r="X47" s="999"/>
      <c r="Y47" s="926"/>
      <c r="Z47" s="926"/>
      <c r="AA47" s="999"/>
      <c r="AB47" s="926"/>
      <c r="AC47" s="999"/>
      <c r="AD47" s="926"/>
      <c r="AE47" s="999"/>
      <c r="AF47" s="926"/>
      <c r="AG47" s="999"/>
      <c r="AH47" s="926"/>
      <c r="AI47" s="999"/>
      <c r="AJ47" s="926"/>
      <c r="AK47" s="999"/>
      <c r="AL47" s="926"/>
      <c r="AM47" s="999"/>
      <c r="AN47" s="926"/>
      <c r="AO47" s="999"/>
      <c r="AP47" s="926"/>
      <c r="AQ47" s="999"/>
      <c r="AR47" s="926"/>
      <c r="AS47" s="999"/>
      <c r="AT47" s="926"/>
      <c r="AU47" s="999"/>
      <c r="AV47" s="926"/>
      <c r="AW47" s="999"/>
      <c r="AX47" s="926"/>
      <c r="AY47" s="926"/>
      <c r="AZ47" s="999"/>
      <c r="BA47" s="1426"/>
      <c r="BB47" s="999"/>
      <c r="BC47" s="926"/>
      <c r="BD47" s="926"/>
      <c r="BE47" s="926"/>
      <c r="BF47" s="926"/>
      <c r="BG47" s="926"/>
      <c r="BH47" s="926"/>
      <c r="BI47" s="999"/>
      <c r="BJ47" s="926" t="s">
        <v>2697</v>
      </c>
      <c r="BK47" s="926"/>
      <c r="BL47" s="999"/>
      <c r="BM47" s="926"/>
      <c r="BN47" s="926"/>
      <c r="BO47" s="926"/>
      <c r="BP47" s="999"/>
      <c r="BQ47" s="926"/>
      <c r="BR47" s="926"/>
      <c r="BS47" s="926"/>
      <c r="BU47" s="1072"/>
      <c r="BV47" s="172"/>
    </row>
    <row r="48" spans="1:80" s="1640" customFormat="1">
      <c r="A48" s="1059" t="s">
        <v>2112</v>
      </c>
      <c r="B48" s="1059"/>
      <c r="C48" s="1059"/>
      <c r="D48" s="1059"/>
      <c r="E48" s="1059"/>
      <c r="F48" s="1061"/>
      <c r="G48" s="1061"/>
      <c r="H48" s="1061"/>
      <c r="I48" s="1061"/>
      <c r="J48" s="682"/>
      <c r="K48" s="1448"/>
      <c r="L48" s="11" t="s">
        <v>2111</v>
      </c>
      <c r="M48" s="29"/>
      <c r="N48" s="29"/>
      <c r="O48" s="29"/>
      <c r="P48" s="29"/>
      <c r="Q48" s="29"/>
      <c r="R48" s="1448"/>
      <c r="S48" s="1448"/>
      <c r="T48" s="1448"/>
      <c r="U48" s="1448"/>
      <c r="V48" s="1448"/>
      <c r="W48" s="1448"/>
      <c r="X48" s="1448"/>
      <c r="Y48" s="1448"/>
      <c r="Z48" s="1448"/>
      <c r="AA48" s="943"/>
      <c r="AB48" s="1448"/>
      <c r="AC48" s="1448"/>
      <c r="AD48" s="1448"/>
      <c r="AE48" s="943"/>
      <c r="AF48" s="1448"/>
      <c r="AG48" s="1448"/>
      <c r="AH48" s="1448"/>
      <c r="AI48" s="943"/>
      <c r="AJ48" s="1448"/>
      <c r="AK48" s="1448"/>
      <c r="AL48" s="1448"/>
      <c r="AM48" s="1448"/>
      <c r="AN48" s="1448"/>
      <c r="AO48" s="1448"/>
      <c r="AP48" s="1448"/>
      <c r="AQ48" s="1448"/>
      <c r="AR48" s="1448"/>
      <c r="AS48" s="1448"/>
      <c r="AT48" s="1448"/>
      <c r="AU48" s="1448"/>
      <c r="AV48" s="1448"/>
      <c r="AW48" s="1448"/>
      <c r="AX48" s="1448"/>
      <c r="AY48" s="1102"/>
      <c r="AZ48" s="1448"/>
      <c r="BA48" s="1"/>
      <c r="BB48" s="1448"/>
      <c r="BC48" s="1"/>
      <c r="BD48" s="964"/>
      <c r="BE48" s="964"/>
      <c r="BF48" s="1"/>
      <c r="BG48" s="964"/>
      <c r="BH48" s="964"/>
      <c r="BI48" s="963"/>
      <c r="BJ48" s="1065"/>
      <c r="BK48" s="952"/>
      <c r="BL48" s="963"/>
      <c r="BM48" s="1065"/>
      <c r="BN48" s="1066"/>
      <c r="BO48" s="1065"/>
      <c r="BP48" s="963"/>
      <c r="BQ48" s="963"/>
      <c r="BR48" s="1448"/>
      <c r="BS48" s="1065"/>
      <c r="BU48" s="1072"/>
      <c r="BV48" s="172"/>
    </row>
    <row r="49" spans="1:110" s="1716" customFormat="1">
      <c r="A49" s="1060" t="s">
        <v>2107</v>
      </c>
      <c r="B49" s="1060"/>
      <c r="C49" s="1060"/>
      <c r="D49" s="1058"/>
      <c r="E49" s="1058"/>
      <c r="F49" s="1058"/>
      <c r="G49" s="1064"/>
      <c r="H49" s="952"/>
      <c r="I49" s="2278" t="s">
        <v>1296</v>
      </c>
      <c r="J49" s="2278"/>
      <c r="K49" s="999"/>
      <c r="L49" s="1448"/>
      <c r="M49" s="1448"/>
      <c r="N49" s="1448"/>
      <c r="O49" s="1448"/>
      <c r="P49" s="1448"/>
      <c r="Q49" s="1448"/>
      <c r="R49" s="1448"/>
      <c r="S49" s="943"/>
      <c r="T49" s="1448"/>
      <c r="U49" s="1448"/>
      <c r="V49" s="1448"/>
      <c r="W49" s="1448"/>
      <c r="X49" s="1448"/>
      <c r="Y49" s="1448"/>
      <c r="Z49" s="1448"/>
      <c r="AA49" s="943"/>
      <c r="AB49" s="1448"/>
      <c r="AC49" s="943"/>
      <c r="AD49" s="1448"/>
      <c r="AE49" s="943"/>
      <c r="AF49" s="1448"/>
      <c r="AG49" s="1448"/>
      <c r="AH49" s="1448"/>
      <c r="AI49" s="943"/>
      <c r="AJ49" s="943"/>
      <c r="AK49" s="1448"/>
      <c r="AL49" s="1448"/>
      <c r="AM49" s="1448"/>
      <c r="AN49" s="1448"/>
      <c r="AO49" s="1448"/>
      <c r="AP49" s="1448"/>
      <c r="AQ49" s="1448"/>
      <c r="AR49" s="1448"/>
      <c r="AS49" s="1448"/>
      <c r="AT49" s="1448"/>
      <c r="AU49" s="1448"/>
      <c r="AV49" s="1448"/>
      <c r="AW49" s="1448"/>
      <c r="AX49" s="1448"/>
      <c r="AY49" s="1448"/>
      <c r="AZ49" s="1448"/>
      <c r="BA49" s="1448"/>
      <c r="BB49" s="964"/>
      <c r="BC49" s="1448"/>
      <c r="BD49" s="1448"/>
      <c r="BE49" s="1448"/>
      <c r="BF49" s="1"/>
      <c r="BG49" s="1065"/>
      <c r="BH49" s="952"/>
      <c r="BI49" s="963"/>
      <c r="BJ49" s="1065"/>
      <c r="BK49" s="952"/>
      <c r="BL49" s="963"/>
      <c r="BM49" s="1065"/>
      <c r="BN49" s="1066"/>
      <c r="BO49" s="963"/>
      <c r="BP49" s="964"/>
      <c r="BQ49" s="963"/>
      <c r="BR49" s="1448"/>
      <c r="BS49" s="1448"/>
      <c r="BU49" s="1072"/>
      <c r="BV49" s="172"/>
    </row>
    <row r="50" spans="1:110" s="1716" customFormat="1">
      <c r="A50" s="1640"/>
      <c r="B50" s="963"/>
      <c r="C50" s="963"/>
      <c r="D50" s="963"/>
      <c r="E50" s="963"/>
      <c r="F50" s="963"/>
      <c r="G50" s="963"/>
      <c r="H50" s="1640"/>
      <c r="I50" s="1640"/>
      <c r="J50" s="1065"/>
      <c r="K50" s="963"/>
      <c r="L50" s="963"/>
      <c r="M50" s="963"/>
      <c r="N50" s="963"/>
      <c r="O50" s="963"/>
      <c r="P50" s="963"/>
      <c r="Q50" s="963"/>
      <c r="R50" s="963"/>
      <c r="S50" s="963"/>
      <c r="T50" s="963"/>
      <c r="U50" s="963"/>
      <c r="V50" s="963"/>
      <c r="W50" s="963"/>
      <c r="X50" s="963"/>
      <c r="Y50" s="963"/>
      <c r="Z50" s="963"/>
      <c r="AA50" s="963"/>
      <c r="AB50" s="963"/>
      <c r="AC50" s="963"/>
      <c r="AD50" s="963"/>
      <c r="AE50" s="963"/>
      <c r="AF50" s="963"/>
      <c r="AG50" s="963"/>
      <c r="AH50" s="963"/>
      <c r="AI50" s="963"/>
      <c r="AJ50" s="963"/>
      <c r="AK50" s="963"/>
      <c r="AL50" s="963"/>
      <c r="AM50" s="963"/>
      <c r="AN50" s="963"/>
      <c r="AO50" s="963"/>
      <c r="AP50" s="963"/>
      <c r="AQ50" s="963"/>
      <c r="AR50" s="963"/>
      <c r="AS50" s="963"/>
      <c r="AT50" s="963"/>
      <c r="AU50" s="963"/>
      <c r="AV50" s="963"/>
      <c r="AW50" s="963"/>
      <c r="AX50" s="963"/>
      <c r="AY50" s="963"/>
      <c r="AZ50" s="963"/>
      <c r="BA50" s="963"/>
      <c r="BB50" s="963"/>
      <c r="BC50" s="963"/>
      <c r="BD50" s="963"/>
      <c r="BE50" s="963"/>
      <c r="BF50" s="963"/>
      <c r="BG50" s="963"/>
      <c r="BH50" s="963"/>
      <c r="BI50" s="963"/>
      <c r="BJ50" s="963"/>
      <c r="BK50" s="963"/>
      <c r="BL50" s="963"/>
      <c r="BM50" s="963"/>
      <c r="BN50" s="963"/>
      <c r="BO50" s="963"/>
      <c r="BP50" s="963"/>
      <c r="BQ50" s="963"/>
      <c r="BR50" s="963"/>
      <c r="BS50" s="963"/>
      <c r="BU50" s="1072"/>
      <c r="BV50" s="172"/>
    </row>
    <row r="51" spans="1:110" s="1716" customFormat="1">
      <c r="B51" s="963"/>
      <c r="C51" s="963"/>
      <c r="D51" s="963"/>
      <c r="E51" s="963"/>
      <c r="F51" s="963"/>
      <c r="G51" s="963"/>
      <c r="J51" s="1065"/>
      <c r="K51" s="963"/>
      <c r="L51" s="963"/>
      <c r="M51" s="963"/>
      <c r="N51" s="963"/>
      <c r="O51" s="963"/>
      <c r="P51" s="963"/>
      <c r="Q51" s="963"/>
      <c r="R51" s="963"/>
      <c r="S51" s="963"/>
      <c r="T51" s="963"/>
      <c r="U51" s="963"/>
      <c r="V51" s="963"/>
      <c r="W51" s="963"/>
      <c r="X51" s="963"/>
      <c r="Y51" s="963"/>
      <c r="Z51" s="963"/>
      <c r="AA51" s="963"/>
      <c r="AB51" s="963"/>
      <c r="AC51" s="963"/>
      <c r="AD51" s="963"/>
      <c r="AE51" s="963"/>
      <c r="AF51" s="963"/>
      <c r="AG51" s="963"/>
      <c r="AH51" s="963"/>
      <c r="AI51" s="963"/>
      <c r="AJ51" s="963"/>
      <c r="AK51" s="963"/>
      <c r="AL51" s="963"/>
      <c r="AM51" s="963"/>
      <c r="AN51" s="963"/>
      <c r="AO51" s="963"/>
      <c r="AP51" s="963"/>
      <c r="AQ51" s="963"/>
      <c r="AR51" s="963"/>
      <c r="AS51" s="963"/>
      <c r="AT51" s="963"/>
      <c r="AU51" s="963"/>
      <c r="AV51" s="963"/>
      <c r="AW51" s="963"/>
      <c r="AX51" s="963"/>
      <c r="AY51" s="963"/>
      <c r="AZ51" s="963"/>
      <c r="BA51" s="963"/>
      <c r="BB51" s="963"/>
      <c r="BC51" s="963"/>
      <c r="BD51" s="963"/>
      <c r="BE51" s="963"/>
      <c r="BF51" s="963"/>
      <c r="BG51" s="963"/>
      <c r="BH51" s="963"/>
      <c r="BI51" s="963"/>
      <c r="BJ51" s="963"/>
      <c r="BK51" s="963"/>
      <c r="BL51" s="963"/>
      <c r="BM51" s="963"/>
      <c r="BN51" s="963"/>
      <c r="BO51" s="963"/>
      <c r="BP51" s="963"/>
      <c r="BQ51" s="963"/>
      <c r="BR51" s="963"/>
      <c r="BS51" s="963"/>
      <c r="BU51" s="1072"/>
      <c r="BV51" s="172"/>
    </row>
    <row r="52" spans="1:110">
      <c r="A52" s="1716"/>
      <c r="B52" s="963"/>
      <c r="C52" s="963"/>
      <c r="D52" s="963"/>
      <c r="E52" s="963"/>
      <c r="F52" s="963"/>
      <c r="G52" s="963"/>
      <c r="H52" s="1716"/>
      <c r="I52" s="1716"/>
      <c r="J52" s="1065"/>
      <c r="K52" s="963"/>
      <c r="L52" s="963"/>
      <c r="M52" s="963"/>
      <c r="N52" s="963"/>
      <c r="O52" s="963"/>
      <c r="P52" s="963"/>
      <c r="Q52" s="963"/>
      <c r="R52" s="963"/>
      <c r="S52" s="963"/>
      <c r="T52" s="963"/>
      <c r="U52" s="963"/>
      <c r="V52" s="963"/>
      <c r="W52" s="963"/>
      <c r="X52" s="963"/>
      <c r="Y52" s="963"/>
      <c r="Z52" s="963"/>
      <c r="AA52" s="963"/>
      <c r="AB52" s="963"/>
      <c r="AC52" s="963"/>
      <c r="AD52" s="963"/>
      <c r="AE52" s="963"/>
      <c r="AF52" s="963"/>
      <c r="AG52" s="963"/>
      <c r="AH52" s="963"/>
      <c r="AI52" s="963"/>
      <c r="AJ52" s="963"/>
      <c r="AK52" s="963"/>
      <c r="AL52" s="963"/>
      <c r="AM52" s="963"/>
      <c r="AN52" s="963"/>
      <c r="AO52" s="963"/>
      <c r="AP52" s="963"/>
      <c r="AQ52" s="963"/>
      <c r="AR52" s="963"/>
      <c r="AS52" s="963"/>
      <c r="AT52" s="963"/>
      <c r="AU52" s="963"/>
      <c r="AV52" s="963"/>
      <c r="AW52" s="963"/>
      <c r="AX52" s="963"/>
      <c r="AY52" s="963"/>
      <c r="AZ52" s="963"/>
      <c r="BA52" s="963"/>
      <c r="BB52" s="963"/>
      <c r="BC52" s="963"/>
      <c r="BD52" s="963"/>
      <c r="BE52" s="963"/>
      <c r="BF52" s="963"/>
      <c r="BG52" s="963"/>
      <c r="BH52" s="963"/>
      <c r="BI52" s="963"/>
      <c r="BJ52" s="963"/>
      <c r="BK52" s="963"/>
      <c r="BL52" s="963"/>
      <c r="BM52" s="963"/>
      <c r="BN52" s="963"/>
      <c r="BO52" s="963"/>
      <c r="BP52" s="963"/>
      <c r="BQ52" s="963"/>
      <c r="BR52" s="963"/>
      <c r="BS52" s="963"/>
      <c r="BU52" s="1072"/>
      <c r="BV52" s="172"/>
    </row>
    <row r="53" spans="1:110">
      <c r="A53" s="1716"/>
      <c r="B53" s="963"/>
      <c r="C53" s="963"/>
      <c r="D53" s="963"/>
      <c r="E53" s="963"/>
      <c r="F53" s="963"/>
      <c r="G53" s="963"/>
      <c r="H53" s="1716"/>
      <c r="I53" s="1716"/>
      <c r="J53" s="1065"/>
      <c r="K53" s="963"/>
      <c r="L53" s="963"/>
      <c r="M53" s="963"/>
      <c r="N53" s="963"/>
      <c r="O53" s="963"/>
      <c r="P53" s="963"/>
      <c r="Q53" s="963"/>
      <c r="R53" s="963"/>
      <c r="S53" s="963"/>
      <c r="T53" s="963"/>
      <c r="U53" s="963"/>
      <c r="V53" s="963"/>
      <c r="W53" s="963"/>
      <c r="X53" s="963"/>
      <c r="Y53" s="963"/>
      <c r="Z53" s="963"/>
      <c r="AA53" s="963"/>
      <c r="AB53" s="963"/>
      <c r="AC53" s="963"/>
      <c r="AD53" s="963"/>
      <c r="AE53" s="963"/>
      <c r="AF53" s="963"/>
      <c r="AG53" s="963"/>
      <c r="AH53" s="963"/>
      <c r="AI53" s="963"/>
      <c r="AJ53" s="963"/>
      <c r="AK53" s="963"/>
      <c r="AL53" s="963"/>
      <c r="AM53" s="963"/>
      <c r="AN53" s="963"/>
      <c r="AO53" s="963"/>
      <c r="AP53" s="963"/>
      <c r="AQ53" s="963"/>
      <c r="AR53" s="963"/>
      <c r="AS53" s="963"/>
      <c r="AT53" s="963"/>
      <c r="AU53" s="963"/>
      <c r="AV53" s="963"/>
      <c r="AW53" s="963"/>
      <c r="AX53" s="963"/>
      <c r="AY53" s="963"/>
      <c r="AZ53" s="963"/>
      <c r="BA53" s="963"/>
      <c r="BB53" s="963"/>
      <c r="BC53" s="963"/>
      <c r="BD53" s="963"/>
      <c r="BE53" s="963"/>
      <c r="BF53" s="963"/>
      <c r="BG53" s="963"/>
      <c r="BH53" s="963"/>
      <c r="BI53" s="963"/>
      <c r="BJ53" s="963"/>
      <c r="BK53" s="963"/>
      <c r="BL53" s="963"/>
      <c r="BM53" s="963"/>
      <c r="BN53" s="963"/>
      <c r="BO53" s="963"/>
      <c r="BP53" s="963"/>
      <c r="BQ53" s="963"/>
      <c r="BR53" s="963"/>
      <c r="BS53" s="963"/>
      <c r="BU53" s="1072"/>
      <c r="BV53" s="172"/>
    </row>
    <row r="54" spans="1:110" s="1716" customFormat="1">
      <c r="A54" s="1640"/>
      <c r="B54" s="36"/>
      <c r="C54" s="36"/>
      <c r="D54" s="36"/>
      <c r="E54" s="36"/>
      <c r="F54" s="36"/>
      <c r="G54" s="36"/>
      <c r="H54" s="8"/>
      <c r="I54" s="8"/>
      <c r="J54" s="657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657"/>
      <c r="BO54" s="657"/>
      <c r="BP54" s="657"/>
      <c r="BQ54" s="657"/>
      <c r="BR54" s="36"/>
      <c r="BS54" s="36"/>
      <c r="BU54" s="1072"/>
      <c r="BV54" s="172"/>
    </row>
    <row r="55" spans="1:110" s="1716" customFormat="1">
      <c r="A55" s="1640"/>
      <c r="B55" s="963"/>
      <c r="C55" s="963"/>
      <c r="D55" s="963"/>
      <c r="E55" s="963"/>
      <c r="F55" s="963"/>
      <c r="G55" s="963"/>
      <c r="H55" s="963"/>
      <c r="I55" s="963"/>
      <c r="J55" s="963"/>
      <c r="K55" s="963"/>
      <c r="L55" s="963"/>
      <c r="M55" s="963"/>
      <c r="N55" s="963"/>
      <c r="O55" s="963"/>
      <c r="P55" s="963"/>
      <c r="Q55" s="963"/>
      <c r="R55" s="963"/>
      <c r="S55" s="963"/>
      <c r="T55" s="963"/>
      <c r="U55" s="963"/>
      <c r="V55" s="963"/>
      <c r="W55" s="963"/>
      <c r="X55" s="963"/>
      <c r="Y55" s="963"/>
      <c r="Z55" s="963"/>
      <c r="AA55" s="963"/>
      <c r="AB55" s="963"/>
      <c r="AC55" s="963"/>
      <c r="AD55" s="963"/>
      <c r="AE55" s="963"/>
      <c r="AF55" s="963"/>
      <c r="AG55" s="963"/>
      <c r="AH55" s="963"/>
      <c r="AI55" s="963"/>
      <c r="AJ55" s="963"/>
      <c r="AK55" s="963"/>
      <c r="AL55" s="963"/>
      <c r="AM55" s="963"/>
      <c r="AN55" s="963"/>
      <c r="AO55" s="963"/>
      <c r="AP55" s="963"/>
      <c r="AQ55" s="963"/>
      <c r="AR55" s="963"/>
      <c r="AS55" s="963"/>
      <c r="AT55" s="963"/>
      <c r="AU55" s="963"/>
      <c r="AV55" s="963"/>
      <c r="AW55" s="963"/>
      <c r="AX55" s="963"/>
      <c r="AY55" s="963"/>
      <c r="AZ55" s="963"/>
      <c r="BA55" s="963"/>
      <c r="BB55" s="963"/>
      <c r="BC55" s="963"/>
      <c r="BD55" s="963"/>
      <c r="BE55" s="963"/>
      <c r="BF55" s="963"/>
      <c r="BG55" s="963"/>
      <c r="BH55" s="963"/>
      <c r="BI55" s="963"/>
      <c r="BJ55" s="963"/>
      <c r="BK55" s="963"/>
      <c r="BL55" s="963"/>
      <c r="BM55" s="963"/>
      <c r="BN55" s="963"/>
      <c r="BO55" s="963"/>
      <c r="BP55" s="963"/>
      <c r="BQ55" s="963"/>
      <c r="BR55" s="963"/>
      <c r="BS55" s="963"/>
      <c r="BU55" s="1072"/>
      <c r="BV55" s="172"/>
    </row>
    <row r="56" spans="1:110" s="1716" customFormat="1">
      <c r="B56" s="963"/>
      <c r="C56" s="963"/>
      <c r="D56" s="963"/>
      <c r="E56" s="963"/>
      <c r="F56" s="963"/>
      <c r="G56" s="963"/>
      <c r="J56" s="1065"/>
      <c r="K56" s="963"/>
      <c r="L56" s="963"/>
      <c r="M56" s="963"/>
      <c r="N56" s="963"/>
      <c r="O56" s="963"/>
      <c r="P56" s="963"/>
      <c r="Q56" s="963"/>
      <c r="R56" s="963"/>
      <c r="S56" s="963"/>
      <c r="T56" s="963"/>
      <c r="U56" s="963"/>
      <c r="V56" s="963"/>
      <c r="W56" s="963"/>
      <c r="X56" s="963"/>
      <c r="Y56" s="963"/>
      <c r="Z56" s="963"/>
      <c r="AA56" s="963"/>
      <c r="AB56" s="963"/>
      <c r="AC56" s="963"/>
      <c r="AD56" s="963"/>
      <c r="AE56" s="963"/>
      <c r="AF56" s="963"/>
      <c r="AG56" s="963"/>
      <c r="AH56" s="963"/>
      <c r="AI56" s="963"/>
      <c r="AJ56" s="963"/>
      <c r="AK56" s="963"/>
      <c r="AL56" s="963"/>
      <c r="AM56" s="963"/>
      <c r="AN56" s="963"/>
      <c r="AO56" s="963"/>
      <c r="AP56" s="963"/>
      <c r="AQ56" s="963"/>
      <c r="AR56" s="963"/>
      <c r="AS56" s="963"/>
      <c r="AT56" s="963"/>
      <c r="AU56" s="963"/>
      <c r="AV56" s="963"/>
      <c r="AW56" s="963"/>
      <c r="AX56" s="963"/>
      <c r="AY56" s="963"/>
      <c r="AZ56" s="963"/>
      <c r="BA56" s="963"/>
      <c r="BB56" s="963"/>
      <c r="BC56" s="963"/>
      <c r="BD56" s="963"/>
      <c r="BE56" s="963"/>
      <c r="BF56" s="963"/>
      <c r="BG56" s="963"/>
      <c r="BH56" s="963"/>
      <c r="BI56" s="963"/>
      <c r="BJ56" s="963"/>
      <c r="BK56" s="963"/>
      <c r="BL56" s="963"/>
      <c r="BM56" s="963"/>
      <c r="BN56" s="1641"/>
      <c r="BO56" s="1641"/>
      <c r="BP56" s="1641"/>
      <c r="BQ56" s="1641"/>
      <c r="BR56" s="963"/>
      <c r="BS56" s="963"/>
      <c r="BU56" s="1072"/>
      <c r="BV56" s="172"/>
    </row>
    <row r="57" spans="1:110">
      <c r="A57" s="1716"/>
      <c r="B57" s="943"/>
      <c r="C57" s="943"/>
      <c r="D57" s="943"/>
      <c r="E57" s="943"/>
      <c r="F57" s="943"/>
      <c r="G57" s="943"/>
      <c r="H57" s="943"/>
      <c r="I57" s="943"/>
      <c r="J57" s="943"/>
      <c r="K57" s="943"/>
      <c r="L57" s="943"/>
      <c r="M57" s="943"/>
      <c r="N57" s="943"/>
      <c r="O57" s="943"/>
      <c r="P57" s="943"/>
      <c r="Q57" s="943"/>
      <c r="R57" s="943"/>
      <c r="S57" s="943"/>
      <c r="T57" s="943"/>
      <c r="U57" s="943"/>
      <c r="V57" s="943"/>
      <c r="W57" s="943"/>
      <c r="X57" s="943"/>
      <c r="Y57" s="963"/>
      <c r="Z57" s="943"/>
      <c r="AA57" s="943"/>
      <c r="AB57" s="943"/>
      <c r="AC57" s="943"/>
      <c r="AD57" s="943"/>
      <c r="AE57" s="943"/>
      <c r="AF57" s="943"/>
      <c r="AG57" s="943"/>
      <c r="AH57" s="943"/>
      <c r="AI57" s="943"/>
      <c r="AJ57" s="943"/>
      <c r="AK57" s="943"/>
      <c r="AL57" s="943"/>
      <c r="AM57" s="943"/>
      <c r="AN57" s="943"/>
      <c r="AO57" s="943"/>
      <c r="AP57" s="943"/>
      <c r="AQ57" s="943"/>
      <c r="AR57" s="943"/>
      <c r="AS57" s="943"/>
      <c r="AT57" s="943"/>
      <c r="AU57" s="943"/>
      <c r="AV57" s="943"/>
      <c r="AW57" s="943"/>
      <c r="AX57" s="963"/>
      <c r="AY57" s="943"/>
      <c r="AZ57" s="943"/>
      <c r="BA57" s="943"/>
      <c r="BB57" s="943"/>
      <c r="BC57" s="943"/>
      <c r="BD57" s="943"/>
      <c r="BE57" s="943"/>
      <c r="BF57" s="943"/>
      <c r="BG57" s="943"/>
      <c r="BH57" s="943"/>
      <c r="BI57" s="943"/>
      <c r="BJ57" s="943"/>
      <c r="BK57" s="943"/>
      <c r="BL57" s="943"/>
      <c r="BM57" s="943"/>
      <c r="BN57" s="943"/>
      <c r="BO57" s="943"/>
      <c r="BP57" s="943"/>
      <c r="BQ57" s="943"/>
      <c r="BR57" s="943"/>
      <c r="BS57" s="943"/>
    </row>
    <row r="58" spans="1:110">
      <c r="A58" s="1716"/>
      <c r="B58" s="943"/>
      <c r="C58" s="943"/>
      <c r="D58" s="943"/>
      <c r="E58" s="943"/>
      <c r="F58" s="943"/>
      <c r="G58" s="943"/>
      <c r="H58" s="943"/>
      <c r="I58" s="943"/>
      <c r="J58" s="943"/>
      <c r="K58" s="943"/>
      <c r="L58" s="943"/>
      <c r="M58" s="943"/>
      <c r="N58" s="943"/>
      <c r="O58" s="943"/>
      <c r="P58" s="943"/>
      <c r="Q58" s="943"/>
      <c r="R58" s="943"/>
      <c r="S58" s="943"/>
      <c r="T58" s="943"/>
      <c r="U58" s="943"/>
      <c r="V58" s="943"/>
      <c r="W58" s="943"/>
      <c r="X58" s="943"/>
      <c r="Y58" s="963"/>
      <c r="Z58" s="943"/>
      <c r="AA58" s="943"/>
      <c r="AB58" s="943"/>
      <c r="AC58" s="943"/>
      <c r="AD58" s="943"/>
      <c r="AE58" s="943"/>
      <c r="AF58" s="943"/>
      <c r="AG58" s="943"/>
      <c r="AH58" s="943"/>
      <c r="AI58" s="943"/>
      <c r="AJ58" s="943"/>
      <c r="AK58" s="943"/>
      <c r="AL58" s="943"/>
      <c r="AM58" s="943"/>
      <c r="AN58" s="943"/>
      <c r="AO58" s="943"/>
      <c r="AP58" s="943"/>
      <c r="AQ58" s="943"/>
      <c r="AR58" s="943"/>
      <c r="AS58" s="943"/>
      <c r="AT58" s="943"/>
      <c r="AU58" s="943"/>
      <c r="AV58" s="943"/>
      <c r="AW58" s="943"/>
      <c r="AX58" s="963"/>
      <c r="AY58" s="943"/>
      <c r="AZ58" s="943"/>
      <c r="BA58" s="943"/>
      <c r="BB58" s="943"/>
      <c r="BC58" s="943"/>
      <c r="BD58" s="943"/>
      <c r="BE58" s="943"/>
      <c r="BF58" s="943"/>
      <c r="BG58" s="943"/>
      <c r="BH58" s="943"/>
      <c r="BI58" s="943"/>
      <c r="BJ58" s="943"/>
      <c r="BK58" s="943"/>
      <c r="BL58" s="943"/>
      <c r="BM58" s="943"/>
      <c r="BN58" s="943"/>
      <c r="BO58" s="943"/>
      <c r="BP58" s="943"/>
      <c r="BQ58" s="943"/>
      <c r="BR58" s="943"/>
      <c r="BS58" s="943"/>
      <c r="BT58" s="964"/>
      <c r="BU58" s="964"/>
      <c r="BV58" s="964"/>
      <c r="BW58" s="964"/>
      <c r="BX58" s="964"/>
      <c r="BY58" s="964"/>
      <c r="BZ58" s="964"/>
      <c r="CA58" s="964"/>
      <c r="CB58" s="964"/>
      <c r="CC58" s="964"/>
      <c r="CD58" s="964"/>
      <c r="CE58" s="964"/>
      <c r="CF58" s="964"/>
      <c r="CG58" s="964"/>
      <c r="CH58" s="964"/>
      <c r="CI58" s="964"/>
      <c r="CJ58" s="964"/>
      <c r="CK58" s="964"/>
      <c r="CL58" s="964"/>
      <c r="CM58" s="964"/>
      <c r="CN58" s="964"/>
      <c r="CO58" s="964"/>
      <c r="CP58" s="964"/>
      <c r="CQ58" s="964"/>
      <c r="CR58" s="964"/>
      <c r="CS58" s="964"/>
      <c r="CT58" s="964"/>
      <c r="CU58" s="964"/>
      <c r="CV58" s="964"/>
      <c r="CW58" s="964"/>
      <c r="CX58" s="964"/>
      <c r="CY58" s="964"/>
      <c r="CZ58" s="964"/>
      <c r="DA58" s="964"/>
      <c r="DB58" s="964"/>
      <c r="DC58" s="964"/>
      <c r="DD58" s="964"/>
      <c r="DE58" s="964"/>
      <c r="DF58" s="964"/>
    </row>
    <row r="59" spans="1:110">
      <c r="B59" s="943"/>
      <c r="C59" s="943"/>
      <c r="D59" s="943"/>
      <c r="E59" s="943"/>
      <c r="F59" s="943"/>
      <c r="G59" s="943"/>
      <c r="H59" s="943"/>
      <c r="I59" s="943"/>
      <c r="J59" s="943"/>
      <c r="K59" s="943"/>
      <c r="L59" s="943"/>
      <c r="M59" s="943"/>
      <c r="N59" s="943"/>
      <c r="O59" s="943"/>
      <c r="P59" s="943"/>
      <c r="Q59" s="943"/>
      <c r="R59" s="943"/>
      <c r="S59" s="943"/>
      <c r="T59" s="943"/>
      <c r="U59" s="943"/>
      <c r="V59" s="943"/>
      <c r="W59" s="943"/>
      <c r="X59" s="943"/>
      <c r="Y59" s="963"/>
      <c r="Z59" s="943"/>
      <c r="AA59" s="943"/>
      <c r="AB59" s="943"/>
      <c r="AC59" s="943"/>
      <c r="AD59" s="943"/>
      <c r="AE59" s="943"/>
      <c r="AF59" s="943"/>
      <c r="AG59" s="943"/>
      <c r="AH59" s="943"/>
      <c r="AI59" s="943"/>
      <c r="AJ59" s="943"/>
      <c r="AK59" s="943"/>
      <c r="AL59" s="943"/>
      <c r="AM59" s="943"/>
      <c r="AN59" s="943"/>
      <c r="AO59" s="943"/>
      <c r="AP59" s="943"/>
      <c r="AQ59" s="943"/>
      <c r="AR59" s="943"/>
      <c r="AS59" s="943"/>
      <c r="AT59" s="943"/>
      <c r="AU59" s="943"/>
      <c r="AV59" s="943"/>
      <c r="AW59" s="943"/>
      <c r="AX59" s="963"/>
      <c r="AY59" s="943"/>
      <c r="AZ59" s="943"/>
      <c r="BA59" s="943"/>
      <c r="BB59" s="943"/>
      <c r="BC59" s="943"/>
      <c r="BD59" s="943"/>
      <c r="BE59" s="943"/>
      <c r="BF59" s="943"/>
      <c r="BG59" s="943"/>
      <c r="BH59" s="943"/>
      <c r="BI59" s="943"/>
      <c r="BJ59" s="943"/>
      <c r="BK59" s="943"/>
      <c r="BL59" s="943"/>
      <c r="BM59" s="943"/>
      <c r="BN59" s="943"/>
      <c r="BO59" s="943"/>
      <c r="BP59" s="943"/>
      <c r="BQ59" s="943"/>
      <c r="BR59" s="943"/>
      <c r="BS59" s="943"/>
    </row>
    <row r="60" spans="1:110">
      <c r="B60" s="943"/>
      <c r="C60" s="943"/>
      <c r="D60" s="943"/>
      <c r="E60" s="943"/>
      <c r="F60" s="943"/>
      <c r="G60" s="943"/>
      <c r="H60" s="943"/>
      <c r="I60" s="943"/>
      <c r="J60" s="943"/>
      <c r="K60" s="943"/>
      <c r="L60" s="943"/>
      <c r="M60" s="943"/>
      <c r="N60" s="943"/>
      <c r="O60" s="943"/>
      <c r="P60" s="943"/>
      <c r="Q60" s="943"/>
      <c r="R60" s="943"/>
      <c r="S60" s="943"/>
      <c r="T60" s="943"/>
      <c r="U60" s="943"/>
      <c r="V60" s="943"/>
      <c r="W60" s="943"/>
      <c r="X60" s="943"/>
      <c r="Y60" s="943"/>
      <c r="Z60" s="943"/>
      <c r="AA60" s="943"/>
      <c r="AB60" s="943"/>
      <c r="AC60" s="943"/>
      <c r="AD60" s="943"/>
      <c r="AE60" s="943"/>
      <c r="AF60" s="943"/>
      <c r="AG60" s="943"/>
      <c r="AH60" s="943"/>
      <c r="AI60" s="943"/>
      <c r="AJ60" s="943"/>
      <c r="AK60" s="943"/>
      <c r="AL60" s="943"/>
      <c r="AM60" s="943"/>
      <c r="AN60" s="943"/>
      <c r="AO60" s="943"/>
      <c r="AP60" s="943"/>
      <c r="AQ60" s="943"/>
      <c r="AR60" s="943"/>
      <c r="AS60" s="943"/>
      <c r="AT60" s="943"/>
      <c r="AU60" s="943"/>
      <c r="AV60" s="943"/>
      <c r="AW60" s="943"/>
      <c r="AX60" s="943"/>
      <c r="AY60" s="943"/>
      <c r="AZ60" s="943"/>
      <c r="BA60" s="943"/>
      <c r="BB60" s="943"/>
      <c r="BC60" s="943"/>
      <c r="BD60" s="943"/>
      <c r="BE60" s="943"/>
      <c r="BF60" s="943"/>
      <c r="BG60" s="943"/>
      <c r="BH60" s="943"/>
      <c r="BI60" s="943"/>
      <c r="BJ60" s="943"/>
      <c r="BK60" s="943"/>
      <c r="BL60" s="943"/>
      <c r="BM60" s="943"/>
      <c r="BN60" s="943"/>
      <c r="BO60" s="943"/>
      <c r="BP60" s="943"/>
      <c r="BQ60" s="943"/>
      <c r="BR60" s="943"/>
      <c r="BS60" s="943"/>
    </row>
    <row r="61" spans="1:110">
      <c r="B61" s="943"/>
      <c r="C61" s="943"/>
      <c r="D61" s="943"/>
      <c r="E61" s="943"/>
      <c r="F61" s="943"/>
      <c r="G61" s="943"/>
      <c r="H61" s="943"/>
      <c r="I61" s="943"/>
      <c r="J61" s="943"/>
      <c r="K61" s="943"/>
      <c r="L61" s="943"/>
      <c r="M61" s="943"/>
      <c r="N61" s="943"/>
      <c r="O61" s="943"/>
      <c r="P61" s="943"/>
      <c r="Q61" s="943"/>
      <c r="R61" s="943"/>
      <c r="S61" s="943"/>
      <c r="T61" s="943"/>
      <c r="U61" s="943"/>
      <c r="V61" s="943"/>
      <c r="W61" s="943"/>
      <c r="X61" s="943"/>
      <c r="Y61" s="943"/>
      <c r="Z61" s="943"/>
      <c r="AA61" s="943"/>
      <c r="AB61" s="943"/>
      <c r="AC61" s="943"/>
      <c r="AD61" s="943"/>
      <c r="AE61" s="943"/>
      <c r="AF61" s="943"/>
      <c r="AG61" s="943"/>
      <c r="AH61" s="943"/>
      <c r="AI61" s="943"/>
      <c r="AJ61" s="943"/>
      <c r="AK61" s="943"/>
      <c r="AL61" s="943"/>
      <c r="AM61" s="943"/>
      <c r="AN61" s="943"/>
      <c r="AO61" s="943"/>
      <c r="AP61" s="943"/>
      <c r="AQ61" s="943"/>
      <c r="AR61" s="943"/>
      <c r="AS61" s="943"/>
      <c r="AT61" s="943"/>
      <c r="AU61" s="943"/>
      <c r="AV61" s="943"/>
      <c r="AW61" s="943"/>
      <c r="AX61" s="943"/>
      <c r="AY61" s="943"/>
      <c r="AZ61" s="943"/>
      <c r="BA61" s="943"/>
      <c r="BB61" s="943"/>
      <c r="BC61" s="943"/>
      <c r="BD61" s="943"/>
      <c r="BE61" s="943"/>
      <c r="BF61" s="943"/>
      <c r="BG61" s="943"/>
      <c r="BH61" s="943"/>
      <c r="BI61" s="943"/>
      <c r="BJ61" s="943"/>
      <c r="BK61" s="943"/>
      <c r="BL61" s="943"/>
      <c r="BM61" s="943"/>
      <c r="BN61" s="943"/>
      <c r="BO61" s="943"/>
      <c r="BP61" s="943"/>
      <c r="BQ61" s="943"/>
      <c r="BR61" s="943"/>
      <c r="BS61" s="943"/>
    </row>
    <row r="62" spans="1:110">
      <c r="B62" s="943"/>
      <c r="C62" s="963"/>
      <c r="D62" s="964"/>
      <c r="E62" s="943"/>
      <c r="F62" s="963"/>
      <c r="G62" s="964"/>
      <c r="H62" s="1"/>
      <c r="I62" s="944"/>
      <c r="J62" s="943"/>
      <c r="BC62" s="1012"/>
      <c r="BF62" s="1"/>
      <c r="BG62" s="964"/>
      <c r="BI62" s="963"/>
      <c r="BJ62" s="1"/>
      <c r="BK62" s="1"/>
      <c r="BL62" s="1"/>
      <c r="BM62" s="1"/>
      <c r="BN62" s="1641"/>
      <c r="BO62" s="1641"/>
      <c r="BP62" s="1641"/>
      <c r="BQ62" s="1641"/>
      <c r="BR62" s="943"/>
    </row>
    <row r="63" spans="1:110">
      <c r="B63" s="943"/>
      <c r="C63" s="943"/>
      <c r="D63" s="943"/>
      <c r="E63" s="943"/>
      <c r="F63" s="943"/>
      <c r="G63" s="943"/>
      <c r="H63" s="943"/>
      <c r="I63" s="943"/>
      <c r="J63" s="943"/>
      <c r="K63" s="943"/>
      <c r="L63" s="943"/>
      <c r="M63" s="943"/>
      <c r="N63" s="943"/>
      <c r="O63" s="943"/>
      <c r="P63" s="943"/>
      <c r="Q63" s="943"/>
      <c r="R63" s="943"/>
      <c r="S63" s="943"/>
      <c r="T63" s="943"/>
      <c r="U63" s="943"/>
      <c r="V63" s="943"/>
      <c r="W63" s="943"/>
      <c r="X63" s="943"/>
      <c r="Y63" s="943"/>
      <c r="Z63" s="943"/>
      <c r="AA63" s="943"/>
      <c r="AB63" s="943"/>
      <c r="AC63" s="943"/>
      <c r="AD63" s="943"/>
      <c r="AE63" s="943"/>
      <c r="AF63" s="943"/>
      <c r="AG63" s="943"/>
      <c r="AH63" s="943"/>
      <c r="AI63" s="943"/>
      <c r="AJ63" s="943"/>
      <c r="AK63" s="943"/>
      <c r="AL63" s="943"/>
      <c r="AM63" s="943"/>
      <c r="AN63" s="943"/>
      <c r="AO63" s="943"/>
      <c r="AP63" s="943"/>
      <c r="AQ63" s="943"/>
      <c r="AR63" s="943"/>
      <c r="AS63" s="943"/>
      <c r="AT63" s="943"/>
      <c r="AU63" s="943"/>
      <c r="AV63" s="943"/>
      <c r="AW63" s="943"/>
      <c r="AX63" s="943"/>
      <c r="AY63" s="943"/>
      <c r="AZ63" s="943"/>
      <c r="BA63" s="943"/>
      <c r="BB63" s="943"/>
      <c r="BC63" s="943"/>
      <c r="BD63" s="943"/>
      <c r="BE63" s="943"/>
      <c r="BF63" s="943"/>
      <c r="BG63" s="943"/>
      <c r="BH63" s="943"/>
      <c r="BI63" s="943"/>
      <c r="BJ63" s="943"/>
      <c r="BK63" s="943"/>
      <c r="BL63" s="943"/>
      <c r="BM63" s="943"/>
      <c r="BN63" s="1641"/>
      <c r="BO63" s="1641"/>
      <c r="BP63" s="1641"/>
      <c r="BQ63" s="1641"/>
      <c r="BR63" s="943"/>
      <c r="BS63" s="943"/>
    </row>
    <row r="64" spans="1:110">
      <c r="B64" s="943"/>
      <c r="C64" s="943"/>
      <c r="D64" s="943"/>
      <c r="E64" s="943"/>
      <c r="F64" s="943"/>
      <c r="G64" s="943"/>
      <c r="H64" s="943"/>
      <c r="I64" s="943"/>
      <c r="J64" s="943"/>
      <c r="K64" s="943"/>
      <c r="L64" s="943"/>
      <c r="M64" s="943"/>
      <c r="N64" s="943"/>
      <c r="O64" s="943"/>
      <c r="P64" s="943"/>
      <c r="Q64" s="943"/>
      <c r="R64" s="943"/>
      <c r="S64" s="943"/>
      <c r="T64" s="943"/>
      <c r="U64" s="943"/>
      <c r="V64" s="943"/>
      <c r="W64" s="943"/>
      <c r="X64" s="943"/>
      <c r="Y64" s="943"/>
      <c r="Z64" s="943"/>
      <c r="AA64" s="943"/>
      <c r="AB64" s="943"/>
      <c r="AC64" s="943"/>
      <c r="AD64" s="943"/>
      <c r="AE64" s="943"/>
      <c r="AF64" s="943"/>
      <c r="AG64" s="943"/>
      <c r="AH64" s="943"/>
      <c r="AI64" s="943"/>
      <c r="AJ64" s="943"/>
      <c r="AK64" s="943"/>
      <c r="AL64" s="943"/>
      <c r="AM64" s="943"/>
      <c r="AN64" s="943"/>
      <c r="AO64" s="943"/>
      <c r="AP64" s="943"/>
      <c r="AQ64" s="943"/>
      <c r="AR64" s="943"/>
      <c r="AS64" s="943"/>
      <c r="AT64" s="943"/>
      <c r="AU64" s="943"/>
      <c r="AV64" s="943"/>
      <c r="AW64" s="943"/>
      <c r="AX64" s="943"/>
      <c r="AY64" s="943"/>
      <c r="AZ64" s="943"/>
      <c r="BA64" s="943"/>
      <c r="BB64" s="943"/>
      <c r="BC64" s="943"/>
      <c r="BD64" s="943"/>
      <c r="BE64" s="943"/>
      <c r="BF64" s="943"/>
      <c r="BG64" s="943"/>
      <c r="BH64" s="943"/>
      <c r="BI64" s="943"/>
      <c r="BJ64" s="943"/>
      <c r="BK64" s="943"/>
      <c r="BL64" s="943"/>
      <c r="BM64" s="943"/>
      <c r="BN64" s="943"/>
      <c r="BO64" s="943"/>
      <c r="BP64" s="943"/>
      <c r="BQ64" s="943"/>
      <c r="BR64" s="943"/>
      <c r="BS64" s="943"/>
    </row>
    <row r="65" spans="2:71">
      <c r="B65" s="943"/>
      <c r="C65" s="943"/>
      <c r="D65" s="943"/>
      <c r="E65" s="943"/>
      <c r="F65" s="943"/>
      <c r="G65" s="943"/>
      <c r="H65" s="943"/>
      <c r="I65" s="943"/>
      <c r="J65" s="943"/>
      <c r="K65" s="943"/>
      <c r="L65" s="943"/>
      <c r="M65" s="943"/>
      <c r="N65" s="943"/>
      <c r="O65" s="943"/>
      <c r="P65" s="943"/>
      <c r="Q65" s="943"/>
      <c r="R65" s="943"/>
      <c r="S65" s="943"/>
      <c r="T65" s="943"/>
      <c r="U65" s="943"/>
      <c r="V65" s="943"/>
      <c r="W65" s="943"/>
      <c r="X65" s="943"/>
      <c r="Y65" s="943"/>
      <c r="Z65" s="943"/>
      <c r="AA65" s="943"/>
      <c r="AB65" s="943"/>
      <c r="AC65" s="943"/>
      <c r="AD65" s="943"/>
      <c r="AE65" s="943"/>
      <c r="AF65" s="943"/>
      <c r="AG65" s="943"/>
      <c r="AH65" s="943"/>
      <c r="AI65" s="943"/>
      <c r="AJ65" s="943"/>
      <c r="AK65" s="943"/>
      <c r="AL65" s="943"/>
      <c r="AM65" s="943"/>
      <c r="AN65" s="943"/>
      <c r="AO65" s="943"/>
      <c r="AP65" s="943"/>
      <c r="AQ65" s="943"/>
      <c r="AR65" s="943"/>
      <c r="AS65" s="943"/>
      <c r="AT65" s="943"/>
      <c r="AU65" s="943"/>
      <c r="AV65" s="943"/>
      <c r="AW65" s="943"/>
      <c r="AX65" s="943"/>
      <c r="AY65" s="943"/>
      <c r="AZ65" s="943"/>
      <c r="BA65" s="943"/>
      <c r="BB65" s="943"/>
      <c r="BC65" s="943"/>
      <c r="BD65" s="943"/>
      <c r="BE65" s="943"/>
      <c r="BF65" s="943"/>
      <c r="BG65" s="943"/>
      <c r="BH65" s="943"/>
      <c r="BI65" s="943"/>
      <c r="BJ65" s="943"/>
      <c r="BK65" s="943"/>
      <c r="BL65" s="943"/>
      <c r="BM65" s="943"/>
      <c r="BN65" s="943"/>
      <c r="BO65" s="943"/>
      <c r="BP65" s="943"/>
      <c r="BQ65" s="943"/>
      <c r="BR65" s="943"/>
      <c r="BS65" s="943"/>
    </row>
    <row r="66" spans="2:71">
      <c r="B66" s="943"/>
      <c r="C66" s="943"/>
      <c r="D66" s="943"/>
      <c r="E66" s="943"/>
      <c r="F66" s="943"/>
      <c r="G66" s="943"/>
      <c r="H66" s="943"/>
      <c r="I66" s="943"/>
      <c r="J66" s="943"/>
      <c r="K66" s="943"/>
      <c r="L66" s="943"/>
      <c r="M66" s="943"/>
      <c r="N66" s="943"/>
      <c r="O66" s="943"/>
      <c r="P66" s="943"/>
      <c r="Q66" s="943"/>
      <c r="R66" s="943"/>
      <c r="S66" s="943"/>
      <c r="T66" s="943"/>
      <c r="U66" s="943"/>
      <c r="V66" s="943"/>
      <c r="W66" s="943"/>
      <c r="X66" s="943"/>
      <c r="Y66" s="943"/>
      <c r="Z66" s="943"/>
      <c r="AA66" s="943"/>
      <c r="AB66" s="943"/>
      <c r="AC66" s="943"/>
      <c r="AD66" s="943"/>
      <c r="AE66" s="943"/>
      <c r="AF66" s="943"/>
      <c r="AG66" s="943"/>
      <c r="AH66" s="943"/>
      <c r="AI66" s="943"/>
      <c r="AJ66" s="943"/>
      <c r="AK66" s="943"/>
      <c r="AL66" s="943"/>
      <c r="AM66" s="943"/>
      <c r="AN66" s="943"/>
      <c r="AO66" s="943"/>
      <c r="AP66" s="943"/>
      <c r="AQ66" s="943"/>
      <c r="AR66" s="943"/>
      <c r="AS66" s="943"/>
      <c r="AT66" s="943"/>
      <c r="AU66" s="943"/>
      <c r="AV66" s="943"/>
      <c r="AW66" s="943"/>
      <c r="AX66" s="943"/>
      <c r="AY66" s="943"/>
      <c r="AZ66" s="943"/>
      <c r="BA66" s="943"/>
      <c r="BB66" s="943"/>
      <c r="BC66" s="943"/>
      <c r="BD66" s="943"/>
      <c r="BE66" s="943"/>
      <c r="BF66" s="943"/>
      <c r="BG66" s="943"/>
      <c r="BH66" s="943"/>
      <c r="BI66" s="943"/>
      <c r="BJ66" s="943"/>
      <c r="BK66" s="943"/>
      <c r="BL66" s="943"/>
      <c r="BM66" s="943"/>
      <c r="BN66" s="943"/>
      <c r="BO66" s="943"/>
      <c r="BP66" s="943"/>
      <c r="BQ66" s="943"/>
      <c r="BR66" s="943"/>
      <c r="BS66" s="943"/>
    </row>
    <row r="67" spans="2:71">
      <c r="B67" s="943"/>
      <c r="C67" s="943"/>
      <c r="D67" s="943"/>
      <c r="E67" s="943"/>
      <c r="F67" s="943"/>
      <c r="G67" s="943"/>
      <c r="H67" s="943"/>
      <c r="I67" s="943"/>
      <c r="J67" s="943"/>
      <c r="K67" s="943"/>
      <c r="L67" s="943"/>
      <c r="M67" s="943"/>
      <c r="N67" s="943"/>
      <c r="O67" s="943"/>
      <c r="P67" s="943"/>
      <c r="Q67" s="943"/>
      <c r="R67" s="943"/>
      <c r="S67" s="943"/>
      <c r="T67" s="943"/>
      <c r="U67" s="943"/>
      <c r="V67" s="943"/>
      <c r="W67" s="943"/>
      <c r="X67" s="943"/>
      <c r="Y67" s="943"/>
      <c r="Z67" s="943"/>
      <c r="AA67" s="943"/>
      <c r="AB67" s="943"/>
      <c r="AC67" s="943"/>
      <c r="AD67" s="943"/>
      <c r="AE67" s="943"/>
      <c r="AF67" s="943"/>
      <c r="AG67" s="943"/>
      <c r="AH67" s="943"/>
      <c r="AI67" s="943"/>
      <c r="AJ67" s="943"/>
      <c r="AK67" s="943"/>
      <c r="AL67" s="943"/>
      <c r="AM67" s="943"/>
      <c r="AN67" s="943"/>
      <c r="AO67" s="943"/>
      <c r="AP67" s="943"/>
      <c r="AQ67" s="943"/>
      <c r="AR67" s="943"/>
      <c r="AS67" s="943"/>
      <c r="AT67" s="943"/>
      <c r="AU67" s="943"/>
      <c r="AV67" s="943"/>
      <c r="AW67" s="943"/>
      <c r="AX67" s="943"/>
      <c r="AY67" s="943"/>
      <c r="AZ67" s="943"/>
      <c r="BA67" s="943"/>
      <c r="BB67" s="943"/>
      <c r="BC67" s="943"/>
      <c r="BD67" s="943"/>
      <c r="BE67" s="943"/>
      <c r="BF67" s="943"/>
      <c r="BG67" s="943"/>
      <c r="BH67" s="943"/>
      <c r="BI67" s="943"/>
      <c r="BJ67" s="943"/>
      <c r="BK67" s="943"/>
      <c r="BL67" s="943"/>
      <c r="BM67" s="943"/>
      <c r="BN67" s="943"/>
      <c r="BO67" s="943"/>
      <c r="BP67" s="943"/>
      <c r="BQ67" s="943"/>
      <c r="BR67" s="943"/>
      <c r="BS67" s="943"/>
    </row>
    <row r="68" spans="2:71">
      <c r="B68" s="943"/>
      <c r="C68" s="943"/>
      <c r="D68" s="943"/>
      <c r="E68" s="943"/>
      <c r="F68" s="943"/>
      <c r="G68" s="943"/>
      <c r="H68" s="943"/>
      <c r="I68" s="943"/>
      <c r="J68" s="943"/>
      <c r="K68" s="943"/>
      <c r="L68" s="943"/>
      <c r="M68" s="943"/>
      <c r="N68" s="943"/>
      <c r="O68" s="943"/>
      <c r="P68" s="943"/>
      <c r="Q68" s="943"/>
      <c r="R68" s="943"/>
      <c r="S68" s="943"/>
      <c r="T68" s="943"/>
      <c r="U68" s="943"/>
      <c r="V68" s="943"/>
      <c r="W68" s="943"/>
      <c r="X68" s="943"/>
      <c r="Y68" s="943"/>
      <c r="Z68" s="943"/>
      <c r="AA68" s="943"/>
      <c r="AB68" s="943"/>
      <c r="AC68" s="943"/>
      <c r="AD68" s="943"/>
      <c r="AE68" s="943"/>
      <c r="AF68" s="943"/>
      <c r="AG68" s="943"/>
      <c r="AH68" s="943"/>
      <c r="AI68" s="943"/>
      <c r="AJ68" s="943"/>
      <c r="AK68" s="943"/>
      <c r="AL68" s="943"/>
      <c r="AM68" s="943"/>
      <c r="AN68" s="943"/>
      <c r="AO68" s="943"/>
      <c r="AP68" s="943"/>
      <c r="AQ68" s="943"/>
      <c r="AR68" s="943"/>
      <c r="AS68" s="943"/>
      <c r="AT68" s="943"/>
      <c r="AU68" s="943"/>
      <c r="AV68" s="943"/>
      <c r="AW68" s="943"/>
      <c r="AX68" s="943"/>
      <c r="AY68" s="943"/>
      <c r="AZ68" s="943"/>
      <c r="BA68" s="943"/>
      <c r="BB68" s="943"/>
      <c r="BC68" s="943"/>
      <c r="BD68" s="943"/>
      <c r="BE68" s="943"/>
      <c r="BF68" s="943"/>
      <c r="BG68" s="943"/>
      <c r="BH68" s="943"/>
      <c r="BI68" s="943"/>
      <c r="BJ68" s="943"/>
      <c r="BK68" s="943"/>
      <c r="BL68" s="943"/>
      <c r="BM68" s="943"/>
      <c r="BN68" s="943"/>
      <c r="BO68" s="943"/>
      <c r="BP68" s="943"/>
      <c r="BQ68" s="943"/>
      <c r="BR68" s="943"/>
      <c r="BS68" s="943"/>
    </row>
    <row r="69" spans="2:71">
      <c r="B69" s="943"/>
      <c r="C69" s="943"/>
      <c r="D69" s="943"/>
      <c r="E69" s="943"/>
      <c r="F69" s="943"/>
      <c r="G69" s="943"/>
      <c r="H69" s="943"/>
      <c r="I69" s="943"/>
      <c r="J69" s="943"/>
      <c r="K69" s="943"/>
      <c r="L69" s="943"/>
      <c r="M69" s="943"/>
      <c r="N69" s="943"/>
      <c r="O69" s="943"/>
      <c r="P69" s="943"/>
      <c r="Q69" s="943"/>
      <c r="R69" s="943"/>
      <c r="S69" s="943"/>
      <c r="T69" s="943"/>
      <c r="U69" s="943"/>
      <c r="V69" s="943"/>
      <c r="W69" s="943"/>
      <c r="X69" s="943"/>
      <c r="Y69" s="943"/>
      <c r="Z69" s="943"/>
      <c r="AA69" s="943"/>
      <c r="AB69" s="943"/>
      <c r="AC69" s="943"/>
      <c r="AD69" s="943"/>
      <c r="AE69" s="943"/>
      <c r="AF69" s="943"/>
      <c r="AG69" s="943"/>
      <c r="AH69" s="943"/>
      <c r="AI69" s="943"/>
      <c r="AJ69" s="943"/>
      <c r="AK69" s="943"/>
      <c r="AL69" s="943"/>
      <c r="AM69" s="943"/>
      <c r="AN69" s="943"/>
      <c r="AO69" s="943"/>
      <c r="AP69" s="943"/>
      <c r="AQ69" s="943"/>
      <c r="AR69" s="943"/>
      <c r="AS69" s="943"/>
      <c r="AT69" s="943"/>
      <c r="AU69" s="943"/>
      <c r="AV69" s="943"/>
      <c r="AW69" s="943"/>
      <c r="AX69" s="943"/>
      <c r="AY69" s="943"/>
      <c r="AZ69" s="943"/>
      <c r="BA69" s="943"/>
      <c r="BB69" s="943"/>
      <c r="BC69" s="943"/>
      <c r="BD69" s="943"/>
      <c r="BE69" s="943"/>
      <c r="BF69" s="943"/>
      <c r="BG69" s="943"/>
      <c r="BH69" s="943"/>
      <c r="BI69" s="943"/>
      <c r="BJ69" s="943"/>
      <c r="BK69" s="943"/>
      <c r="BL69" s="943"/>
      <c r="BM69" s="943"/>
      <c r="BN69" s="943"/>
      <c r="BO69" s="943"/>
      <c r="BP69" s="943"/>
      <c r="BQ69" s="943"/>
      <c r="BR69" s="943"/>
      <c r="BS69" s="943"/>
    </row>
    <row r="71" spans="2:71">
      <c r="BJ71" s="964"/>
      <c r="BK71" s="964"/>
      <c r="BL71" s="964"/>
      <c r="BM71" s="964"/>
      <c r="BN71" s="964"/>
      <c r="BO71" s="964"/>
    </row>
  </sheetData>
  <customSheetViews>
    <customSheetView guid="{A374FC54-96E3-45F0-9C12-8450400C12DF}" scale="120">
      <pane xSplit="2" ySplit="1" topLeftCell="BH34" activePane="bottomRight" state="frozen"/>
      <selection pane="bottomRight" activeCell="AC49" sqref="AC49"/>
      <pageMargins left="0.511811023622047" right="0.511811023622047" top="0.511811023622047" bottom="0.511811023622047" header="0.31496062992126" footer="0.31496062992126"/>
      <pageSetup paperSize="132" firstPageNumber="22" orientation="portrait" useFirstPageNumber="1" r:id="rId1"/>
      <headerFooter alignWithMargins="0">
        <oddFooter>&amp;C&amp;"Times New Roman,Regular"&amp;8&amp;P</oddFooter>
      </headerFooter>
    </customSheetView>
  </customSheetViews>
  <mergeCells count="102">
    <mergeCell ref="AP6:AQ6"/>
    <mergeCell ref="AU3:AW3"/>
    <mergeCell ref="AL1:AQ1"/>
    <mergeCell ref="AS2:AW2"/>
    <mergeCell ref="U1:X1"/>
    <mergeCell ref="J5:M5"/>
    <mergeCell ref="N5:Q5"/>
    <mergeCell ref="Z5:AC5"/>
    <mergeCell ref="AD5:AG5"/>
    <mergeCell ref="AH5:AK5"/>
    <mergeCell ref="I1:K1"/>
    <mergeCell ref="L1:Q1"/>
    <mergeCell ref="AH1:AK1"/>
    <mergeCell ref="U2:X2"/>
    <mergeCell ref="Z4:AM4"/>
    <mergeCell ref="I49:J49"/>
    <mergeCell ref="BJ3:BM4"/>
    <mergeCell ref="AX3:AX8"/>
    <mergeCell ref="AY3:BB3"/>
    <mergeCell ref="BC3:BF4"/>
    <mergeCell ref="BG3:BI4"/>
    <mergeCell ref="BE5:BE6"/>
    <mergeCell ref="BH5:BI6"/>
    <mergeCell ref="BK8:BL8"/>
    <mergeCell ref="AY8:AZ8"/>
    <mergeCell ref="BA8:BB8"/>
    <mergeCell ref="BK5:BL6"/>
    <mergeCell ref="BG5:BG6"/>
    <mergeCell ref="AT8:AU8"/>
    <mergeCell ref="AV8:AW8"/>
    <mergeCell ref="P6:Q6"/>
    <mergeCell ref="AL5:AM6"/>
    <mergeCell ref="AF6:AG6"/>
    <mergeCell ref="AD6:AE6"/>
    <mergeCell ref="AJ6:AK6"/>
    <mergeCell ref="AB6:AC6"/>
    <mergeCell ref="Z6:AA6"/>
    <mergeCell ref="AH6:AI6"/>
    <mergeCell ref="BA4:BB6"/>
    <mergeCell ref="A3:A8"/>
    <mergeCell ref="B3:G4"/>
    <mergeCell ref="H3:I6"/>
    <mergeCell ref="J3:X3"/>
    <mergeCell ref="Y3:Y8"/>
    <mergeCell ref="R5:U5"/>
    <mergeCell ref="V5:W6"/>
    <mergeCell ref="X5:X6"/>
    <mergeCell ref="B5:C6"/>
    <mergeCell ref="D5:E6"/>
    <mergeCell ref="F5:G6"/>
    <mergeCell ref="T8:U8"/>
    <mergeCell ref="V8:W8"/>
    <mergeCell ref="J6:K6"/>
    <mergeCell ref="L6:M6"/>
    <mergeCell ref="N6:O6"/>
    <mergeCell ref="J4:X4"/>
    <mergeCell ref="R6:S6"/>
    <mergeCell ref="T6:U6"/>
    <mergeCell ref="BQ2:BS2"/>
    <mergeCell ref="AS1:AW1"/>
    <mergeCell ref="BF1:BI1"/>
    <mergeCell ref="BJ1:BO1"/>
    <mergeCell ref="BN5:BN6"/>
    <mergeCell ref="BO5:BP6"/>
    <mergeCell ref="AN6:AO6"/>
    <mergeCell ref="AY6:AZ6"/>
    <mergeCell ref="BM5:BM6"/>
    <mergeCell ref="BJ5:BJ6"/>
    <mergeCell ref="AR6:AS6"/>
    <mergeCell ref="BC5:BC6"/>
    <mergeCell ref="BD5:BD6"/>
    <mergeCell ref="BN3:BQ4"/>
    <mergeCell ref="BR3:BR6"/>
    <mergeCell ref="BS3:BS6"/>
    <mergeCell ref="AN4:AQ5"/>
    <mergeCell ref="AR4:AW5"/>
    <mergeCell ref="AY4:AZ5"/>
    <mergeCell ref="AT6:AU6"/>
    <mergeCell ref="AV6:AW6"/>
    <mergeCell ref="BQ5:BQ6"/>
    <mergeCell ref="BF5:BF6"/>
    <mergeCell ref="BP1:BS1"/>
    <mergeCell ref="BO8:BP8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AF8:AG8"/>
    <mergeCell ref="AD8:AE8"/>
    <mergeCell ref="AB8:AC8"/>
    <mergeCell ref="AJ8:AK8"/>
    <mergeCell ref="AL8:AM8"/>
    <mergeCell ref="Z8:AA8"/>
    <mergeCell ref="AN8:AO8"/>
    <mergeCell ref="AP8:AQ8"/>
    <mergeCell ref="AR8:AS8"/>
    <mergeCell ref="AH8:AI8"/>
  </mergeCells>
  <pageMargins left="0.62992125984252001" right="0.511811023622047" top="0.31496062992126" bottom="2.5590551E-2" header="0" footer="6.4960630000000005E-2"/>
  <pageSetup paperSize="448" scale="98" orientation="portrait" r:id="rId2"/>
  <headerFooter differentFirst="1" alignWithMargins="0">
    <oddFooter>&amp;C&amp;"Times New Roman,Regular"&amp;8&amp;P</oddFooter>
  </headerFooter>
  <colBreaks count="2" manualBreakCount="2">
    <brk id="49" max="50" man="1"/>
    <brk id="61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3"/>
  <dimension ref="A1:AA163"/>
  <sheetViews>
    <sheetView zoomScale="140" zoomScaleNormal="140" workbookViewId="0">
      <pane xSplit="1" ySplit="5" topLeftCell="K36" activePane="bottomRight" state="frozen"/>
      <selection activeCell="Q6" sqref="Q6"/>
      <selection pane="topRight" activeCell="Q6" sqref="Q6"/>
      <selection pane="bottomLeft" activeCell="Q6" sqref="Q6"/>
      <selection pane="bottomRight" activeCell="V42" sqref="V42"/>
    </sheetView>
  </sheetViews>
  <sheetFormatPr defaultColWidth="9.140625" defaultRowHeight="11.25"/>
  <cols>
    <col min="1" max="1" width="10.28515625" style="797" customWidth="1"/>
    <col min="2" max="2" width="10.85546875" style="797" customWidth="1"/>
    <col min="3" max="3" width="11.140625" style="797" customWidth="1"/>
    <col min="4" max="4" width="11" style="797" customWidth="1"/>
    <col min="5" max="5" width="11.28515625" style="797" customWidth="1"/>
    <col min="6" max="6" width="11" style="797" customWidth="1"/>
    <col min="7" max="7" width="12.42578125" style="797" customWidth="1"/>
    <col min="8" max="8" width="8.5703125" style="797" customWidth="1"/>
    <col min="9" max="9" width="9.5703125" style="797" customWidth="1"/>
    <col min="10" max="10" width="10.140625" style="797" customWidth="1"/>
    <col min="11" max="11" width="10.7109375" style="797" customWidth="1"/>
    <col min="12" max="13" width="9.85546875" style="797" customWidth="1"/>
    <col min="14" max="14" width="15.85546875" style="797" customWidth="1"/>
    <col min="15" max="15" width="8.85546875" style="797" customWidth="1"/>
    <col min="16" max="16" width="7.7109375" style="797" customWidth="1"/>
    <col min="17" max="17" width="8.5703125" style="797" customWidth="1"/>
    <col min="18" max="18" width="8.7109375" style="797" customWidth="1"/>
    <col min="19" max="19" width="9.140625" style="797"/>
    <col min="20" max="20" width="9.28515625" style="797" customWidth="1"/>
    <col min="21" max="21" width="13.7109375" style="797" customWidth="1"/>
    <col min="22" max="22" width="12.28515625" style="797" customWidth="1"/>
    <col min="23" max="16384" width="9.140625" style="797"/>
  </cols>
  <sheetData>
    <row r="1" spans="1:22" s="155" customFormat="1" ht="15" customHeight="1">
      <c r="A1" s="1556"/>
      <c r="B1" s="1556"/>
      <c r="C1" s="1556"/>
      <c r="D1" s="1556"/>
      <c r="E1" s="1556"/>
      <c r="F1" s="2314" t="s">
        <v>123</v>
      </c>
      <c r="G1" s="2314"/>
      <c r="H1" s="2308" t="s">
        <v>122</v>
      </c>
      <c r="I1" s="2308"/>
      <c r="J1" s="154"/>
      <c r="K1" s="154"/>
      <c r="L1" s="2314" t="s">
        <v>427</v>
      </c>
      <c r="M1" s="2314"/>
      <c r="N1" s="2314"/>
      <c r="O1" s="2308" t="s">
        <v>2621</v>
      </c>
      <c r="P1" s="2308"/>
      <c r="Q1" s="2308"/>
      <c r="R1" s="2308"/>
      <c r="S1" s="2308"/>
      <c r="T1" s="2314" t="s">
        <v>428</v>
      </c>
      <c r="U1" s="2314"/>
      <c r="V1" s="2314"/>
    </row>
    <row r="2" spans="1:22" s="158" customFormat="1" ht="11.25" customHeight="1">
      <c r="A2" s="156"/>
      <c r="B2" s="156"/>
      <c r="C2" s="156"/>
      <c r="D2" s="157"/>
      <c r="F2" s="1237"/>
      <c r="H2" s="157"/>
      <c r="I2" s="157"/>
      <c r="J2" s="157"/>
      <c r="K2" s="157"/>
      <c r="L2" s="2313" t="s">
        <v>24</v>
      </c>
      <c r="M2" s="2313"/>
      <c r="N2" s="2313"/>
      <c r="O2" s="157"/>
      <c r="P2" s="157"/>
      <c r="Q2" s="159"/>
      <c r="R2" s="159"/>
      <c r="S2" s="159"/>
      <c r="T2" s="159"/>
      <c r="U2" s="2313" t="s">
        <v>24</v>
      </c>
      <c r="V2" s="2313"/>
    </row>
    <row r="3" spans="1:22" s="158" customFormat="1" ht="12.75" customHeight="1">
      <c r="A3" s="2297" t="s">
        <v>481</v>
      </c>
      <c r="B3" s="2310" t="s">
        <v>486</v>
      </c>
      <c r="C3" s="2311"/>
      <c r="D3" s="2312"/>
      <c r="E3" s="2309" t="s">
        <v>329</v>
      </c>
      <c r="F3" s="2309"/>
      <c r="G3" s="2309"/>
      <c r="H3" s="2309" t="s">
        <v>880</v>
      </c>
      <c r="I3" s="2309"/>
      <c r="J3" s="2309"/>
      <c r="K3" s="2315" t="s">
        <v>881</v>
      </c>
      <c r="L3" s="2315"/>
      <c r="M3" s="2315"/>
      <c r="N3" s="2305" t="s">
        <v>904</v>
      </c>
      <c r="O3" s="2300" t="s">
        <v>481</v>
      </c>
      <c r="P3" s="2316" t="s">
        <v>884</v>
      </c>
      <c r="Q3" s="2310" t="s">
        <v>883</v>
      </c>
      <c r="R3" s="2311"/>
      <c r="S3" s="2311"/>
      <c r="T3" s="2311"/>
      <c r="U3" s="2312"/>
      <c r="V3" s="2318" t="s">
        <v>1234</v>
      </c>
    </row>
    <row r="4" spans="1:22" s="160" customFormat="1" ht="29.25" customHeight="1">
      <c r="A4" s="2298"/>
      <c r="B4" s="1555" t="s">
        <v>901</v>
      </c>
      <c r="C4" s="1555" t="s">
        <v>902</v>
      </c>
      <c r="D4" s="1555" t="s">
        <v>903</v>
      </c>
      <c r="E4" s="1555" t="s">
        <v>487</v>
      </c>
      <c r="F4" s="1555" t="s">
        <v>488</v>
      </c>
      <c r="G4" s="1555" t="s">
        <v>633</v>
      </c>
      <c r="H4" s="1555" t="s">
        <v>487</v>
      </c>
      <c r="I4" s="1555" t="s">
        <v>488</v>
      </c>
      <c r="J4" s="1555" t="s">
        <v>634</v>
      </c>
      <c r="K4" s="1555" t="s">
        <v>489</v>
      </c>
      <c r="L4" s="1555" t="s">
        <v>478</v>
      </c>
      <c r="M4" s="1555" t="s">
        <v>638</v>
      </c>
      <c r="N4" s="2306"/>
      <c r="O4" s="2301"/>
      <c r="P4" s="2317"/>
      <c r="Q4" s="1554" t="s">
        <v>885</v>
      </c>
      <c r="R4" s="1554" t="s">
        <v>738</v>
      </c>
      <c r="S4" s="1554" t="s">
        <v>739</v>
      </c>
      <c r="T4" s="1554" t="s">
        <v>740</v>
      </c>
      <c r="U4" s="1554" t="s">
        <v>640</v>
      </c>
      <c r="V4" s="2319"/>
    </row>
    <row r="5" spans="1:22" s="204" customFormat="1" ht="17.25" customHeight="1">
      <c r="A5" s="2299"/>
      <c r="B5" s="296">
        <v>1</v>
      </c>
      <c r="C5" s="296">
        <v>2</v>
      </c>
      <c r="D5" s="296" t="s">
        <v>637</v>
      </c>
      <c r="E5" s="296">
        <v>4</v>
      </c>
      <c r="F5" s="296">
        <v>5</v>
      </c>
      <c r="G5" s="296" t="s">
        <v>636</v>
      </c>
      <c r="H5" s="296">
        <v>7</v>
      </c>
      <c r="I5" s="296">
        <v>8</v>
      </c>
      <c r="J5" s="296" t="s">
        <v>635</v>
      </c>
      <c r="K5" s="296">
        <v>10</v>
      </c>
      <c r="L5" s="296">
        <v>11</v>
      </c>
      <c r="M5" s="296" t="s">
        <v>639</v>
      </c>
      <c r="N5" s="296" t="s">
        <v>227</v>
      </c>
      <c r="O5" s="2302"/>
      <c r="P5" s="795">
        <v>14</v>
      </c>
      <c r="Q5" s="795">
        <v>15</v>
      </c>
      <c r="R5" s="795">
        <v>16</v>
      </c>
      <c r="S5" s="795">
        <v>17</v>
      </c>
      <c r="T5" s="795">
        <v>18</v>
      </c>
      <c r="U5" s="796" t="s">
        <v>882</v>
      </c>
      <c r="V5" s="2320"/>
    </row>
    <row r="6" spans="1:22" s="177" customFormat="1" ht="11.1" customHeight="1">
      <c r="A6" s="1278" t="s">
        <v>81</v>
      </c>
      <c r="B6" s="230">
        <v>112345.1</v>
      </c>
      <c r="C6" s="211">
        <v>147983</v>
      </c>
      <c r="D6" s="211">
        <v>-35637.9</v>
      </c>
      <c r="E6" s="230">
        <v>15453.4</v>
      </c>
      <c r="F6" s="230">
        <v>25710.799999999999</v>
      </c>
      <c r="G6" s="230">
        <v>-10257.400000000001</v>
      </c>
      <c r="H6" s="230">
        <v>551.70000000000005</v>
      </c>
      <c r="I6" s="211">
        <v>10566.400000000001</v>
      </c>
      <c r="J6" s="230">
        <v>-10014.700000000001</v>
      </c>
      <c r="K6" s="230">
        <v>864.8</v>
      </c>
      <c r="L6" s="230">
        <v>78001.299999999988</v>
      </c>
      <c r="M6" s="230">
        <v>78866.100000000006</v>
      </c>
      <c r="N6" s="210">
        <v>22956.1</v>
      </c>
      <c r="O6" s="1278" t="s">
        <v>81</v>
      </c>
      <c r="P6" s="230">
        <v>3373.5999999999995</v>
      </c>
      <c r="Q6" s="230">
        <v>6316.4000000000005</v>
      </c>
      <c r="R6" s="230">
        <v>-2029.5</v>
      </c>
      <c r="S6" s="230">
        <v>-820.69999999999936</v>
      </c>
      <c r="T6" s="230">
        <v>-24814.3</v>
      </c>
      <c r="U6" s="210">
        <f t="shared" ref="U6" si="0">Q6+R6+S6+T6</f>
        <v>-21348.1</v>
      </c>
      <c r="V6" s="211">
        <f t="shared" ref="V6" si="1">-(N6+P6+U6)</f>
        <v>-4981.5999999999985</v>
      </c>
    </row>
    <row r="7" spans="1:22" s="178" customFormat="1" ht="11.1" customHeight="1">
      <c r="A7" s="280" t="s">
        <v>189</v>
      </c>
      <c r="B7" s="250">
        <v>164159.20000000001</v>
      </c>
      <c r="C7" s="250">
        <v>216341.09999999998</v>
      </c>
      <c r="D7" s="250">
        <v>-52181.899999999994</v>
      </c>
      <c r="E7" s="250">
        <v>18292.900000000001</v>
      </c>
      <c r="F7" s="250">
        <v>35500.6</v>
      </c>
      <c r="G7" s="250">
        <v>-17207.7</v>
      </c>
      <c r="H7" s="250">
        <v>871.7</v>
      </c>
      <c r="I7" s="250">
        <v>11267.1</v>
      </c>
      <c r="J7" s="250">
        <v>-10395.4</v>
      </c>
      <c r="K7" s="250">
        <v>1047.0999999999999</v>
      </c>
      <c r="L7" s="250">
        <v>84013.2</v>
      </c>
      <c r="M7" s="250">
        <v>85060.299999999988</v>
      </c>
      <c r="N7" s="250">
        <v>5275.3000000000011</v>
      </c>
      <c r="O7" s="280" t="s">
        <v>189</v>
      </c>
      <c r="P7" s="250">
        <v>4138.1000000000004</v>
      </c>
      <c r="Q7" s="250">
        <v>5585.6</v>
      </c>
      <c r="R7" s="250">
        <v>-6109.2000000000007</v>
      </c>
      <c r="S7" s="250">
        <v>-9589.7999999999993</v>
      </c>
      <c r="T7" s="250">
        <v>5351</v>
      </c>
      <c r="U7" s="250">
        <v>-4762.3999999999996</v>
      </c>
      <c r="V7" s="250">
        <v>-4651.0000000000018</v>
      </c>
    </row>
    <row r="8" spans="1:22" s="152" customFormat="1" ht="11.1" customHeight="1">
      <c r="A8" s="1278" t="s">
        <v>701</v>
      </c>
      <c r="B8" s="211">
        <v>193375.5</v>
      </c>
      <c r="C8" s="211">
        <v>253042.2</v>
      </c>
      <c r="D8" s="211">
        <v>-59666.7</v>
      </c>
      <c r="E8" s="211">
        <v>19370.400000000001</v>
      </c>
      <c r="F8" s="211">
        <v>41880.299999999996</v>
      </c>
      <c r="G8" s="211">
        <v>-22509.899999999998</v>
      </c>
      <c r="H8" s="211">
        <v>1523.3000000000002</v>
      </c>
      <c r="I8" s="211">
        <v>13242.2</v>
      </c>
      <c r="J8" s="211">
        <v>-11718.9</v>
      </c>
      <c r="K8" s="211">
        <v>829.19999999999993</v>
      </c>
      <c r="L8" s="211">
        <v>101982.6</v>
      </c>
      <c r="M8" s="211">
        <v>102811.8</v>
      </c>
      <c r="N8" s="211">
        <v>8916.2999999999993</v>
      </c>
      <c r="O8" s="1278" t="s">
        <v>701</v>
      </c>
      <c r="P8" s="211">
        <v>3678.5</v>
      </c>
      <c r="Q8" s="211">
        <v>9088.2000000000007</v>
      </c>
      <c r="R8" s="211">
        <v>4142.6000000000004</v>
      </c>
      <c r="S8" s="211">
        <v>-17391</v>
      </c>
      <c r="T8" s="211">
        <v>-2324.4999999999991</v>
      </c>
      <c r="U8" s="211">
        <v>-6484.699999999998</v>
      </c>
      <c r="V8" s="211">
        <v>-6110.1000000000022</v>
      </c>
    </row>
    <row r="9" spans="1:22" s="152" customFormat="1" ht="11.1" customHeight="1">
      <c r="A9" s="280" t="s">
        <v>998</v>
      </c>
      <c r="B9" s="250">
        <v>211643</v>
      </c>
      <c r="C9" s="250">
        <v>272427.10000000003</v>
      </c>
      <c r="D9" s="250">
        <v>-60784.099999999991</v>
      </c>
      <c r="E9" s="250">
        <v>22601.1</v>
      </c>
      <c r="F9" s="250">
        <v>48387.100000000006</v>
      </c>
      <c r="G9" s="250">
        <v>-25786.000000000004</v>
      </c>
      <c r="H9" s="250">
        <v>965.00000000000011</v>
      </c>
      <c r="I9" s="250">
        <v>19441.600000000002</v>
      </c>
      <c r="J9" s="250">
        <v>-18476.600000000002</v>
      </c>
      <c r="K9" s="250">
        <v>516.6</v>
      </c>
      <c r="L9" s="250">
        <v>119520.40000000001</v>
      </c>
      <c r="M9" s="250">
        <v>120037</v>
      </c>
      <c r="N9" s="250">
        <v>14990.300000000003</v>
      </c>
      <c r="O9" s="280" t="s">
        <v>998</v>
      </c>
      <c r="P9" s="250">
        <v>4690.7999999999993</v>
      </c>
      <c r="Q9" s="250">
        <v>-13776.300000000001</v>
      </c>
      <c r="R9" s="250">
        <v>742.90000000000009</v>
      </c>
      <c r="S9" s="250">
        <v>-15951.5</v>
      </c>
      <c r="T9" s="250">
        <v>41316</v>
      </c>
      <c r="U9" s="250">
        <v>12331.100000000002</v>
      </c>
      <c r="V9" s="250">
        <v>-7350.0000000000018</v>
      </c>
    </row>
    <row r="10" spans="1:22" s="152" customFormat="1" ht="11.1" customHeight="1">
      <c r="A10" s="1278" t="s">
        <v>982</v>
      </c>
      <c r="B10" s="211">
        <v>230946.3</v>
      </c>
      <c r="C10" s="211">
        <v>286835.69999999995</v>
      </c>
      <c r="D10" s="211">
        <v>-55889.4</v>
      </c>
      <c r="E10" s="211">
        <v>24212.899999999998</v>
      </c>
      <c r="F10" s="211">
        <v>56129.399999999994</v>
      </c>
      <c r="G10" s="211">
        <v>-31916.5</v>
      </c>
      <c r="H10" s="211">
        <v>1011.5000000000001</v>
      </c>
      <c r="I10" s="211">
        <v>21168.1</v>
      </c>
      <c r="J10" s="211">
        <v>-20156.599999999999</v>
      </c>
      <c r="K10" s="211">
        <v>615.20000000000005</v>
      </c>
      <c r="L10" s="211">
        <v>115425</v>
      </c>
      <c r="M10" s="211">
        <v>116040.2</v>
      </c>
      <c r="N10" s="211">
        <v>8077.7000000000044</v>
      </c>
      <c r="O10" s="1278" t="s">
        <v>982</v>
      </c>
      <c r="P10" s="211">
        <v>5009.5</v>
      </c>
      <c r="Q10" s="211">
        <v>-11562.9</v>
      </c>
      <c r="R10" s="211">
        <v>-3019.8999999999996</v>
      </c>
      <c r="S10" s="211">
        <v>-17019.400000000001</v>
      </c>
      <c r="T10" s="211">
        <v>45942.100000000006</v>
      </c>
      <c r="U10" s="211">
        <v>14339.899999999998</v>
      </c>
      <c r="V10" s="211">
        <v>1252.6999999999916</v>
      </c>
    </row>
    <row r="11" spans="1:22" s="152" customFormat="1" ht="11.1" customHeight="1">
      <c r="A11" s="280" t="s">
        <v>1033</v>
      </c>
      <c r="B11" s="250">
        <v>238483.7</v>
      </c>
      <c r="C11" s="250">
        <v>284654.7</v>
      </c>
      <c r="D11" s="250">
        <v>-46170.999999999993</v>
      </c>
      <c r="E11" s="250">
        <v>23956.9</v>
      </c>
      <c r="F11" s="250">
        <v>64556.600000000006</v>
      </c>
      <c r="G11" s="250">
        <v>-40599.699999999997</v>
      </c>
      <c r="H11" s="250">
        <v>582.6</v>
      </c>
      <c r="I11" s="250">
        <v>22769.799999999996</v>
      </c>
      <c r="J11" s="250">
        <v>-22187.200000000001</v>
      </c>
      <c r="K11" s="250">
        <v>594.6</v>
      </c>
      <c r="L11" s="250">
        <v>122888.8</v>
      </c>
      <c r="M11" s="250">
        <v>123483.4</v>
      </c>
      <c r="N11" s="250">
        <v>14525.500000000015</v>
      </c>
      <c r="O11" s="280" t="s">
        <v>1033</v>
      </c>
      <c r="P11" s="250">
        <v>4024.8999999999996</v>
      </c>
      <c r="Q11" s="250">
        <v>-14216.999999999998</v>
      </c>
      <c r="R11" s="250">
        <v>-4157.5</v>
      </c>
      <c r="S11" s="250">
        <v>-3579.9999999999991</v>
      </c>
      <c r="T11" s="250">
        <v>33041</v>
      </c>
      <c r="U11" s="250">
        <v>11086.5</v>
      </c>
      <c r="V11" s="250">
        <v>-7463.9000000000133</v>
      </c>
    </row>
    <row r="12" spans="1:22" s="152" customFormat="1" ht="11.1" customHeight="1">
      <c r="A12" s="1278" t="s">
        <v>1154</v>
      </c>
      <c r="B12" s="211">
        <v>261822.6</v>
      </c>
      <c r="C12" s="211">
        <v>303951.89999999997</v>
      </c>
      <c r="D12" s="211">
        <v>-42129.299999999996</v>
      </c>
      <c r="E12" s="211">
        <v>27156.699999999997</v>
      </c>
      <c r="F12" s="211">
        <v>57509.7</v>
      </c>
      <c r="G12" s="211">
        <v>-30353</v>
      </c>
      <c r="H12" s="211">
        <v>1200.1000000000001</v>
      </c>
      <c r="I12" s="211">
        <v>20802</v>
      </c>
      <c r="J12" s="211">
        <v>-19601.899999999998</v>
      </c>
      <c r="K12" s="211">
        <v>532.1</v>
      </c>
      <c r="L12" s="211">
        <v>119572.5</v>
      </c>
      <c r="M12" s="211">
        <v>120104.59999999999</v>
      </c>
      <c r="N12" s="211">
        <v>28020.399999999994</v>
      </c>
      <c r="O12" s="1278" t="s">
        <v>1154</v>
      </c>
      <c r="P12" s="211">
        <v>3748.4</v>
      </c>
      <c r="Q12" s="211">
        <v>-15496</v>
      </c>
      <c r="R12" s="211">
        <v>3977.3</v>
      </c>
      <c r="S12" s="211">
        <v>-13250.5</v>
      </c>
      <c r="T12" s="211">
        <v>42962.3</v>
      </c>
      <c r="U12" s="211">
        <v>18193.099999999999</v>
      </c>
      <c r="V12" s="211">
        <v>-13575.699999999997</v>
      </c>
    </row>
    <row r="13" spans="1:22" s="153" customFormat="1" ht="11.1" customHeight="1">
      <c r="A13" s="280" t="s">
        <v>1178</v>
      </c>
      <c r="B13" s="250">
        <v>269251.7</v>
      </c>
      <c r="C13" s="250">
        <v>334930</v>
      </c>
      <c r="D13" s="250">
        <v>-65678.300000000017</v>
      </c>
      <c r="E13" s="250">
        <v>28718.6</v>
      </c>
      <c r="F13" s="250">
        <v>64385.600000000006</v>
      </c>
      <c r="G13" s="250">
        <v>-35667.000000000007</v>
      </c>
      <c r="H13" s="250">
        <v>812.4</v>
      </c>
      <c r="I13" s="250">
        <v>21662.2</v>
      </c>
      <c r="J13" s="250">
        <v>-20849.8</v>
      </c>
      <c r="K13" s="250">
        <v>343.8</v>
      </c>
      <c r="L13" s="250">
        <v>105172.20000000001</v>
      </c>
      <c r="M13" s="250">
        <v>105516</v>
      </c>
      <c r="N13" s="250">
        <v>-16679.10000000002</v>
      </c>
      <c r="O13" s="280" t="s">
        <v>1178</v>
      </c>
      <c r="P13" s="250">
        <v>2486.3999999999996</v>
      </c>
      <c r="Q13" s="250">
        <v>-18863.099999999999</v>
      </c>
      <c r="R13" s="250">
        <v>-1288.7</v>
      </c>
      <c r="S13" s="250">
        <v>-27292</v>
      </c>
      <c r="T13" s="250">
        <v>26394.400000000001</v>
      </c>
      <c r="U13" s="250">
        <v>-21049.4</v>
      </c>
      <c r="V13" s="250">
        <v>-6856.6999999999807</v>
      </c>
    </row>
    <row r="14" spans="1:22" s="153" customFormat="1" ht="11.1" customHeight="1">
      <c r="A14" s="1278" t="s">
        <v>1298</v>
      </c>
      <c r="B14" s="211">
        <v>297456.2</v>
      </c>
      <c r="C14" s="211">
        <v>447422.4</v>
      </c>
      <c r="D14" s="211">
        <v>-149966.20000000001</v>
      </c>
      <c r="E14" s="211">
        <v>37062.899999999994</v>
      </c>
      <c r="F14" s="211">
        <v>76200.299999999988</v>
      </c>
      <c r="G14" s="211">
        <v>-39137.399999999994</v>
      </c>
      <c r="H14" s="211">
        <v>1035.0999999999999</v>
      </c>
      <c r="I14" s="211">
        <v>18647.8</v>
      </c>
      <c r="J14" s="211">
        <v>-17612.7</v>
      </c>
      <c r="K14" s="211">
        <v>397.6</v>
      </c>
      <c r="L14" s="211">
        <v>126970.9</v>
      </c>
      <c r="M14" s="211">
        <v>127368.5</v>
      </c>
      <c r="N14" s="211">
        <v>-79347.799999999988</v>
      </c>
      <c r="O14" s="1278" t="s">
        <v>1298</v>
      </c>
      <c r="P14" s="211">
        <v>2398.6999999999998</v>
      </c>
      <c r="Q14" s="211">
        <v>-14874.099999999999</v>
      </c>
      <c r="R14" s="211">
        <v>664.4</v>
      </c>
      <c r="S14" s="211">
        <v>-59732.399999999994</v>
      </c>
      <c r="T14" s="211">
        <v>-6402.3</v>
      </c>
      <c r="U14" s="211">
        <v>-80344.399999999994</v>
      </c>
      <c r="V14" s="211">
        <v>-3395.299999999992</v>
      </c>
    </row>
    <row r="15" spans="1:22" s="153" customFormat="1" ht="11.1" customHeight="1">
      <c r="A15" s="280" t="s">
        <v>1407</v>
      </c>
      <c r="B15" s="733">
        <v>335633.30000000005</v>
      </c>
      <c r="C15" s="733">
        <v>465793.29999999993</v>
      </c>
      <c r="D15" s="249">
        <v>-130160</v>
      </c>
      <c r="E15" s="249">
        <v>50849.100000000006</v>
      </c>
      <c r="F15" s="249">
        <v>79728</v>
      </c>
      <c r="G15" s="249">
        <v>-28878.899999999994</v>
      </c>
      <c r="H15" s="249">
        <v>3522.7999999999997</v>
      </c>
      <c r="I15" s="249">
        <v>20633.8</v>
      </c>
      <c r="J15" s="249">
        <v>-17111</v>
      </c>
      <c r="K15" s="249">
        <v>195</v>
      </c>
      <c r="L15" s="249">
        <v>142465.79999999999</v>
      </c>
      <c r="M15" s="249">
        <v>142660.79999999999</v>
      </c>
      <c r="N15" s="249">
        <v>-33489.099999999984</v>
      </c>
      <c r="O15" s="280" t="s">
        <v>1407</v>
      </c>
      <c r="P15" s="733">
        <v>1955.5</v>
      </c>
      <c r="Q15" s="733">
        <v>-22072.3</v>
      </c>
      <c r="R15" s="733">
        <v>1609.1999999999998</v>
      </c>
      <c r="S15" s="733">
        <v>-20294.7</v>
      </c>
      <c r="T15" s="733">
        <v>-831.5</v>
      </c>
      <c r="U15" s="733">
        <v>-41589.300000000003</v>
      </c>
      <c r="V15" s="733">
        <v>-10055.700000000017</v>
      </c>
    </row>
    <row r="16" spans="1:22" s="153" customFormat="1" ht="11.1" customHeight="1">
      <c r="A16" s="1253" t="s">
        <v>1487</v>
      </c>
      <c r="B16" s="787">
        <v>280337.59999999998</v>
      </c>
      <c r="C16" s="843">
        <v>429749</v>
      </c>
      <c r="D16" s="787">
        <v>-149411.4</v>
      </c>
      <c r="E16" s="787">
        <v>50747.8</v>
      </c>
      <c r="F16" s="787">
        <v>72093.8</v>
      </c>
      <c r="G16" s="843">
        <v>-21346</v>
      </c>
      <c r="H16" s="787">
        <v>1853.9</v>
      </c>
      <c r="I16" s="843">
        <v>23355</v>
      </c>
      <c r="J16" s="787">
        <v>-21501.1</v>
      </c>
      <c r="K16" s="787">
        <v>163.69999999999999</v>
      </c>
      <c r="L16" s="787">
        <v>158938.59999999998</v>
      </c>
      <c r="M16" s="787">
        <v>159102.29999999999</v>
      </c>
      <c r="N16" s="787">
        <v>-33156.19999999999</v>
      </c>
      <c r="O16" s="1253" t="s">
        <v>1487</v>
      </c>
      <c r="P16" s="787">
        <v>2174.1999999999998</v>
      </c>
      <c r="Q16" s="787">
        <v>-10783.7</v>
      </c>
      <c r="R16" s="787">
        <v>-124.90000000000002</v>
      </c>
      <c r="S16" s="787">
        <v>-55974.5</v>
      </c>
      <c r="T16" s="787">
        <v>27451.9</v>
      </c>
      <c r="U16" s="787">
        <v>-39431.200000000004</v>
      </c>
      <c r="V16" s="787">
        <v>-8449.2000000000135</v>
      </c>
    </row>
    <row r="17" spans="1:22" s="153" customFormat="1" ht="11.1" customHeight="1">
      <c r="A17" s="1563" t="s">
        <v>1539</v>
      </c>
      <c r="B17" s="780">
        <f>SUM(B18:B21)</f>
        <v>312956.5</v>
      </c>
      <c r="C17" s="779">
        <f t="shared" ref="C17:N17" si="2">SUM(C18:C21)</f>
        <v>514608.8</v>
      </c>
      <c r="D17" s="780">
        <f t="shared" si="2"/>
        <v>-201652.3</v>
      </c>
      <c r="E17" s="780">
        <f t="shared" si="2"/>
        <v>63459.3</v>
      </c>
      <c r="F17" s="780">
        <f t="shared" si="2"/>
        <v>87684</v>
      </c>
      <c r="G17" s="780">
        <f t="shared" si="2"/>
        <v>-24224.699999999997</v>
      </c>
      <c r="H17" s="780">
        <f t="shared" si="2"/>
        <v>2059.5</v>
      </c>
      <c r="I17" s="780">
        <f t="shared" si="2"/>
        <v>24609.199999999997</v>
      </c>
      <c r="J17" s="780">
        <f t="shared" si="2"/>
        <v>-22549.7</v>
      </c>
      <c r="K17" s="780">
        <f t="shared" si="2"/>
        <v>278.10000000000002</v>
      </c>
      <c r="L17" s="780">
        <f t="shared" si="2"/>
        <v>214737</v>
      </c>
      <c r="M17" s="780">
        <f t="shared" si="2"/>
        <v>215015.1</v>
      </c>
      <c r="N17" s="780">
        <f t="shared" si="2"/>
        <v>-33411.599999999977</v>
      </c>
      <c r="O17" s="1564" t="s">
        <v>1539</v>
      </c>
      <c r="P17" s="779">
        <f t="shared" ref="P17:V17" si="3">SUM(P18:P21)</f>
        <v>1872.6999999999998</v>
      </c>
      <c r="Q17" s="779">
        <f t="shared" si="3"/>
        <v>-11488.099999999999</v>
      </c>
      <c r="R17" s="779">
        <f t="shared" si="3"/>
        <v>2917.3</v>
      </c>
      <c r="S17" s="779">
        <f t="shared" si="3"/>
        <v>-107518.20000000001</v>
      </c>
      <c r="T17" s="779">
        <f t="shared" si="3"/>
        <v>84686.399999999994</v>
      </c>
      <c r="U17" s="779">
        <f t="shared" si="3"/>
        <v>-31402.6</v>
      </c>
      <c r="V17" s="779">
        <f t="shared" si="3"/>
        <v>136.29999999997744</v>
      </c>
    </row>
    <row r="18" spans="1:22" s="153" customFormat="1" ht="11.1" customHeight="1">
      <c r="A18" s="1278" t="s">
        <v>1290</v>
      </c>
      <c r="B18" s="211">
        <v>80550.8</v>
      </c>
      <c r="C18" s="211">
        <v>99540.1</v>
      </c>
      <c r="D18" s="211">
        <f t="shared" ref="D18:D21" si="4">B18-C18</f>
        <v>-18989.300000000003</v>
      </c>
      <c r="E18" s="211">
        <v>13721.9</v>
      </c>
      <c r="F18" s="211">
        <v>17991.400000000001</v>
      </c>
      <c r="G18" s="211">
        <f t="shared" ref="G18:G21" si="5">E18-F18</f>
        <v>-4269.5000000000018</v>
      </c>
      <c r="H18" s="211">
        <v>331.1</v>
      </c>
      <c r="I18" s="211">
        <v>6015.3</v>
      </c>
      <c r="J18" s="211">
        <f t="shared" ref="J18:J21" si="6">H18-I18</f>
        <v>-5684.2</v>
      </c>
      <c r="K18" s="211">
        <v>84.2</v>
      </c>
      <c r="L18" s="211">
        <v>57806.3</v>
      </c>
      <c r="M18" s="211">
        <f t="shared" ref="M18:M21" si="7">K18+L18</f>
        <v>57890.5</v>
      </c>
      <c r="N18" s="211">
        <f t="shared" ref="N18:N21" si="8">D18+G18+J18+M18</f>
        <v>28947.499999999996</v>
      </c>
      <c r="O18" s="1278" t="s">
        <v>1290</v>
      </c>
      <c r="P18" s="211">
        <v>427</v>
      </c>
      <c r="Q18" s="211">
        <v>-1927.4</v>
      </c>
      <c r="R18" s="211">
        <v>1444.8</v>
      </c>
      <c r="S18" s="211">
        <v>1940.9</v>
      </c>
      <c r="T18" s="211">
        <v>25437.5</v>
      </c>
      <c r="U18" s="211">
        <f t="shared" ref="U18:U21" si="9">Q18+R18+S18+T18</f>
        <v>26895.8</v>
      </c>
      <c r="V18" s="211">
        <f t="shared" ref="V18:V26" si="10">-(N18+P18-U18)</f>
        <v>-2478.6999999999971</v>
      </c>
    </row>
    <row r="19" spans="1:22" s="153" customFormat="1" ht="11.1" customHeight="1">
      <c r="A19" s="280" t="s">
        <v>1287</v>
      </c>
      <c r="B19" s="250">
        <v>75099.199999999997</v>
      </c>
      <c r="C19" s="250">
        <v>114396.9</v>
      </c>
      <c r="D19" s="250">
        <f t="shared" si="4"/>
        <v>-39297.699999999997</v>
      </c>
      <c r="E19" s="250">
        <v>16939.2</v>
      </c>
      <c r="F19" s="250">
        <v>21315.599999999999</v>
      </c>
      <c r="G19" s="250">
        <f t="shared" si="5"/>
        <v>-4376.3999999999978</v>
      </c>
      <c r="H19" s="250">
        <v>326.3</v>
      </c>
      <c r="I19" s="250">
        <v>7389.7</v>
      </c>
      <c r="J19" s="250">
        <f t="shared" si="6"/>
        <v>-7063.4</v>
      </c>
      <c r="K19" s="250">
        <v>80.7</v>
      </c>
      <c r="L19" s="250">
        <v>54379.8</v>
      </c>
      <c r="M19" s="250">
        <f t="shared" si="7"/>
        <v>54460.5</v>
      </c>
      <c r="N19" s="250">
        <f t="shared" si="8"/>
        <v>3723.0000000000073</v>
      </c>
      <c r="O19" s="280" t="s">
        <v>1287</v>
      </c>
      <c r="P19" s="250">
        <v>306.5</v>
      </c>
      <c r="Q19" s="250">
        <v>-5128.8999999999996</v>
      </c>
      <c r="R19" s="250">
        <v>193.8</v>
      </c>
      <c r="S19" s="250">
        <v>-24670.7</v>
      </c>
      <c r="T19" s="250">
        <v>30175.1</v>
      </c>
      <c r="U19" s="250">
        <f t="shared" si="9"/>
        <v>569.29999999999927</v>
      </c>
      <c r="V19" s="250">
        <f t="shared" si="10"/>
        <v>-3460.200000000008</v>
      </c>
    </row>
    <row r="20" spans="1:22" s="153" customFormat="1" ht="11.1" customHeight="1">
      <c r="A20" s="1278" t="s">
        <v>1288</v>
      </c>
      <c r="B20" s="211">
        <v>77985.600000000006</v>
      </c>
      <c r="C20" s="211">
        <v>148745.5</v>
      </c>
      <c r="D20" s="211">
        <f t="shared" si="4"/>
        <v>-70759.899999999994</v>
      </c>
      <c r="E20" s="211">
        <v>15844</v>
      </c>
      <c r="F20" s="211">
        <v>23201</v>
      </c>
      <c r="G20" s="211">
        <f t="shared" si="5"/>
        <v>-7357</v>
      </c>
      <c r="H20" s="211">
        <v>653.70000000000005</v>
      </c>
      <c r="I20" s="211">
        <v>5000.6000000000004</v>
      </c>
      <c r="J20" s="211">
        <f t="shared" si="6"/>
        <v>-4346.9000000000005</v>
      </c>
      <c r="K20" s="211">
        <v>24.6</v>
      </c>
      <c r="L20" s="211">
        <v>48993.599999999999</v>
      </c>
      <c r="M20" s="211">
        <f t="shared" si="7"/>
        <v>49018.2</v>
      </c>
      <c r="N20" s="211">
        <f t="shared" si="8"/>
        <v>-33445.599999999991</v>
      </c>
      <c r="O20" s="1278" t="s">
        <v>1288</v>
      </c>
      <c r="P20" s="211">
        <v>327.3</v>
      </c>
      <c r="Q20" s="211">
        <v>-2625.9</v>
      </c>
      <c r="R20" s="211">
        <v>676.4</v>
      </c>
      <c r="S20" s="211">
        <v>-33571</v>
      </c>
      <c r="T20" s="211">
        <v>4726.8999999999996</v>
      </c>
      <c r="U20" s="211">
        <f t="shared" si="9"/>
        <v>-30793.599999999999</v>
      </c>
      <c r="V20" s="211">
        <f t="shared" si="10"/>
        <v>2324.6999999999898</v>
      </c>
    </row>
    <row r="21" spans="1:22" s="153" customFormat="1" ht="11.1" customHeight="1">
      <c r="A21" s="280" t="s">
        <v>1289</v>
      </c>
      <c r="B21" s="250">
        <v>79320.899999999994</v>
      </c>
      <c r="C21" s="250">
        <v>151926.29999999999</v>
      </c>
      <c r="D21" s="250">
        <f t="shared" si="4"/>
        <v>-72605.399999999994</v>
      </c>
      <c r="E21" s="250">
        <v>16954.2</v>
      </c>
      <c r="F21" s="250">
        <v>25176</v>
      </c>
      <c r="G21" s="250">
        <f t="shared" si="5"/>
        <v>-8221.7999999999993</v>
      </c>
      <c r="H21" s="250">
        <v>748.4</v>
      </c>
      <c r="I21" s="250">
        <v>6203.6</v>
      </c>
      <c r="J21" s="250">
        <f t="shared" si="6"/>
        <v>-5455.2000000000007</v>
      </c>
      <c r="K21" s="250">
        <v>88.6</v>
      </c>
      <c r="L21" s="250">
        <v>53557.3</v>
      </c>
      <c r="M21" s="250">
        <f t="shared" si="7"/>
        <v>53645.9</v>
      </c>
      <c r="N21" s="250">
        <f t="shared" si="8"/>
        <v>-32636.499999999993</v>
      </c>
      <c r="O21" s="280" t="s">
        <v>1289</v>
      </c>
      <c r="P21" s="250">
        <v>811.9</v>
      </c>
      <c r="Q21" s="250">
        <v>-1805.9</v>
      </c>
      <c r="R21" s="250">
        <v>602.29999999999995</v>
      </c>
      <c r="S21" s="250">
        <v>-51217.4</v>
      </c>
      <c r="T21" s="250">
        <v>24346.9</v>
      </c>
      <c r="U21" s="250">
        <f t="shared" si="9"/>
        <v>-28074.1</v>
      </c>
      <c r="V21" s="250">
        <f t="shared" si="10"/>
        <v>3750.4999999999927</v>
      </c>
    </row>
    <row r="22" spans="1:22" s="153" customFormat="1" ht="11.1" customHeight="1">
      <c r="A22" s="1253" t="s">
        <v>1810</v>
      </c>
      <c r="B22" s="843">
        <f>SUM(B23:B26)</f>
        <v>425479.5</v>
      </c>
      <c r="C22" s="787">
        <f t="shared" ref="C22:N22" si="11">SUM(C23:C26)</f>
        <v>712444.7</v>
      </c>
      <c r="D22" s="843">
        <f t="shared" si="11"/>
        <v>-286965.19999999995</v>
      </c>
      <c r="E22" s="843">
        <f t="shared" si="11"/>
        <v>86166</v>
      </c>
      <c r="F22" s="843">
        <f t="shared" si="11"/>
        <v>117554.3</v>
      </c>
      <c r="G22" s="843">
        <f t="shared" si="11"/>
        <v>-31388.300000000007</v>
      </c>
      <c r="H22" s="843">
        <f t="shared" si="11"/>
        <v>3226.7999999999997</v>
      </c>
      <c r="I22" s="843">
        <f t="shared" si="11"/>
        <v>26478.7</v>
      </c>
      <c r="J22" s="843">
        <f t="shared" si="11"/>
        <v>-23251.9</v>
      </c>
      <c r="K22" s="843">
        <f t="shared" si="11"/>
        <v>148.9</v>
      </c>
      <c r="L22" s="843">
        <f t="shared" si="11"/>
        <v>186953.8</v>
      </c>
      <c r="M22" s="843">
        <f t="shared" si="11"/>
        <v>187102.7</v>
      </c>
      <c r="N22" s="843">
        <f t="shared" si="11"/>
        <v>-154502.70000000001</v>
      </c>
      <c r="O22" s="1253" t="s">
        <v>1810</v>
      </c>
      <c r="P22" s="787">
        <f t="shared" ref="P22:V22" si="12">SUM(P23:P26)</f>
        <v>1669.8</v>
      </c>
      <c r="Q22" s="787">
        <f t="shared" si="12"/>
        <v>-15705.4</v>
      </c>
      <c r="R22" s="787">
        <f t="shared" si="12"/>
        <v>3088.3</v>
      </c>
      <c r="S22" s="787">
        <f t="shared" si="12"/>
        <v>-128038.5</v>
      </c>
      <c r="T22" s="787">
        <f t="shared" si="12"/>
        <v>-31690.5</v>
      </c>
      <c r="U22" s="787">
        <f t="shared" si="12"/>
        <v>-172346.1</v>
      </c>
      <c r="V22" s="787">
        <f t="shared" si="12"/>
        <v>-19513.200000000008</v>
      </c>
    </row>
    <row r="23" spans="1:22" s="153" customFormat="1" ht="11.1" customHeight="1">
      <c r="A23" s="280" t="s">
        <v>1290</v>
      </c>
      <c r="B23" s="250">
        <v>89664.6</v>
      </c>
      <c r="C23" s="250">
        <v>147272.4</v>
      </c>
      <c r="D23" s="250">
        <f t="shared" ref="D23:D54" si="13">B23-C23</f>
        <v>-57607.799999999988</v>
      </c>
      <c r="E23" s="250">
        <v>18439.400000000001</v>
      </c>
      <c r="F23" s="250">
        <v>23105.200000000001</v>
      </c>
      <c r="G23" s="250">
        <f t="shared" ref="G23:G26" si="14">E23-F23</f>
        <v>-4665.7999999999993</v>
      </c>
      <c r="H23" s="250">
        <v>846.7</v>
      </c>
      <c r="I23" s="250">
        <v>6387.1</v>
      </c>
      <c r="J23" s="250">
        <f t="shared" ref="J23:J26" si="15">H23-I23</f>
        <v>-5540.4000000000005</v>
      </c>
      <c r="K23" s="250">
        <v>59.4</v>
      </c>
      <c r="L23" s="250">
        <v>47187.6</v>
      </c>
      <c r="M23" s="250">
        <f t="shared" ref="M23:M26" si="16">K23+L23</f>
        <v>47247</v>
      </c>
      <c r="N23" s="250">
        <f t="shared" ref="N23:N26" si="17">D23+G23+J23+M23</f>
        <v>-20566.999999999985</v>
      </c>
      <c r="O23" s="280" t="s">
        <v>1290</v>
      </c>
      <c r="P23" s="250">
        <v>581.1</v>
      </c>
      <c r="Q23" s="250">
        <v>-3184.2</v>
      </c>
      <c r="R23" s="250">
        <v>817</v>
      </c>
      <c r="S23" s="250">
        <v>-24155</v>
      </c>
      <c r="T23" s="250">
        <v>-267.39999999999998</v>
      </c>
      <c r="U23" s="250">
        <f t="shared" ref="U23:U26" si="18">Q23+R23+S23+T23</f>
        <v>-26789.600000000002</v>
      </c>
      <c r="V23" s="250">
        <f t="shared" si="10"/>
        <v>-6803.7000000000153</v>
      </c>
    </row>
    <row r="24" spans="1:22" s="153" customFormat="1" ht="11.1" customHeight="1">
      <c r="A24" s="1278" t="s">
        <v>1287</v>
      </c>
      <c r="B24" s="211">
        <v>109026.4</v>
      </c>
      <c r="C24" s="211">
        <v>185613.8</v>
      </c>
      <c r="D24" s="211">
        <f t="shared" si="13"/>
        <v>-76587.399999999994</v>
      </c>
      <c r="E24" s="211">
        <v>22341.8</v>
      </c>
      <c r="F24" s="211">
        <v>30961.9</v>
      </c>
      <c r="G24" s="211">
        <f t="shared" si="14"/>
        <v>-8620.1000000000022</v>
      </c>
      <c r="H24" s="211">
        <v>603.79999999999995</v>
      </c>
      <c r="I24" s="211">
        <v>5996.4</v>
      </c>
      <c r="J24" s="211">
        <f t="shared" si="15"/>
        <v>-5392.5999999999995</v>
      </c>
      <c r="K24" s="211">
        <v>45.7</v>
      </c>
      <c r="L24" s="211">
        <v>42860.4</v>
      </c>
      <c r="M24" s="211">
        <f t="shared" si="16"/>
        <v>42906.1</v>
      </c>
      <c r="N24" s="211">
        <f t="shared" si="17"/>
        <v>-47694.000000000007</v>
      </c>
      <c r="O24" s="1278" t="s">
        <v>1287</v>
      </c>
      <c r="P24" s="211">
        <v>606.4</v>
      </c>
      <c r="Q24" s="211">
        <v>-6373.6</v>
      </c>
      <c r="R24" s="211">
        <v>570.1</v>
      </c>
      <c r="S24" s="211">
        <v>-40831.5</v>
      </c>
      <c r="T24" s="211">
        <v>-148</v>
      </c>
      <c r="U24" s="211">
        <f t="shared" si="18"/>
        <v>-46783</v>
      </c>
      <c r="V24" s="211">
        <f t="shared" si="10"/>
        <v>304.60000000000582</v>
      </c>
    </row>
    <row r="25" spans="1:22" s="153" customFormat="1" ht="11.1" customHeight="1">
      <c r="A25" s="280" t="s">
        <v>1288</v>
      </c>
      <c r="B25" s="250">
        <v>113777</v>
      </c>
      <c r="C25" s="250">
        <v>193965.9</v>
      </c>
      <c r="D25" s="250">
        <f t="shared" si="13"/>
        <v>-80188.899999999994</v>
      </c>
      <c r="E25" s="250">
        <v>21237.8</v>
      </c>
      <c r="F25" s="250">
        <v>29981.4</v>
      </c>
      <c r="G25" s="250">
        <f t="shared" si="14"/>
        <v>-8743.6000000000022</v>
      </c>
      <c r="H25" s="250">
        <v>909.2</v>
      </c>
      <c r="I25" s="250">
        <v>7264.9</v>
      </c>
      <c r="J25" s="250">
        <f t="shared" si="15"/>
        <v>-6355.7</v>
      </c>
      <c r="K25" s="250">
        <v>24</v>
      </c>
      <c r="L25" s="250">
        <v>44590.5</v>
      </c>
      <c r="M25" s="250">
        <f t="shared" si="16"/>
        <v>44614.5</v>
      </c>
      <c r="N25" s="250">
        <f t="shared" si="17"/>
        <v>-50673.7</v>
      </c>
      <c r="O25" s="280" t="s">
        <v>1288</v>
      </c>
      <c r="P25" s="250">
        <v>239.3</v>
      </c>
      <c r="Q25" s="250">
        <v>-4441.8999999999996</v>
      </c>
      <c r="R25" s="250">
        <v>590.70000000000005</v>
      </c>
      <c r="S25" s="250">
        <v>-33771.199999999997</v>
      </c>
      <c r="T25" s="250">
        <v>-16767.2</v>
      </c>
      <c r="U25" s="250">
        <f t="shared" si="18"/>
        <v>-54389.599999999991</v>
      </c>
      <c r="V25" s="250">
        <f t="shared" si="10"/>
        <v>-3955.1999999999971</v>
      </c>
    </row>
    <row r="26" spans="1:22" s="153" customFormat="1" ht="11.1" customHeight="1">
      <c r="A26" s="1278" t="s">
        <v>1289</v>
      </c>
      <c r="B26" s="211">
        <v>113011.5</v>
      </c>
      <c r="C26" s="211">
        <v>185592.6</v>
      </c>
      <c r="D26" s="211">
        <f t="shared" si="13"/>
        <v>-72581.100000000006</v>
      </c>
      <c r="E26" s="211">
        <v>24147</v>
      </c>
      <c r="F26" s="211">
        <v>33505.800000000003</v>
      </c>
      <c r="G26" s="211">
        <f t="shared" si="14"/>
        <v>-9358.8000000000029</v>
      </c>
      <c r="H26" s="211">
        <v>867.1</v>
      </c>
      <c r="I26" s="211">
        <v>6830.3</v>
      </c>
      <c r="J26" s="211">
        <f t="shared" si="15"/>
        <v>-5963.2</v>
      </c>
      <c r="K26" s="211">
        <v>19.8</v>
      </c>
      <c r="L26" s="211">
        <v>52315.3</v>
      </c>
      <c r="M26" s="211">
        <f t="shared" si="16"/>
        <v>52335.100000000006</v>
      </c>
      <c r="N26" s="211">
        <f t="shared" si="17"/>
        <v>-35568</v>
      </c>
      <c r="O26" s="1278" t="s">
        <v>1289</v>
      </c>
      <c r="P26" s="211">
        <v>243</v>
      </c>
      <c r="Q26" s="211">
        <v>-1705.7</v>
      </c>
      <c r="R26" s="211">
        <v>1110.5</v>
      </c>
      <c r="S26" s="211">
        <v>-29280.799999999999</v>
      </c>
      <c r="T26" s="211">
        <v>-14507.9</v>
      </c>
      <c r="U26" s="211">
        <f t="shared" si="18"/>
        <v>-44383.9</v>
      </c>
      <c r="V26" s="211">
        <f t="shared" si="10"/>
        <v>-9058.9000000000015</v>
      </c>
    </row>
    <row r="27" spans="1:22" s="153" customFormat="1" ht="11.1" customHeight="1">
      <c r="A27" s="1563" t="s">
        <v>2056</v>
      </c>
      <c r="B27" s="780">
        <f>SUM(B28:B31)</f>
        <v>430804.8</v>
      </c>
      <c r="C27" s="779">
        <f t="shared" ref="C27:N27" si="19">SUM(C28:C31)</f>
        <v>701529.2</v>
      </c>
      <c r="D27" s="780">
        <f t="shared" si="19"/>
        <v>-270724.39999999997</v>
      </c>
      <c r="E27" s="780">
        <f t="shared" si="19"/>
        <v>69705</v>
      </c>
      <c r="F27" s="780">
        <f t="shared" si="19"/>
        <v>95520.7</v>
      </c>
      <c r="G27" s="780">
        <f t="shared" si="19"/>
        <v>-25815.699999999997</v>
      </c>
      <c r="H27" s="780">
        <f t="shared" si="19"/>
        <v>4556.5</v>
      </c>
      <c r="I27" s="780">
        <f t="shared" si="19"/>
        <v>37921</v>
      </c>
      <c r="J27" s="780">
        <f t="shared" si="19"/>
        <v>-33364.5</v>
      </c>
      <c r="K27" s="780">
        <f t="shared" si="19"/>
        <v>934.4</v>
      </c>
      <c r="L27" s="780">
        <f t="shared" si="19"/>
        <v>220411.5</v>
      </c>
      <c r="M27" s="780">
        <f t="shared" si="19"/>
        <v>221345.9</v>
      </c>
      <c r="N27" s="780">
        <f t="shared" si="19"/>
        <v>-108558.69999999998</v>
      </c>
      <c r="O27" s="1563" t="s">
        <v>2056</v>
      </c>
      <c r="P27" s="779">
        <f t="shared" ref="P27:V27" si="20">SUM(P28:P31)</f>
        <v>5028.2</v>
      </c>
      <c r="Q27" s="779">
        <f t="shared" si="20"/>
        <v>-15783.8</v>
      </c>
      <c r="R27" s="779">
        <f t="shared" si="20"/>
        <v>2588.1999999999998</v>
      </c>
      <c r="S27" s="779">
        <f t="shared" si="20"/>
        <v>-53242.5</v>
      </c>
      <c r="T27" s="779">
        <f t="shared" si="20"/>
        <v>-81950.299999999988</v>
      </c>
      <c r="U27" s="779">
        <f t="shared" si="20"/>
        <v>-148388.40000000002</v>
      </c>
      <c r="V27" s="779">
        <f t="shared" si="20"/>
        <v>-44857.900000000038</v>
      </c>
    </row>
    <row r="28" spans="1:22" s="1157" customFormat="1" ht="11.1" customHeight="1">
      <c r="A28" s="1278" t="s">
        <v>1290</v>
      </c>
      <c r="B28" s="211">
        <v>106024.1</v>
      </c>
      <c r="C28" s="211">
        <v>184235.1</v>
      </c>
      <c r="D28" s="211">
        <f t="shared" si="13"/>
        <v>-78211</v>
      </c>
      <c r="E28" s="211">
        <v>18099.3</v>
      </c>
      <c r="F28" s="211">
        <v>24790.6</v>
      </c>
      <c r="G28" s="211">
        <f t="shared" ref="G28:G31" si="21">E28-F28</f>
        <v>-6691.2999999999993</v>
      </c>
      <c r="H28" s="211">
        <v>1004.8</v>
      </c>
      <c r="I28" s="211">
        <v>7625.3</v>
      </c>
      <c r="J28" s="211">
        <f t="shared" ref="J28:J31" si="22">H28-I28</f>
        <v>-6620.5</v>
      </c>
      <c r="K28" s="211">
        <v>145.4</v>
      </c>
      <c r="L28" s="211">
        <v>54880.800000000003</v>
      </c>
      <c r="M28" s="211">
        <f t="shared" ref="M28:M31" si="23">K28+L28</f>
        <v>55026.200000000004</v>
      </c>
      <c r="N28" s="211">
        <f t="shared" ref="N28:N31" si="24">D28+G28+J28+M28</f>
        <v>-36496.6</v>
      </c>
      <c r="O28" s="1278" t="s">
        <v>1290</v>
      </c>
      <c r="P28" s="211">
        <v>344.4</v>
      </c>
      <c r="Q28" s="211">
        <v>-4664.8</v>
      </c>
      <c r="R28" s="211">
        <v>556.9</v>
      </c>
      <c r="S28" s="211">
        <v>3612.5</v>
      </c>
      <c r="T28" s="211">
        <v>-43937.3</v>
      </c>
      <c r="U28" s="211">
        <f t="shared" ref="U28:U31" si="25">Q28+R28+S28+T28</f>
        <v>-44432.700000000004</v>
      </c>
      <c r="V28" s="211">
        <f t="shared" ref="V28:V31" si="26">-(N28+P28-U28)</f>
        <v>-8280.5000000000073</v>
      </c>
    </row>
    <row r="29" spans="1:22" s="153" customFormat="1" ht="11.1" customHeight="1">
      <c r="A29" s="280" t="s">
        <v>1287</v>
      </c>
      <c r="B29" s="250">
        <v>111127.8</v>
      </c>
      <c r="C29" s="250">
        <v>185540.5</v>
      </c>
      <c r="D29" s="250">
        <f t="shared" si="13"/>
        <v>-74412.7</v>
      </c>
      <c r="E29" s="250">
        <v>18472.3</v>
      </c>
      <c r="F29" s="250">
        <v>23245.3</v>
      </c>
      <c r="G29" s="250">
        <f t="shared" si="21"/>
        <v>-4773</v>
      </c>
      <c r="H29" s="250">
        <v>1155.9000000000001</v>
      </c>
      <c r="I29" s="250">
        <v>7758.2</v>
      </c>
      <c r="J29" s="250">
        <f t="shared" si="22"/>
        <v>-6602.2999999999993</v>
      </c>
      <c r="K29" s="250">
        <v>229.1</v>
      </c>
      <c r="L29" s="250">
        <v>48728.9</v>
      </c>
      <c r="M29" s="250">
        <f t="shared" si="23"/>
        <v>48958</v>
      </c>
      <c r="N29" s="250">
        <f t="shared" si="24"/>
        <v>-36830</v>
      </c>
      <c r="O29" s="280" t="s">
        <v>1287</v>
      </c>
      <c r="P29" s="250">
        <v>1347.6</v>
      </c>
      <c r="Q29" s="250">
        <v>-3596.8</v>
      </c>
      <c r="R29" s="250">
        <v>686.7</v>
      </c>
      <c r="S29" s="250">
        <v>-17646</v>
      </c>
      <c r="T29" s="250">
        <v>-26620.2</v>
      </c>
      <c r="U29" s="250">
        <f t="shared" si="25"/>
        <v>-47176.3</v>
      </c>
      <c r="V29" s="250">
        <f t="shared" si="26"/>
        <v>-11693.900000000001</v>
      </c>
    </row>
    <row r="30" spans="1:22" s="153" customFormat="1" ht="11.1" customHeight="1">
      <c r="A30" s="1278" t="s">
        <v>1288</v>
      </c>
      <c r="B30" s="211">
        <v>107051.6</v>
      </c>
      <c r="C30" s="211">
        <v>165165.29999999999</v>
      </c>
      <c r="D30" s="211">
        <f t="shared" si="13"/>
        <v>-58113.699999999983</v>
      </c>
      <c r="E30" s="211">
        <v>16162.1</v>
      </c>
      <c r="F30" s="211">
        <v>21245.599999999999</v>
      </c>
      <c r="G30" s="211">
        <f t="shared" si="21"/>
        <v>-5083.4999999999982</v>
      </c>
      <c r="H30" s="211">
        <v>1128.0999999999999</v>
      </c>
      <c r="I30" s="211">
        <v>9032.7000000000007</v>
      </c>
      <c r="J30" s="211">
        <f t="shared" si="22"/>
        <v>-7904.6</v>
      </c>
      <c r="K30" s="211">
        <v>232.9</v>
      </c>
      <c r="L30" s="211">
        <v>56976.4</v>
      </c>
      <c r="M30" s="211">
        <f t="shared" si="23"/>
        <v>57209.3</v>
      </c>
      <c r="N30" s="211">
        <f t="shared" si="24"/>
        <v>-13892.499999999985</v>
      </c>
      <c r="O30" s="1278" t="s">
        <v>1288</v>
      </c>
      <c r="P30" s="211">
        <v>1229.2</v>
      </c>
      <c r="Q30" s="211">
        <v>-3165.5</v>
      </c>
      <c r="R30" s="211">
        <v>796.7</v>
      </c>
      <c r="S30" s="211">
        <v>98.4</v>
      </c>
      <c r="T30" s="211">
        <v>-20936.400000000001</v>
      </c>
      <c r="U30" s="211">
        <f t="shared" si="25"/>
        <v>-23206.800000000003</v>
      </c>
      <c r="V30" s="211">
        <f t="shared" si="26"/>
        <v>-10543.500000000018</v>
      </c>
    </row>
    <row r="31" spans="1:22" s="153" customFormat="1" ht="11.1" customHeight="1">
      <c r="A31" s="280" t="s">
        <v>1289</v>
      </c>
      <c r="B31" s="250">
        <v>106601.3</v>
      </c>
      <c r="C31" s="250">
        <v>166588.29999999999</v>
      </c>
      <c r="D31" s="250">
        <f t="shared" si="13"/>
        <v>-59986.999999999985</v>
      </c>
      <c r="E31" s="250">
        <v>16971.3</v>
      </c>
      <c r="F31" s="250">
        <v>26239.200000000001</v>
      </c>
      <c r="G31" s="250">
        <f t="shared" si="21"/>
        <v>-9267.9000000000015</v>
      </c>
      <c r="H31" s="250">
        <v>1267.7</v>
      </c>
      <c r="I31" s="250">
        <v>13504.8</v>
      </c>
      <c r="J31" s="250">
        <f t="shared" si="22"/>
        <v>-12237.099999999999</v>
      </c>
      <c r="K31" s="250">
        <v>327</v>
      </c>
      <c r="L31" s="250">
        <v>59825.4</v>
      </c>
      <c r="M31" s="250">
        <f t="shared" si="23"/>
        <v>60152.4</v>
      </c>
      <c r="N31" s="250">
        <f t="shared" si="24"/>
        <v>-21339.599999999999</v>
      </c>
      <c r="O31" s="280" t="s">
        <v>1289</v>
      </c>
      <c r="P31" s="250">
        <v>2107</v>
      </c>
      <c r="Q31" s="250">
        <v>-4356.7</v>
      </c>
      <c r="R31" s="250">
        <v>547.9</v>
      </c>
      <c r="S31" s="250">
        <v>-39307.4</v>
      </c>
      <c r="T31" s="250">
        <v>9543.6</v>
      </c>
      <c r="U31" s="250">
        <f t="shared" si="25"/>
        <v>-33572.600000000006</v>
      </c>
      <c r="V31" s="250">
        <f t="shared" si="26"/>
        <v>-14340.000000000007</v>
      </c>
    </row>
    <row r="32" spans="1:22" s="153" customFormat="1" ht="11.1" customHeight="1">
      <c r="A32" s="1253" t="s">
        <v>2188</v>
      </c>
      <c r="B32" s="843">
        <f>SUM(B33:B36)</f>
        <v>453354.80000000005</v>
      </c>
      <c r="C32" s="787">
        <f t="shared" ref="C32:N32" si="27">SUM(C33:C36)</f>
        <v>702677.4</v>
      </c>
      <c r="D32" s="843">
        <f t="shared" si="27"/>
        <v>-249322.60000000003</v>
      </c>
      <c r="E32" s="843">
        <f t="shared" si="27"/>
        <v>69982.200000000012</v>
      </c>
      <c r="F32" s="843">
        <f t="shared" si="27"/>
        <v>113747.00000000001</v>
      </c>
      <c r="G32" s="843">
        <f t="shared" si="27"/>
        <v>-43764.800000000003</v>
      </c>
      <c r="H32" s="843">
        <f t="shared" si="27"/>
        <v>24237.100000000002</v>
      </c>
      <c r="I32" s="843">
        <f t="shared" si="27"/>
        <v>72238.5</v>
      </c>
      <c r="J32" s="843">
        <f t="shared" si="27"/>
        <v>-48001.399999999994</v>
      </c>
      <c r="K32" s="843">
        <f t="shared" si="27"/>
        <v>958.2</v>
      </c>
      <c r="L32" s="843">
        <f t="shared" si="27"/>
        <v>270249.2</v>
      </c>
      <c r="M32" s="843">
        <f t="shared" si="27"/>
        <v>271207.40000000002</v>
      </c>
      <c r="N32" s="843">
        <f t="shared" si="27"/>
        <v>-69881.400000000052</v>
      </c>
      <c r="O32" s="1253" t="s">
        <v>2188</v>
      </c>
      <c r="P32" s="787">
        <f t="shared" ref="P32:V32" si="28">SUM(P33:P36)</f>
        <v>8229.7999999999993</v>
      </c>
      <c r="Q32" s="787">
        <f t="shared" si="28"/>
        <v>-15714.5</v>
      </c>
      <c r="R32" s="787">
        <f t="shared" si="28"/>
        <v>4085.2000000000003</v>
      </c>
      <c r="S32" s="787">
        <f t="shared" si="28"/>
        <v>-58671.199999999997</v>
      </c>
      <c r="T32" s="787">
        <f t="shared" si="28"/>
        <v>-29937.9</v>
      </c>
      <c r="U32" s="787">
        <f t="shared" si="28"/>
        <v>-100238.39999999999</v>
      </c>
      <c r="V32" s="787">
        <f t="shared" si="28"/>
        <v>-38586.799999999945</v>
      </c>
    </row>
    <row r="33" spans="1:24" s="153" customFormat="1" ht="11.1" customHeight="1">
      <c r="A33" s="1279" t="s">
        <v>1290</v>
      </c>
      <c r="B33" s="250">
        <v>109930.5</v>
      </c>
      <c r="C33" s="250">
        <v>164757.1</v>
      </c>
      <c r="D33" s="250">
        <f t="shared" si="13"/>
        <v>-54826.600000000006</v>
      </c>
      <c r="E33" s="250">
        <v>15940.8</v>
      </c>
      <c r="F33" s="250">
        <v>25681.5</v>
      </c>
      <c r="G33" s="250">
        <f t="shared" ref="G33:G36" si="29">E33-F33</f>
        <v>-9740.7000000000007</v>
      </c>
      <c r="H33" s="250">
        <v>4439.3</v>
      </c>
      <c r="I33" s="250">
        <v>14392.1</v>
      </c>
      <c r="J33" s="250">
        <f t="shared" ref="J33:J36" si="30">H33-I33</f>
        <v>-9952.7999999999993</v>
      </c>
      <c r="K33" s="250">
        <v>95.1</v>
      </c>
      <c r="L33" s="250">
        <v>54737.3</v>
      </c>
      <c r="M33" s="250">
        <f>K33+L33</f>
        <v>54832.4</v>
      </c>
      <c r="N33" s="250">
        <f t="shared" ref="N33:N36" si="31">D33+G33+J33+M33</f>
        <v>-19687.700000000004</v>
      </c>
      <c r="O33" s="280" t="s">
        <v>1290</v>
      </c>
      <c r="P33" s="250">
        <v>459.8</v>
      </c>
      <c r="Q33" s="250">
        <v>-3765.8</v>
      </c>
      <c r="R33" s="250">
        <v>897.2</v>
      </c>
      <c r="S33" s="250">
        <v>23350.400000000001</v>
      </c>
      <c r="T33" s="250">
        <v>-38430.5</v>
      </c>
      <c r="U33" s="250">
        <f t="shared" ref="U33:U36" si="32">Q33+R33+S33+T33</f>
        <v>-17948.699999999997</v>
      </c>
      <c r="V33" s="250">
        <f t="shared" ref="V33:V36" si="33">-(N33+P33-U33)</f>
        <v>1279.200000000008</v>
      </c>
    </row>
    <row r="34" spans="1:24" s="153" customFormat="1" ht="11.1" customHeight="1">
      <c r="A34" s="1557" t="s">
        <v>1287</v>
      </c>
      <c r="B34" s="211">
        <v>111230.39999999999</v>
      </c>
      <c r="C34" s="211">
        <v>179490</v>
      </c>
      <c r="D34" s="211">
        <f t="shared" si="13"/>
        <v>-68259.600000000006</v>
      </c>
      <c r="E34" s="211">
        <v>18470</v>
      </c>
      <c r="F34" s="211">
        <v>26594.799999999999</v>
      </c>
      <c r="G34" s="211">
        <f t="shared" si="29"/>
        <v>-8124.7999999999993</v>
      </c>
      <c r="H34" s="211">
        <v>6636.6</v>
      </c>
      <c r="I34" s="211">
        <v>18433.3</v>
      </c>
      <c r="J34" s="211">
        <f t="shared" si="30"/>
        <v>-11796.699999999999</v>
      </c>
      <c r="K34" s="211">
        <v>152.80000000000001</v>
      </c>
      <c r="L34" s="211">
        <v>66149.100000000006</v>
      </c>
      <c r="M34" s="211">
        <f t="shared" ref="M34:M36" si="34">K34+L34</f>
        <v>66301.900000000009</v>
      </c>
      <c r="N34" s="211">
        <f t="shared" si="31"/>
        <v>-21879.199999999997</v>
      </c>
      <c r="O34" s="1278" t="s">
        <v>1287</v>
      </c>
      <c r="P34" s="211">
        <v>1298.5</v>
      </c>
      <c r="Q34" s="211">
        <v>-4258.3</v>
      </c>
      <c r="R34" s="211">
        <v>1219.2</v>
      </c>
      <c r="S34" s="211">
        <v>-33193.699999999997</v>
      </c>
      <c r="T34" s="211">
        <v>6949.5</v>
      </c>
      <c r="U34" s="211">
        <f t="shared" si="32"/>
        <v>-29283.299999999996</v>
      </c>
      <c r="V34" s="211">
        <f t="shared" si="33"/>
        <v>-8702.5999999999985</v>
      </c>
    </row>
    <row r="35" spans="1:24" s="153" customFormat="1" ht="11.1" customHeight="1">
      <c r="A35" s="1279" t="s">
        <v>1288</v>
      </c>
      <c r="B35" s="250">
        <v>119122.3</v>
      </c>
      <c r="C35" s="250">
        <v>169390.2</v>
      </c>
      <c r="D35" s="250">
        <f t="shared" si="13"/>
        <v>-50267.900000000009</v>
      </c>
      <c r="E35" s="250">
        <v>16770.3</v>
      </c>
      <c r="F35" s="250">
        <v>28179.4</v>
      </c>
      <c r="G35" s="250">
        <f t="shared" si="29"/>
        <v>-11409.100000000002</v>
      </c>
      <c r="H35" s="250">
        <v>5771.9</v>
      </c>
      <c r="I35" s="250">
        <v>18575.5</v>
      </c>
      <c r="J35" s="250">
        <f t="shared" si="30"/>
        <v>-12803.6</v>
      </c>
      <c r="K35" s="250">
        <v>198.9</v>
      </c>
      <c r="L35" s="250">
        <v>69915</v>
      </c>
      <c r="M35" s="250">
        <f t="shared" si="34"/>
        <v>70113.899999999994</v>
      </c>
      <c r="N35" s="250">
        <f t="shared" si="31"/>
        <v>-4366.7000000000262</v>
      </c>
      <c r="O35" s="248" t="s">
        <v>1288</v>
      </c>
      <c r="P35" s="250">
        <v>1400.2</v>
      </c>
      <c r="Q35" s="250">
        <v>-4613.1000000000004</v>
      </c>
      <c r="R35" s="250">
        <v>757.4</v>
      </c>
      <c r="S35" s="250">
        <v>14170.2</v>
      </c>
      <c r="T35" s="250">
        <v>-19439.5</v>
      </c>
      <c r="U35" s="250">
        <f t="shared" si="32"/>
        <v>-9125</v>
      </c>
      <c r="V35" s="250">
        <f t="shared" si="33"/>
        <v>-6158.4999999999736</v>
      </c>
    </row>
    <row r="36" spans="1:24" s="153" customFormat="1" ht="11.1" customHeight="1">
      <c r="A36" s="1557" t="s">
        <v>1289</v>
      </c>
      <c r="B36" s="211">
        <v>113071.6</v>
      </c>
      <c r="C36" s="211">
        <v>189040.1</v>
      </c>
      <c r="D36" s="211">
        <f t="shared" si="13"/>
        <v>-75968.5</v>
      </c>
      <c r="E36" s="211">
        <v>18801.099999999999</v>
      </c>
      <c r="F36" s="211">
        <v>33291.300000000003</v>
      </c>
      <c r="G36" s="211">
        <f t="shared" si="29"/>
        <v>-14490.200000000004</v>
      </c>
      <c r="H36" s="211">
        <v>7389.3</v>
      </c>
      <c r="I36" s="211">
        <v>20837.599999999999</v>
      </c>
      <c r="J36" s="211">
        <f t="shared" si="30"/>
        <v>-13448.3</v>
      </c>
      <c r="K36" s="211">
        <v>511.4</v>
      </c>
      <c r="L36" s="211">
        <v>79447.8</v>
      </c>
      <c r="M36" s="211">
        <f t="shared" si="34"/>
        <v>79959.199999999997</v>
      </c>
      <c r="N36" s="211">
        <f t="shared" si="31"/>
        <v>-23947.800000000017</v>
      </c>
      <c r="O36" s="209" t="s">
        <v>1289</v>
      </c>
      <c r="P36" s="211">
        <v>5071.3</v>
      </c>
      <c r="Q36" s="211">
        <v>-3077.3</v>
      </c>
      <c r="R36" s="211">
        <v>1211.4000000000001</v>
      </c>
      <c r="S36" s="211">
        <v>-62998.1</v>
      </c>
      <c r="T36" s="211">
        <v>20982.6</v>
      </c>
      <c r="U36" s="211">
        <f t="shared" si="32"/>
        <v>-43881.4</v>
      </c>
      <c r="V36" s="211">
        <f t="shared" si="33"/>
        <v>-25004.899999999983</v>
      </c>
    </row>
    <row r="37" spans="1:24" s="152" customFormat="1" ht="11.1" customHeight="1">
      <c r="A37" s="1280" t="s">
        <v>2439</v>
      </c>
      <c r="B37" s="780">
        <f>SUM(B38:B41)</f>
        <v>531018.28666503984</v>
      </c>
      <c r="C37" s="780">
        <f t="shared" ref="C37:N37" si="35">SUM(C38:C41)</f>
        <v>777573.24072397314</v>
      </c>
      <c r="D37" s="780">
        <f t="shared" si="35"/>
        <v>-246554.95405893319</v>
      </c>
      <c r="E37" s="780">
        <f t="shared" si="35"/>
        <v>82038.008489550586</v>
      </c>
      <c r="F37" s="780">
        <f t="shared" si="35"/>
        <v>150852.49312879884</v>
      </c>
      <c r="G37" s="780">
        <f t="shared" si="35"/>
        <v>-68814.484639248258</v>
      </c>
      <c r="H37" s="780">
        <f t="shared" si="35"/>
        <v>30114.14741512918</v>
      </c>
      <c r="I37" s="780">
        <f t="shared" si="35"/>
        <v>91092.282164619683</v>
      </c>
      <c r="J37" s="780">
        <f t="shared" si="35"/>
        <v>-60978.134749490491</v>
      </c>
      <c r="K37" s="780">
        <f t="shared" si="35"/>
        <v>925.68276280804105</v>
      </c>
      <c r="L37" s="780">
        <f t="shared" si="35"/>
        <v>373910.62973566056</v>
      </c>
      <c r="M37" s="780">
        <f t="shared" si="35"/>
        <v>374836.31249846867</v>
      </c>
      <c r="N37" s="780">
        <f t="shared" si="35"/>
        <v>-1511.260949203308</v>
      </c>
      <c r="O37" s="1280" t="s">
        <v>2439</v>
      </c>
      <c r="P37" s="780">
        <f>SUM(P38:P41)</f>
        <v>4538.5635608938246</v>
      </c>
      <c r="Q37" s="780">
        <f t="shared" ref="Q37:V37" si="36">SUM(Q38:Q41)</f>
        <v>-20237.822216709996</v>
      </c>
      <c r="R37" s="780">
        <f t="shared" si="36"/>
        <v>1676.500297796297</v>
      </c>
      <c r="S37" s="780">
        <f t="shared" si="36"/>
        <v>-34343.327101948336</v>
      </c>
      <c r="T37" s="780">
        <f t="shared" si="36"/>
        <v>51524.445254032384</v>
      </c>
      <c r="U37" s="780">
        <f t="shared" si="36"/>
        <v>-1380.2037668296471</v>
      </c>
      <c r="V37" s="780">
        <f t="shared" si="36"/>
        <v>-4407.5063785201637</v>
      </c>
    </row>
    <row r="38" spans="1:24" s="152" customFormat="1" ht="11.1" customHeight="1">
      <c r="A38" s="209" t="s">
        <v>1290</v>
      </c>
      <c r="B38" s="211">
        <v>125428.46016364478</v>
      </c>
      <c r="C38" s="211">
        <v>180626.71573629213</v>
      </c>
      <c r="D38" s="211">
        <f t="shared" si="13"/>
        <v>-55198.255572647351</v>
      </c>
      <c r="E38" s="211">
        <v>19239.788496126752</v>
      </c>
      <c r="F38" s="211">
        <v>30707.316800353183</v>
      </c>
      <c r="G38" s="211">
        <f t="shared" ref="G38:G54" si="37">E38-F38</f>
        <v>-11467.528304226431</v>
      </c>
      <c r="H38" s="211">
        <v>8591.7693649844641</v>
      </c>
      <c r="I38" s="211">
        <v>21726.475923253907</v>
      </c>
      <c r="J38" s="211">
        <f t="shared" ref="J38:J54" si="38">H38-I38</f>
        <v>-13134.706558269443</v>
      </c>
      <c r="K38" s="211">
        <v>319.65691872222231</v>
      </c>
      <c r="L38" s="211">
        <v>79542.190111111151</v>
      </c>
      <c r="M38" s="211">
        <f t="shared" ref="M38:M47" si="39">K38+L38</f>
        <v>79861.84702983337</v>
      </c>
      <c r="N38" s="211">
        <f t="shared" ref="N38:N41" si="40">D38+G38+J38+M38</f>
        <v>61.356594690136262</v>
      </c>
      <c r="O38" s="209" t="s">
        <v>1290</v>
      </c>
      <c r="P38" s="211">
        <v>1855.4419201666685</v>
      </c>
      <c r="Q38" s="211">
        <v>-1351.3092935232999</v>
      </c>
      <c r="R38" s="211">
        <v>-60.721216360283144</v>
      </c>
      <c r="S38" s="211">
        <v>19728.93263502638</v>
      </c>
      <c r="T38" s="211">
        <v>-26970.1</v>
      </c>
      <c r="U38" s="211">
        <f t="shared" ref="U38:U41" si="41">Q38+R38+S38+T38</f>
        <v>-8653.1978748572001</v>
      </c>
      <c r="V38" s="211">
        <f t="shared" ref="V38:V40" si="42">-(N38+P38-U38)</f>
        <v>-10569.996389714004</v>
      </c>
      <c r="X38" s="660"/>
    </row>
    <row r="39" spans="1:24" s="152" customFormat="1" ht="11.1" customHeight="1">
      <c r="A39" s="248" t="s">
        <v>1287</v>
      </c>
      <c r="B39" s="250">
        <v>141255.98050922915</v>
      </c>
      <c r="C39" s="250">
        <v>202739.62837972998</v>
      </c>
      <c r="D39" s="250">
        <f t="shared" si="13"/>
        <v>-61483.647870500834</v>
      </c>
      <c r="E39" s="250">
        <v>22802.394217903449</v>
      </c>
      <c r="F39" s="250">
        <v>40249.104449589577</v>
      </c>
      <c r="G39" s="250">
        <f t="shared" si="37"/>
        <v>-17446.710231686127</v>
      </c>
      <c r="H39" s="250">
        <v>6548.5900221395332</v>
      </c>
      <c r="I39" s="250">
        <v>22790.344813892094</v>
      </c>
      <c r="J39" s="250">
        <f t="shared" si="38"/>
        <v>-16241.754791752561</v>
      </c>
      <c r="K39" s="250">
        <v>174.91909447303999</v>
      </c>
      <c r="L39" s="250">
        <v>88697.080727480003</v>
      </c>
      <c r="M39" s="250">
        <f t="shared" si="39"/>
        <v>88871.999821953039</v>
      </c>
      <c r="N39" s="250">
        <f t="shared" si="40"/>
        <v>-6300.1130719864886</v>
      </c>
      <c r="O39" s="248" t="s">
        <v>1287</v>
      </c>
      <c r="P39" s="250">
        <v>729.63939799896002</v>
      </c>
      <c r="Q39" s="250">
        <v>-5274.5657531866937</v>
      </c>
      <c r="R39" s="250">
        <v>688.89718733858012</v>
      </c>
      <c r="S39" s="250">
        <v>-21576.445229515095</v>
      </c>
      <c r="T39" s="250">
        <v>23002.2</v>
      </c>
      <c r="U39" s="250">
        <f t="shared" si="41"/>
        <v>-3159.9137953632089</v>
      </c>
      <c r="V39" s="250">
        <f t="shared" si="42"/>
        <v>2410.5598786243199</v>
      </c>
      <c r="X39" s="660"/>
    </row>
    <row r="40" spans="1:24" s="152" customFormat="1" ht="11.1" customHeight="1">
      <c r="A40" s="209" t="s">
        <v>1288</v>
      </c>
      <c r="B40" s="211">
        <v>140728.43881256157</v>
      </c>
      <c r="C40" s="211">
        <v>210041.00515928734</v>
      </c>
      <c r="D40" s="211">
        <f t="shared" si="13"/>
        <v>-69312.566346725769</v>
      </c>
      <c r="E40" s="211">
        <v>20021.898982570368</v>
      </c>
      <c r="F40" s="211">
        <v>38311.793705745527</v>
      </c>
      <c r="G40" s="211">
        <f t="shared" si="37"/>
        <v>-18289.894723175159</v>
      </c>
      <c r="H40" s="211">
        <v>7858.7627708444443</v>
      </c>
      <c r="I40" s="211">
        <v>24002.140330608381</v>
      </c>
      <c r="J40" s="211">
        <f t="shared" si="38"/>
        <v>-16143.377559763936</v>
      </c>
      <c r="K40" s="211">
        <v>167.47519925925926</v>
      </c>
      <c r="L40" s="211">
        <v>99199.379450242413</v>
      </c>
      <c r="M40" s="211">
        <f t="shared" si="39"/>
        <v>99366.854649501678</v>
      </c>
      <c r="N40" s="211">
        <f t="shared" si="40"/>
        <v>-4378.9839801631751</v>
      </c>
      <c r="O40" s="209" t="s">
        <v>1288</v>
      </c>
      <c r="P40" s="211">
        <v>604.17050444444453</v>
      </c>
      <c r="Q40" s="211">
        <v>-9303.3989679999995</v>
      </c>
      <c r="R40" s="211">
        <v>648.6794125614</v>
      </c>
      <c r="S40" s="211">
        <v>17113.102011604991</v>
      </c>
      <c r="T40" s="211">
        <v>-16726.389556607581</v>
      </c>
      <c r="U40" s="211">
        <f t="shared" si="41"/>
        <v>-8268.0071004411893</v>
      </c>
      <c r="V40" s="211">
        <f t="shared" si="42"/>
        <v>-4493.1936247224585</v>
      </c>
      <c r="X40" s="660"/>
    </row>
    <row r="41" spans="1:24" s="152" customFormat="1" ht="11.1" customHeight="1">
      <c r="A41" s="248" t="s">
        <v>1289</v>
      </c>
      <c r="B41" s="250">
        <v>123605.40717960437</v>
      </c>
      <c r="C41" s="250">
        <v>184165.89144866361</v>
      </c>
      <c r="D41" s="250">
        <f t="shared" si="13"/>
        <v>-60560.484269059234</v>
      </c>
      <c r="E41" s="250">
        <v>19973.926792950013</v>
      </c>
      <c r="F41" s="250">
        <v>41584.278173110557</v>
      </c>
      <c r="G41" s="250">
        <f t="shared" si="37"/>
        <v>-21610.351380160544</v>
      </c>
      <c r="H41" s="250">
        <v>7115.0252571607389</v>
      </c>
      <c r="I41" s="250">
        <v>22573.321096865293</v>
      </c>
      <c r="J41" s="250">
        <f t="shared" si="38"/>
        <v>-15458.295839704555</v>
      </c>
      <c r="K41" s="250">
        <v>263.63155035351951</v>
      </c>
      <c r="L41" s="250">
        <v>106471.97944682704</v>
      </c>
      <c r="M41" s="250">
        <f t="shared" si="39"/>
        <v>106735.61099718056</v>
      </c>
      <c r="N41" s="250">
        <f t="shared" si="40"/>
        <v>9106.4795082562196</v>
      </c>
      <c r="O41" s="248" t="s">
        <v>1289</v>
      </c>
      <c r="P41" s="250">
        <v>1349.3117382837522</v>
      </c>
      <c r="Q41" s="250">
        <v>-4308.5482019999999</v>
      </c>
      <c r="R41" s="250">
        <v>399.64491425659998</v>
      </c>
      <c r="S41" s="250">
        <v>-49608.916519064609</v>
      </c>
      <c r="T41" s="250">
        <v>72218.734810639959</v>
      </c>
      <c r="U41" s="250">
        <f t="shared" si="41"/>
        <v>18700.915003831949</v>
      </c>
      <c r="V41" s="250">
        <f>-(N41+P41-U41)</f>
        <v>8245.1237572919781</v>
      </c>
      <c r="X41" s="660"/>
    </row>
    <row r="42" spans="1:24" s="152" customFormat="1" ht="11.1" customHeight="1">
      <c r="A42" s="1429" t="s">
        <v>2664</v>
      </c>
      <c r="B42" s="843">
        <f>SUM(B43:B54)</f>
        <v>536303.53252122912</v>
      </c>
      <c r="C42" s="843">
        <f t="shared" ref="C42:N42" si="43">SUM(C43:C54)</f>
        <v>870094.49240494345</v>
      </c>
      <c r="D42" s="843">
        <f t="shared" si="43"/>
        <v>-333790.95988371421</v>
      </c>
      <c r="E42" s="843">
        <f t="shared" si="43"/>
        <v>86348.042936451631</v>
      </c>
      <c r="F42" s="843">
        <f t="shared" si="43"/>
        <v>156436.94163582625</v>
      </c>
      <c r="G42" s="843">
        <f t="shared" si="43"/>
        <v>-70088.898699374622</v>
      </c>
      <c r="H42" s="843">
        <f t="shared" si="43"/>
        <v>32251.624567673884</v>
      </c>
      <c r="I42" s="843">
        <f t="shared" si="43"/>
        <v>90690.80728760222</v>
      </c>
      <c r="J42" s="843">
        <f t="shared" si="43"/>
        <v>-58439.182719928343</v>
      </c>
      <c r="K42" s="843">
        <f t="shared" si="43"/>
        <v>806.01540664447282</v>
      </c>
      <c r="L42" s="843">
        <f t="shared" si="43"/>
        <v>442216.70634440053</v>
      </c>
      <c r="M42" s="843">
        <f t="shared" si="43"/>
        <v>443022.72175104503</v>
      </c>
      <c r="N42" s="843">
        <f t="shared" si="43"/>
        <v>-19296.319551972152</v>
      </c>
      <c r="O42" s="1429" t="s">
        <v>2664</v>
      </c>
      <c r="P42" s="843">
        <f>SUM(P43:P54)</f>
        <v>5736.3758028191332</v>
      </c>
      <c r="Q42" s="843">
        <f t="shared" ref="Q42:U42" si="44">SUM(Q43:Q54)</f>
        <v>-17913.6272235</v>
      </c>
      <c r="R42" s="843">
        <f t="shared" si="44"/>
        <v>2782.8320276947984</v>
      </c>
      <c r="S42" s="843">
        <f t="shared" si="44"/>
        <v>-77342.552122322493</v>
      </c>
      <c r="T42" s="843">
        <f t="shared" si="44"/>
        <v>74137.039615656045</v>
      </c>
      <c r="U42" s="843">
        <f t="shared" si="44"/>
        <v>-18336.307702471651</v>
      </c>
      <c r="V42" s="843">
        <f>SUM(V43:V54)</f>
        <v>-4776.3639533186333</v>
      </c>
      <c r="X42" s="660"/>
    </row>
    <row r="43" spans="1:24" s="152" customFormat="1" ht="11.1" customHeight="1">
      <c r="A43" s="248" t="s">
        <v>559</v>
      </c>
      <c r="B43" s="250">
        <v>53936.481963651851</v>
      </c>
      <c r="C43" s="250">
        <v>72340.425892198647</v>
      </c>
      <c r="D43" s="250">
        <f t="shared" si="13"/>
        <v>-18403.943928546796</v>
      </c>
      <c r="E43" s="250">
        <v>6602.1620968355564</v>
      </c>
      <c r="F43" s="250">
        <v>13020.025668926264</v>
      </c>
      <c r="G43" s="250">
        <f t="shared" si="37"/>
        <v>-6417.8635720907077</v>
      </c>
      <c r="H43" s="250">
        <v>2761.0387424446794</v>
      </c>
      <c r="I43" s="250">
        <v>7155.2254627768225</v>
      </c>
      <c r="J43" s="250">
        <f t="shared" si="38"/>
        <v>-4394.1867203321435</v>
      </c>
      <c r="K43" s="250">
        <v>-66.555211007279837</v>
      </c>
      <c r="L43" s="250">
        <v>30805.304566674567</v>
      </c>
      <c r="M43" s="250">
        <f t="shared" si="39"/>
        <v>30738.749355667289</v>
      </c>
      <c r="N43" s="250">
        <f>D43+G43+J43+M43</f>
        <v>1522.7551346976434</v>
      </c>
      <c r="O43" s="248" t="s">
        <v>559</v>
      </c>
      <c r="P43" s="250">
        <v>3.5162135777777861</v>
      </c>
      <c r="Q43" s="250">
        <v>-1482.5596035999995</v>
      </c>
      <c r="R43" s="250">
        <v>-143.8206740740747</v>
      </c>
      <c r="S43" s="250">
        <v>25980.731512039936</v>
      </c>
      <c r="T43" s="250">
        <v>-21906.261282787844</v>
      </c>
      <c r="U43" s="250">
        <f t="shared" ref="U43:U47" si="45">Q43+R43+S43+T43</f>
        <v>2448.0899515780184</v>
      </c>
      <c r="V43" s="250">
        <f>-(N43+P43-U43)</f>
        <v>921.81860330259724</v>
      </c>
      <c r="X43" s="660"/>
    </row>
    <row r="44" spans="1:24" s="152" customFormat="1" ht="11.1" customHeight="1">
      <c r="A44" s="209" t="s">
        <v>560</v>
      </c>
      <c r="B44" s="211">
        <v>42606.962495484593</v>
      </c>
      <c r="C44" s="211">
        <v>60288.767996517694</v>
      </c>
      <c r="D44" s="211">
        <f t="shared" si="13"/>
        <v>-17681.805501033101</v>
      </c>
      <c r="E44" s="211">
        <v>6401.4906235965727</v>
      </c>
      <c r="F44" s="211">
        <v>12457.720507685626</v>
      </c>
      <c r="G44" s="211">
        <f t="shared" si="37"/>
        <v>-6056.2298840890535</v>
      </c>
      <c r="H44" s="211">
        <v>2547.4668333333339</v>
      </c>
      <c r="I44" s="211">
        <v>7978.4488345759355</v>
      </c>
      <c r="J44" s="211">
        <f t="shared" si="38"/>
        <v>-5430.9820012426017</v>
      </c>
      <c r="K44" s="211">
        <v>7.4665112173077022</v>
      </c>
      <c r="L44" s="211">
        <v>30039.932956346187</v>
      </c>
      <c r="M44" s="211">
        <f t="shared" si="39"/>
        <v>30047.399467563493</v>
      </c>
      <c r="N44" s="211">
        <f>D44+G44+J44+M44</f>
        <v>878.38208119873525</v>
      </c>
      <c r="O44" s="209" t="s">
        <v>560</v>
      </c>
      <c r="P44" s="211">
        <v>100.40693474423088</v>
      </c>
      <c r="Q44" s="211">
        <v>-1482.5596035999995</v>
      </c>
      <c r="R44" s="211">
        <v>205.1335584544162</v>
      </c>
      <c r="S44" s="211">
        <v>-14015.368403279095</v>
      </c>
      <c r="T44" s="211">
        <v>15022.754707249303</v>
      </c>
      <c r="U44" s="211">
        <f t="shared" si="45"/>
        <v>-270.03974117537473</v>
      </c>
      <c r="V44" s="211">
        <f>-(N44+P44-U44)</f>
        <v>-1248.8287571183409</v>
      </c>
      <c r="X44" s="660"/>
    </row>
    <row r="45" spans="1:24" s="152" customFormat="1" ht="11.1" customHeight="1">
      <c r="A45" s="248" t="s">
        <v>554</v>
      </c>
      <c r="B45" s="250">
        <v>38481.908495329575</v>
      </c>
      <c r="C45" s="250">
        <v>72000.209363308953</v>
      </c>
      <c r="D45" s="250">
        <f t="shared" si="13"/>
        <v>-33518.300867979378</v>
      </c>
      <c r="E45" s="250">
        <v>7796.308323905314</v>
      </c>
      <c r="F45" s="250">
        <v>12025.399541758426</v>
      </c>
      <c r="G45" s="250">
        <f t="shared" si="37"/>
        <v>-4229.0912178531125</v>
      </c>
      <c r="H45" s="250">
        <v>2632.1769228076619</v>
      </c>
      <c r="I45" s="250">
        <v>10935.788030711554</v>
      </c>
      <c r="J45" s="250">
        <f t="shared" si="38"/>
        <v>-8303.6111079038928</v>
      </c>
      <c r="K45" s="250">
        <v>199.99191303928106</v>
      </c>
      <c r="L45" s="250">
        <v>33462.835591730669</v>
      </c>
      <c r="M45" s="250">
        <f t="shared" si="39"/>
        <v>33662.82750476995</v>
      </c>
      <c r="N45" s="250">
        <f t="shared" ref="N45:N48" si="46">D45+G45+J45+M45</f>
        <v>-12388.175688966432</v>
      </c>
      <c r="O45" s="248" t="s">
        <v>554</v>
      </c>
      <c r="P45" s="250">
        <v>1033.5816011206698</v>
      </c>
      <c r="Q45" s="250">
        <v>-1482.5596035999995</v>
      </c>
      <c r="R45" s="250">
        <v>490.32878062499969</v>
      </c>
      <c r="S45" s="250">
        <v>-15789.892441744543</v>
      </c>
      <c r="T45" s="250">
        <v>3105.9967736296358</v>
      </c>
      <c r="U45" s="250">
        <f t="shared" si="45"/>
        <v>-13676.126491089908</v>
      </c>
      <c r="V45" s="250">
        <f>-(N45+P45-U45)</f>
        <v>-2321.5324032441458</v>
      </c>
      <c r="X45" s="660"/>
    </row>
    <row r="46" spans="1:24" s="152" customFormat="1" ht="11.1" customHeight="1">
      <c r="A46" s="209" t="s">
        <v>561</v>
      </c>
      <c r="B46" s="211">
        <v>42138.959953703692</v>
      </c>
      <c r="C46" s="211">
        <v>64806.098072263609</v>
      </c>
      <c r="D46" s="211">
        <f t="shared" si="13"/>
        <v>-22667.138118559917</v>
      </c>
      <c r="E46" s="211">
        <v>6012.7556516194845</v>
      </c>
      <c r="F46" s="211">
        <v>13188.824418474256</v>
      </c>
      <c r="G46" s="211">
        <f t="shared" si="37"/>
        <v>-7176.0687668547716</v>
      </c>
      <c r="H46" s="211">
        <v>2656.2154007376662</v>
      </c>
      <c r="I46" s="211">
        <v>7571.9232572681767</v>
      </c>
      <c r="J46" s="211">
        <f t="shared" si="38"/>
        <v>-4915.707856530511</v>
      </c>
      <c r="K46" s="211">
        <v>-2.0606746487510685</v>
      </c>
      <c r="L46" s="211">
        <v>31823.104788518503</v>
      </c>
      <c r="M46" s="211">
        <f t="shared" si="39"/>
        <v>31821.044113869753</v>
      </c>
      <c r="N46" s="211">
        <f t="shared" si="46"/>
        <v>-2937.870628075445</v>
      </c>
      <c r="O46" s="209" t="s">
        <v>561</v>
      </c>
      <c r="P46" s="211">
        <v>14.058216789166664</v>
      </c>
      <c r="Q46" s="211">
        <v>-1097.9391529333334</v>
      </c>
      <c r="R46" s="211">
        <v>311.3962384259259</v>
      </c>
      <c r="S46" s="211">
        <v>-14655.245781642338</v>
      </c>
      <c r="T46" s="211">
        <v>11737.484706284478</v>
      </c>
      <c r="U46" s="211">
        <f t="shared" si="45"/>
        <v>-3704.303989865266</v>
      </c>
      <c r="V46" s="211">
        <f t="shared" ref="V46:V50" si="47">-(N46+P46-U46)</f>
        <v>-780.49157857898763</v>
      </c>
      <c r="X46" s="660"/>
    </row>
    <row r="47" spans="1:24" s="152" customFormat="1" ht="11.1" customHeight="1">
      <c r="A47" s="248" t="s">
        <v>562</v>
      </c>
      <c r="B47" s="250">
        <v>44592.655458567126</v>
      </c>
      <c r="C47" s="250">
        <v>67022.241407989743</v>
      </c>
      <c r="D47" s="250">
        <f t="shared" si="13"/>
        <v>-22429.585949422617</v>
      </c>
      <c r="E47" s="250">
        <v>7110.1187155095058</v>
      </c>
      <c r="F47" s="250">
        <v>12551.699134471768</v>
      </c>
      <c r="G47" s="250">
        <f t="shared" si="37"/>
        <v>-5441.5804189622622</v>
      </c>
      <c r="H47" s="250">
        <v>2948.0543540239978</v>
      </c>
      <c r="I47" s="250">
        <v>7827.7711965894023</v>
      </c>
      <c r="J47" s="250">
        <f t="shared" si="38"/>
        <v>-4879.7168425654045</v>
      </c>
      <c r="K47" s="250">
        <v>2.4364489760842756</v>
      </c>
      <c r="L47" s="250">
        <v>35898.745937</v>
      </c>
      <c r="M47" s="250">
        <f t="shared" si="39"/>
        <v>35901.182385976084</v>
      </c>
      <c r="N47" s="250">
        <f t="shared" si="46"/>
        <v>3150.2991750258007</v>
      </c>
      <c r="O47" s="248" t="s">
        <v>562</v>
      </c>
      <c r="P47" s="250">
        <v>60.726345360198934</v>
      </c>
      <c r="Q47" s="250">
        <v>-1097.9391529333334</v>
      </c>
      <c r="R47" s="250">
        <v>232.20062900000002</v>
      </c>
      <c r="S47" s="250">
        <v>20037.568544320853</v>
      </c>
      <c r="T47" s="250">
        <v>-15153.925444930986</v>
      </c>
      <c r="U47" s="250">
        <f t="shared" si="45"/>
        <v>4017.9045754565323</v>
      </c>
      <c r="V47" s="250">
        <f t="shared" si="47"/>
        <v>806.87905507053256</v>
      </c>
      <c r="X47" s="660"/>
    </row>
    <row r="48" spans="1:24" s="152" customFormat="1" ht="11.1" customHeight="1">
      <c r="A48" s="209" t="s">
        <v>555</v>
      </c>
      <c r="B48" s="211">
        <v>48140.976276011716</v>
      </c>
      <c r="C48" s="211">
        <v>74414.979215987012</v>
      </c>
      <c r="D48" s="211">
        <f t="shared" si="13"/>
        <v>-26274.002939975297</v>
      </c>
      <c r="E48" s="211">
        <v>7724.7928124093569</v>
      </c>
      <c r="F48" s="211">
        <v>15072.664235729495</v>
      </c>
      <c r="G48" s="211">
        <f t="shared" si="37"/>
        <v>-7347.8714233201381</v>
      </c>
      <c r="H48" s="211">
        <v>2951.4677885009905</v>
      </c>
      <c r="I48" s="211">
        <v>7258.045751908302</v>
      </c>
      <c r="J48" s="211">
        <f t="shared" si="38"/>
        <v>-4306.5779634073115</v>
      </c>
      <c r="K48" s="211">
        <v>263.45544288246629</v>
      </c>
      <c r="L48" s="211">
        <v>40125.454698703579</v>
      </c>
      <c r="M48" s="211">
        <f>K48+L48</f>
        <v>40388.910141586042</v>
      </c>
      <c r="N48" s="211">
        <f t="shared" si="46"/>
        <v>2460.4578148832952</v>
      </c>
      <c r="O48" s="209" t="s">
        <v>555</v>
      </c>
      <c r="P48" s="211">
        <v>1273.5545533378611</v>
      </c>
      <c r="Q48" s="211">
        <v>-1097.9391529333334</v>
      </c>
      <c r="R48" s="211">
        <v>171.22006481481452</v>
      </c>
      <c r="S48" s="211">
        <v>-13990.494954051068</v>
      </c>
      <c r="T48" s="211">
        <v>24853.766701172852</v>
      </c>
      <c r="U48" s="211">
        <f>Q48+R48+S48+T48</f>
        <v>9936.5526590032641</v>
      </c>
      <c r="V48" s="211">
        <f t="shared" si="47"/>
        <v>6202.5402907821081</v>
      </c>
      <c r="X48" s="660"/>
    </row>
    <row r="49" spans="1:27" s="152" customFormat="1" ht="11.1" customHeight="1">
      <c r="A49" s="248" t="s">
        <v>563</v>
      </c>
      <c r="B49" s="250">
        <v>48506.515056087868</v>
      </c>
      <c r="C49" s="250">
        <v>75131.742583665851</v>
      </c>
      <c r="D49" s="250">
        <f t="shared" si="13"/>
        <v>-26625.227527577983</v>
      </c>
      <c r="E49" s="250">
        <v>7606.3479429758618</v>
      </c>
      <c r="F49" s="250">
        <v>13116.091177645412</v>
      </c>
      <c r="G49" s="250">
        <f t="shared" si="37"/>
        <v>-5509.7432346695505</v>
      </c>
      <c r="H49" s="250">
        <v>2249.5482122094718</v>
      </c>
      <c r="I49" s="250">
        <v>6895.024489381316</v>
      </c>
      <c r="J49" s="250">
        <f t="shared" si="38"/>
        <v>-4645.4762771718442</v>
      </c>
      <c r="K49" s="250">
        <v>0.4500926805576233</v>
      </c>
      <c r="L49" s="250">
        <v>39218.215110576777</v>
      </c>
      <c r="M49" s="250">
        <f t="shared" ref="M49:M51" si="48">K49+L49</f>
        <v>39218.665203257333</v>
      </c>
      <c r="N49" s="250">
        <f t="shared" ref="N49:N54" si="49">(D49+G49+J49+M49)</f>
        <v>2438.2181638379552</v>
      </c>
      <c r="O49" s="248" t="s">
        <v>563</v>
      </c>
      <c r="P49" s="250">
        <v>12.600713661749058</v>
      </c>
      <c r="Q49" s="250">
        <v>-1871.3379897333332</v>
      </c>
      <c r="R49" s="250">
        <v>190.83332403846154</v>
      </c>
      <c r="S49" s="250">
        <v>14580.186372011212</v>
      </c>
      <c r="T49" s="250">
        <v>-5673.7291335456321</v>
      </c>
      <c r="U49" s="250">
        <f>(Q49+R49+S49+T49)</f>
        <v>7225.9525727707078</v>
      </c>
      <c r="V49" s="250">
        <f t="shared" si="47"/>
        <v>4775.1336952710035</v>
      </c>
      <c r="X49" s="660"/>
    </row>
    <row r="50" spans="1:27" s="152" customFormat="1" ht="11.1" customHeight="1">
      <c r="A50" s="209" t="s">
        <v>564</v>
      </c>
      <c r="B50" s="211">
        <v>38779.47746025239</v>
      </c>
      <c r="C50" s="211">
        <v>77052.425720880172</v>
      </c>
      <c r="D50" s="211">
        <f t="shared" si="13"/>
        <v>-38272.948260627782</v>
      </c>
      <c r="E50" s="211">
        <v>6460.3305078438298</v>
      </c>
      <c r="F50" s="211">
        <v>11457.393750717003</v>
      </c>
      <c r="G50" s="211">
        <f t="shared" si="37"/>
        <v>-4997.0632428731733</v>
      </c>
      <c r="H50" s="211">
        <v>2161.7938223429628</v>
      </c>
      <c r="I50" s="211">
        <v>5807.4386605760656</v>
      </c>
      <c r="J50" s="211">
        <f t="shared" si="38"/>
        <v>-3645.6448382331027</v>
      </c>
      <c r="K50" s="211">
        <v>-48.963175042867995</v>
      </c>
      <c r="L50" s="211">
        <v>37353.800062499999</v>
      </c>
      <c r="M50" s="211">
        <f t="shared" si="48"/>
        <v>37304.836887457132</v>
      </c>
      <c r="N50" s="211">
        <f t="shared" si="49"/>
        <v>-9610.8194542769197</v>
      </c>
      <c r="O50" s="209" t="s">
        <v>564</v>
      </c>
      <c r="P50" s="211">
        <v>246.68846281624411</v>
      </c>
      <c r="Q50" s="211">
        <v>-1871.3379897333332</v>
      </c>
      <c r="R50" s="211">
        <v>-343.65285999999998</v>
      </c>
      <c r="S50" s="211">
        <v>-32098.88732287789</v>
      </c>
      <c r="T50" s="211">
        <v>21861.25639057254</v>
      </c>
      <c r="U50" s="211">
        <f>(Q50+R50+S50+T50)</f>
        <v>-12452.621782038681</v>
      </c>
      <c r="V50" s="211">
        <f t="shared" si="47"/>
        <v>-3088.4907905780055</v>
      </c>
      <c r="X50" s="660"/>
    </row>
    <row r="51" spans="1:27" s="152" customFormat="1" ht="11.1" customHeight="1">
      <c r="A51" s="248" t="s">
        <v>556</v>
      </c>
      <c r="B51" s="250">
        <v>38274.690862724987</v>
      </c>
      <c r="C51" s="250">
        <v>66000.381862137074</v>
      </c>
      <c r="D51" s="250">
        <f t="shared" si="13"/>
        <v>-27725.690999412087</v>
      </c>
      <c r="E51" s="250">
        <v>7632.7373892556643</v>
      </c>
      <c r="F51" s="250">
        <v>13597.75134784637</v>
      </c>
      <c r="G51" s="250">
        <f t="shared" si="37"/>
        <v>-5965.0139585907054</v>
      </c>
      <c r="H51" s="250">
        <v>2378.4938781063588</v>
      </c>
      <c r="I51" s="250">
        <v>9528.7243810054388</v>
      </c>
      <c r="J51" s="250">
        <f t="shared" si="38"/>
        <v>-7150.2305028990795</v>
      </c>
      <c r="K51" s="250">
        <v>251.20398826607075</v>
      </c>
      <c r="L51" s="250">
        <v>46553.381468888721</v>
      </c>
      <c r="M51" s="250">
        <f t="shared" si="48"/>
        <v>46804.58545715479</v>
      </c>
      <c r="N51" s="250">
        <f t="shared" si="49"/>
        <v>5963.6499962529124</v>
      </c>
      <c r="O51" s="248" t="s">
        <v>556</v>
      </c>
      <c r="P51" s="250">
        <v>1207.5439317570449</v>
      </c>
      <c r="Q51" s="250">
        <v>-1871.3379897333332</v>
      </c>
      <c r="R51" s="250">
        <v>278.00979333333271</v>
      </c>
      <c r="S51" s="250">
        <v>14565.858161959162</v>
      </c>
      <c r="T51" s="250">
        <v>-5976.1485507007692</v>
      </c>
      <c r="U51" s="250">
        <f>(Q51+R51+S51+T51)</f>
        <v>6996.3814148583933</v>
      </c>
      <c r="V51" s="250">
        <f>(-(N51+P51-U51))</f>
        <v>-174.81251315156442</v>
      </c>
      <c r="X51" s="660"/>
    </row>
    <row r="52" spans="1:27" s="153" customFormat="1" ht="11.25" customHeight="1">
      <c r="A52" s="209" t="s">
        <v>565</v>
      </c>
      <c r="B52" s="211">
        <v>44458.937945043101</v>
      </c>
      <c r="C52" s="211">
        <v>81905.678052859119</v>
      </c>
      <c r="D52" s="211">
        <f t="shared" si="13"/>
        <v>-37446.740107816018</v>
      </c>
      <c r="E52" s="211">
        <v>7662.2785713839166</v>
      </c>
      <c r="F52" s="211">
        <v>13088.930862120218</v>
      </c>
      <c r="G52" s="211">
        <f t="shared" si="37"/>
        <v>-5426.6522907363014</v>
      </c>
      <c r="H52" s="211">
        <v>2934.6530482583207</v>
      </c>
      <c r="I52" s="211">
        <v>5243.0635202638496</v>
      </c>
      <c r="J52" s="211">
        <f t="shared" si="38"/>
        <v>-2308.4104720055288</v>
      </c>
      <c r="K52" s="211">
        <v>-2.6168067989426094</v>
      </c>
      <c r="L52" s="211">
        <v>38976.444307692429</v>
      </c>
      <c r="M52" s="211">
        <f t="shared" ref="M52:M54" si="50">K52+L52</f>
        <v>38973.827500893487</v>
      </c>
      <c r="N52" s="211">
        <f t="shared" si="49"/>
        <v>-6207.9753696643602</v>
      </c>
      <c r="O52" s="209" t="s">
        <v>565</v>
      </c>
      <c r="P52" s="211">
        <v>21.476438836944304</v>
      </c>
      <c r="Q52" s="211">
        <v>-1615.917394900001</v>
      </c>
      <c r="R52" s="211">
        <v>315.78629807692346</v>
      </c>
      <c r="S52" s="211">
        <v>-20457.039617221144</v>
      </c>
      <c r="T52" s="211">
        <v>11442.405459310859</v>
      </c>
      <c r="U52" s="211">
        <f t="shared" ref="U52:U54" si="51">(Q52+R52+S52+T52)</f>
        <v>-10314.765254733364</v>
      </c>
      <c r="V52" s="211">
        <f t="shared" ref="V52:V54" si="52">(-(N52+P52-U52))</f>
        <v>-4128.2663239059475</v>
      </c>
    </row>
    <row r="53" spans="1:27" s="153" customFormat="1">
      <c r="A53" s="248" t="s">
        <v>566</v>
      </c>
      <c r="B53" s="250">
        <v>49399.115963812699</v>
      </c>
      <c r="C53" s="250">
        <v>71160.906137477461</v>
      </c>
      <c r="D53" s="250">
        <f t="shared" si="13"/>
        <v>-21761.790173664762</v>
      </c>
      <c r="E53" s="250">
        <v>6811.2964999999995</v>
      </c>
      <c r="F53" s="250">
        <v>11191.708779645252</v>
      </c>
      <c r="G53" s="250">
        <f t="shared" si="37"/>
        <v>-4380.412279645253</v>
      </c>
      <c r="H53" s="250">
        <v>2810.0959833333332</v>
      </c>
      <c r="I53" s="250">
        <v>8057.3152443386989</v>
      </c>
      <c r="J53" s="250">
        <f t="shared" si="38"/>
        <v>-5247.2192610053662</v>
      </c>
      <c r="K53" s="250">
        <v>20.038506895250002</v>
      </c>
      <c r="L53" s="250">
        <v>42759.635300000009</v>
      </c>
      <c r="M53" s="250">
        <f t="shared" si="50"/>
        <v>42779.673806895262</v>
      </c>
      <c r="N53" s="250">
        <f t="shared" si="49"/>
        <v>11390.252092579882</v>
      </c>
      <c r="O53" s="248" t="s">
        <v>566</v>
      </c>
      <c r="P53" s="250">
        <v>504.82402017974999</v>
      </c>
      <c r="Q53" s="250">
        <v>-1351.0943949000007</v>
      </c>
      <c r="R53" s="250">
        <v>448.09624999999994</v>
      </c>
      <c r="S53" s="250">
        <v>16332.125076156057</v>
      </c>
      <c r="T53" s="250">
        <v>-7449.4494886561488</v>
      </c>
      <c r="U53" s="250">
        <f t="shared" si="51"/>
        <v>7979.6774425999074</v>
      </c>
      <c r="V53" s="250">
        <f t="shared" si="52"/>
        <v>-3915.398670159725</v>
      </c>
    </row>
    <row r="54" spans="1:27" s="153" customFormat="1" ht="12" thickBot="1">
      <c r="A54" s="1881" t="s">
        <v>557</v>
      </c>
      <c r="B54" s="1676">
        <v>46986.850590559487</v>
      </c>
      <c r="C54" s="1676">
        <v>87970.636099657975</v>
      </c>
      <c r="D54" s="1676">
        <f t="shared" si="13"/>
        <v>-40983.785509098489</v>
      </c>
      <c r="E54" s="1676">
        <v>8527.4238011165744</v>
      </c>
      <c r="F54" s="1676">
        <v>15668.732210806163</v>
      </c>
      <c r="G54" s="1676">
        <f t="shared" si="37"/>
        <v>-7141.3084096895891</v>
      </c>
      <c r="H54" s="1676">
        <v>3220.6195815751043</v>
      </c>
      <c r="I54" s="1676">
        <v>6432.0384582066672</v>
      </c>
      <c r="J54" s="1676">
        <f t="shared" si="38"/>
        <v>-3211.4188766315629</v>
      </c>
      <c r="K54" s="1676">
        <v>181.16837018529671</v>
      </c>
      <c r="L54" s="1676">
        <v>35199.851555769128</v>
      </c>
      <c r="M54" s="1676">
        <f t="shared" si="50"/>
        <v>35381.019925954424</v>
      </c>
      <c r="N54" s="1676">
        <f t="shared" si="49"/>
        <v>-15955.492869465219</v>
      </c>
      <c r="O54" s="1881" t="s">
        <v>557</v>
      </c>
      <c r="P54" s="1676">
        <v>1257.3983706374961</v>
      </c>
      <c r="Q54" s="1676">
        <v>-1591.1051949000007</v>
      </c>
      <c r="R54" s="1676">
        <v>627.30062499999883</v>
      </c>
      <c r="S54" s="1676">
        <v>-57832.09326799363</v>
      </c>
      <c r="T54" s="1676">
        <v>42272.88877805775</v>
      </c>
      <c r="U54" s="1676">
        <f t="shared" si="51"/>
        <v>-16523.00905983588</v>
      </c>
      <c r="V54" s="1676">
        <f t="shared" si="52"/>
        <v>-1824.9145610081578</v>
      </c>
      <c r="W54" s="164"/>
    </row>
    <row r="55" spans="1:27" s="153" customFormat="1">
      <c r="A55" s="162" t="s">
        <v>1340</v>
      </c>
      <c r="B55" s="2196" t="s">
        <v>1270</v>
      </c>
      <c r="C55" s="2196"/>
      <c r="D55" s="2196"/>
      <c r="E55" s="2196"/>
      <c r="F55" s="2196"/>
      <c r="G55" s="2196"/>
      <c r="H55" s="162" t="s">
        <v>30</v>
      </c>
      <c r="I55" s="2303" t="s">
        <v>2487</v>
      </c>
      <c r="J55" s="2303"/>
      <c r="K55" s="2303"/>
      <c r="L55" s="2303"/>
      <c r="M55" s="2303"/>
      <c r="N55" s="2303"/>
      <c r="O55" s="100" t="s">
        <v>699</v>
      </c>
      <c r="P55" s="163" t="s">
        <v>1341</v>
      </c>
      <c r="Q55" s="163"/>
      <c r="R55" s="163"/>
      <c r="S55" s="163"/>
      <c r="T55" s="163"/>
      <c r="U55" s="163"/>
      <c r="V55" s="163"/>
    </row>
    <row r="56" spans="1:27" s="153" customFormat="1">
      <c r="A56" s="1260" t="s">
        <v>16</v>
      </c>
      <c r="B56" s="2304" t="s">
        <v>2436</v>
      </c>
      <c r="C56" s="2304"/>
      <c r="D56" s="2304"/>
      <c r="E56" s="152"/>
      <c r="F56" s="163" t="s">
        <v>257</v>
      </c>
      <c r="G56" s="152"/>
      <c r="H56" s="152"/>
      <c r="I56" s="2303"/>
      <c r="J56" s="2303"/>
      <c r="K56" s="2303"/>
      <c r="L56" s="2303"/>
      <c r="M56" s="2303"/>
      <c r="N56" s="2303"/>
      <c r="O56" s="152"/>
      <c r="P56" s="163" t="s">
        <v>1342</v>
      </c>
      <c r="Q56" s="163"/>
      <c r="R56" s="163"/>
      <c r="S56" s="163"/>
      <c r="T56" s="163"/>
      <c r="U56" s="163"/>
      <c r="V56" s="163"/>
    </row>
    <row r="57" spans="1:27" s="153" customFormat="1">
      <c r="F57" s="153" t="s">
        <v>2774</v>
      </c>
      <c r="I57" s="2321" t="s">
        <v>2438</v>
      </c>
      <c r="J57" s="2321"/>
      <c r="K57" s="2321"/>
      <c r="L57" s="2321"/>
      <c r="M57" s="2321"/>
      <c r="N57" s="2321"/>
      <c r="P57" s="163" t="s">
        <v>257</v>
      </c>
      <c r="W57" s="164"/>
      <c r="X57" s="164"/>
      <c r="Y57" s="164"/>
      <c r="Z57" s="164"/>
      <c r="AA57" s="164"/>
    </row>
    <row r="58" spans="1:27" s="153" customFormat="1">
      <c r="I58" s="2307" t="s">
        <v>2437</v>
      </c>
      <c r="J58" s="2307"/>
      <c r="K58" s="2307"/>
      <c r="L58" s="2307"/>
      <c r="M58" s="2307"/>
      <c r="N58" s="208"/>
      <c r="Q58" s="419"/>
      <c r="W58" s="164"/>
      <c r="X58" s="164"/>
      <c r="Y58" s="164"/>
      <c r="Z58" s="164"/>
      <c r="AA58" s="164"/>
    </row>
    <row r="59" spans="1:27" s="153" customFormat="1">
      <c r="B59" s="164"/>
      <c r="C59" s="164"/>
      <c r="D59" s="164"/>
      <c r="E59" s="164"/>
      <c r="F59" s="164"/>
      <c r="G59" s="164"/>
      <c r="O59" s="1755"/>
      <c r="P59" s="1755"/>
      <c r="Q59" s="1755"/>
      <c r="R59" s="1755"/>
      <c r="S59" s="1755"/>
      <c r="T59" s="1755"/>
      <c r="U59" s="1755"/>
      <c r="V59" s="1755"/>
      <c r="W59" s="164"/>
      <c r="X59" s="164"/>
      <c r="Y59" s="164"/>
      <c r="Z59" s="164"/>
      <c r="AA59" s="164"/>
    </row>
    <row r="60" spans="1:27" s="153" customFormat="1">
      <c r="B60" s="436"/>
      <c r="C60" s="436"/>
      <c r="D60" s="164"/>
      <c r="E60" s="164"/>
      <c r="F60" s="164"/>
      <c r="G60" s="164"/>
      <c r="Q60" s="164"/>
      <c r="R60" s="164"/>
      <c r="S60" s="164"/>
      <c r="T60" s="164"/>
      <c r="W60" s="164"/>
      <c r="X60" s="164"/>
      <c r="Y60" s="164"/>
      <c r="Z60" s="164"/>
      <c r="AA60" s="164"/>
    </row>
    <row r="61" spans="1:27" s="153" customFormat="1">
      <c r="B61" s="436"/>
      <c r="C61" s="436"/>
      <c r="D61" s="164"/>
      <c r="E61" s="164"/>
      <c r="F61" s="164"/>
      <c r="G61" s="164"/>
      <c r="M61" s="164"/>
      <c r="N61" s="164"/>
      <c r="Q61" s="164"/>
      <c r="R61" s="164"/>
      <c r="S61" s="164"/>
      <c r="T61" s="164"/>
      <c r="W61" s="164"/>
      <c r="X61" s="164"/>
      <c r="Y61" s="164"/>
      <c r="Z61" s="164"/>
      <c r="AA61" s="164"/>
    </row>
    <row r="62" spans="1:27" s="153" customFormat="1">
      <c r="B62" s="436"/>
      <c r="C62" s="436"/>
      <c r="D62" s="164"/>
      <c r="E62" s="164"/>
      <c r="F62" s="164"/>
      <c r="G62" s="164"/>
      <c r="M62" s="164"/>
      <c r="N62" s="164"/>
      <c r="Q62" s="164"/>
      <c r="R62" s="164"/>
      <c r="S62" s="164"/>
      <c r="T62" s="164"/>
      <c r="W62" s="164"/>
      <c r="X62" s="164"/>
      <c r="Y62" s="164"/>
      <c r="Z62" s="164"/>
      <c r="AA62" s="164"/>
    </row>
    <row r="63" spans="1:27" s="153" customFormat="1">
      <c r="B63" s="436"/>
      <c r="C63" s="436"/>
      <c r="D63" s="164"/>
      <c r="E63" s="164"/>
      <c r="F63" s="164"/>
      <c r="G63" s="164"/>
      <c r="M63" s="164"/>
      <c r="N63" s="164"/>
      <c r="Q63" s="164"/>
      <c r="R63" s="164"/>
      <c r="S63" s="164"/>
      <c r="T63" s="164"/>
      <c r="W63" s="164"/>
      <c r="X63" s="164"/>
      <c r="Y63" s="164"/>
      <c r="Z63" s="164"/>
      <c r="AA63" s="164"/>
    </row>
    <row r="64" spans="1:27" s="153" customFormat="1">
      <c r="B64" s="436"/>
      <c r="C64" s="436"/>
      <c r="D64" s="164"/>
      <c r="E64" s="164"/>
      <c r="F64" s="164"/>
      <c r="G64" s="164"/>
      <c r="K64" s="164"/>
      <c r="L64" s="164"/>
      <c r="M64" s="164"/>
      <c r="N64" s="164"/>
      <c r="Q64" s="164"/>
      <c r="R64" s="164"/>
      <c r="S64" s="164"/>
      <c r="T64" s="164"/>
      <c r="W64" s="164"/>
      <c r="X64" s="164"/>
      <c r="Y64" s="164"/>
      <c r="Z64" s="164"/>
      <c r="AA64" s="164"/>
    </row>
    <row r="65" spans="4:27" s="153" customFormat="1">
      <c r="D65" s="164"/>
      <c r="E65" s="164"/>
      <c r="F65" s="164"/>
      <c r="G65" s="164"/>
      <c r="M65" s="164"/>
      <c r="N65" s="164"/>
      <c r="Q65" s="164"/>
      <c r="R65" s="164"/>
      <c r="S65" s="164"/>
      <c r="T65" s="164"/>
      <c r="W65" s="164"/>
      <c r="X65" s="164"/>
      <c r="Y65" s="164"/>
      <c r="Z65" s="164"/>
      <c r="AA65" s="164"/>
    </row>
    <row r="66" spans="4:27" s="153" customFormat="1">
      <c r="D66" s="164"/>
      <c r="E66" s="164"/>
      <c r="F66" s="164"/>
      <c r="G66" s="164"/>
      <c r="M66" s="164"/>
      <c r="N66" s="164"/>
      <c r="Q66" s="164"/>
      <c r="R66" s="164"/>
      <c r="S66" s="164"/>
      <c r="T66" s="164"/>
      <c r="W66" s="164"/>
      <c r="X66" s="164"/>
      <c r="Y66" s="164"/>
      <c r="Z66" s="164"/>
      <c r="AA66" s="164"/>
    </row>
    <row r="67" spans="4:27" s="153" customFormat="1">
      <c r="D67" s="164"/>
      <c r="E67" s="164"/>
      <c r="F67" s="164"/>
      <c r="G67" s="164"/>
      <c r="M67" s="164"/>
      <c r="N67" s="164"/>
      <c r="W67" s="164"/>
      <c r="X67" s="164"/>
      <c r="Y67" s="164"/>
      <c r="Z67" s="164"/>
      <c r="AA67" s="164"/>
    </row>
    <row r="68" spans="4:27" s="153" customFormat="1">
      <c r="D68" s="164"/>
      <c r="E68" s="164"/>
      <c r="F68" s="164"/>
      <c r="G68" s="164"/>
      <c r="M68" s="164"/>
      <c r="N68" s="164"/>
      <c r="W68" s="164"/>
      <c r="X68" s="164"/>
      <c r="Y68" s="164"/>
      <c r="Z68" s="164"/>
      <c r="AA68" s="164"/>
    </row>
    <row r="69" spans="4:27" s="153" customFormat="1">
      <c r="D69" s="164"/>
      <c r="E69" s="164"/>
      <c r="F69" s="164"/>
      <c r="G69" s="164"/>
      <c r="M69" s="164"/>
      <c r="N69" s="164"/>
    </row>
    <row r="70" spans="4:27" s="153" customFormat="1">
      <c r="D70" s="164"/>
      <c r="E70" s="164"/>
      <c r="F70" s="164"/>
      <c r="G70" s="164"/>
      <c r="M70" s="164"/>
      <c r="N70" s="164"/>
    </row>
    <row r="71" spans="4:27" s="153" customFormat="1">
      <c r="E71" s="164"/>
      <c r="F71" s="164"/>
      <c r="M71" s="164"/>
      <c r="N71" s="164"/>
    </row>
    <row r="72" spans="4:27" s="153" customFormat="1">
      <c r="M72" s="164"/>
      <c r="N72" s="164"/>
    </row>
    <row r="73" spans="4:27" s="153" customFormat="1"/>
    <row r="74" spans="4:27" s="153" customFormat="1"/>
    <row r="75" spans="4:27" s="153" customFormat="1"/>
    <row r="76" spans="4:27" s="153" customFormat="1"/>
    <row r="77" spans="4:27" s="153" customFormat="1"/>
    <row r="78" spans="4:27" s="153" customFormat="1"/>
    <row r="79" spans="4:27" s="153" customFormat="1"/>
    <row r="80" spans="4:27" s="153" customFormat="1"/>
    <row r="81" s="153" customFormat="1"/>
    <row r="82" s="153" customFormat="1"/>
    <row r="83" s="153" customFormat="1"/>
    <row r="84" s="153" customFormat="1"/>
    <row r="85" s="153" customFormat="1"/>
    <row r="86" s="153" customFormat="1"/>
    <row r="87" s="153" customFormat="1"/>
    <row r="88" s="153" customFormat="1"/>
    <row r="89" s="153" customFormat="1"/>
    <row r="90" s="153" customFormat="1"/>
    <row r="91" s="153" customFormat="1"/>
    <row r="92" s="153" customFormat="1"/>
    <row r="93" s="153" customFormat="1"/>
    <row r="94" s="153" customFormat="1"/>
    <row r="95" s="153" customFormat="1"/>
    <row r="96" s="153" customFormat="1"/>
    <row r="97" s="153" customFormat="1"/>
    <row r="98" s="153" customFormat="1"/>
    <row r="99" s="153" customFormat="1"/>
    <row r="100" s="153" customFormat="1"/>
    <row r="101" s="153" customFormat="1"/>
    <row r="102" s="153" customFormat="1"/>
    <row r="103" s="153" customFormat="1"/>
    <row r="104" s="153" customFormat="1"/>
    <row r="105" s="153" customFormat="1"/>
    <row r="106" s="153" customFormat="1"/>
    <row r="107" s="153" customFormat="1"/>
    <row r="108" s="153" customFormat="1"/>
    <row r="109" s="153" customFormat="1"/>
    <row r="110" s="153" customFormat="1"/>
    <row r="111" s="153" customFormat="1"/>
    <row r="112" s="153" customFormat="1"/>
    <row r="113" s="153" customFormat="1"/>
    <row r="114" s="153" customFormat="1"/>
    <row r="115" s="153" customFormat="1"/>
    <row r="116" s="153" customFormat="1"/>
    <row r="117" s="153" customFormat="1"/>
    <row r="118" s="153" customFormat="1"/>
    <row r="119" s="153" customFormat="1"/>
    <row r="120" s="153" customFormat="1"/>
    <row r="121" s="153" customFormat="1"/>
    <row r="122" s="153" customFormat="1"/>
    <row r="123" s="153" customFormat="1"/>
    <row r="124" s="153" customFormat="1"/>
    <row r="125" s="153" customFormat="1"/>
    <row r="126" s="153" customFormat="1"/>
    <row r="127" s="153" customFormat="1"/>
    <row r="128" s="153" customFormat="1"/>
    <row r="129" s="153" customFormat="1"/>
    <row r="130" s="153" customFormat="1"/>
    <row r="131" s="153" customFormat="1"/>
    <row r="132" s="153" customFormat="1"/>
    <row r="133" s="153" customFormat="1"/>
    <row r="134" s="153" customFormat="1"/>
    <row r="135" s="153" customFormat="1"/>
    <row r="136" s="153" customFormat="1"/>
    <row r="137" s="153" customFormat="1"/>
    <row r="138" s="153" customFormat="1"/>
    <row r="139" s="153" customFormat="1"/>
    <row r="140" s="153" customFormat="1"/>
    <row r="141" s="153" customFormat="1"/>
    <row r="142" s="153" customFormat="1"/>
    <row r="143" s="153" customFormat="1"/>
    <row r="144" s="153" customFormat="1"/>
    <row r="145" spans="1:22" s="153" customFormat="1"/>
    <row r="146" spans="1:22">
      <c r="A146" s="153"/>
      <c r="B146" s="153"/>
      <c r="C146" s="153"/>
      <c r="D146" s="153"/>
      <c r="E146" s="153"/>
      <c r="F146" s="153"/>
      <c r="G146" s="153"/>
      <c r="H146" s="153"/>
      <c r="I146" s="153"/>
      <c r="J146" s="153"/>
      <c r="K146" s="153"/>
      <c r="L146" s="153"/>
      <c r="M146" s="153"/>
      <c r="N146" s="153"/>
      <c r="O146" s="153"/>
      <c r="P146" s="153"/>
      <c r="Q146" s="153"/>
      <c r="R146" s="153"/>
      <c r="S146" s="153"/>
      <c r="T146" s="153"/>
      <c r="U146" s="153"/>
      <c r="V146" s="153"/>
    </row>
    <row r="147" spans="1:22">
      <c r="A147" s="153"/>
      <c r="B147" s="153"/>
      <c r="C147" s="153"/>
      <c r="D147" s="153"/>
      <c r="E147" s="153"/>
      <c r="F147" s="153"/>
      <c r="G147" s="153"/>
      <c r="H147" s="153"/>
      <c r="I147" s="153"/>
      <c r="J147" s="153"/>
      <c r="K147" s="153"/>
      <c r="L147" s="153"/>
      <c r="M147" s="153"/>
      <c r="N147" s="153"/>
      <c r="O147" s="153"/>
      <c r="P147" s="153"/>
      <c r="Q147" s="153"/>
      <c r="R147" s="153"/>
      <c r="S147" s="153"/>
      <c r="T147" s="153"/>
      <c r="U147" s="153"/>
      <c r="V147" s="153"/>
    </row>
    <row r="148" spans="1:22">
      <c r="A148" s="153"/>
      <c r="B148" s="153"/>
      <c r="C148" s="153"/>
      <c r="D148" s="153"/>
      <c r="E148" s="153"/>
      <c r="F148" s="153"/>
      <c r="G148" s="153"/>
      <c r="H148" s="153"/>
      <c r="I148" s="153"/>
      <c r="J148" s="153"/>
      <c r="K148" s="153"/>
      <c r="L148" s="153"/>
      <c r="M148" s="153"/>
      <c r="N148" s="153"/>
      <c r="O148" s="153"/>
      <c r="P148" s="153"/>
      <c r="Q148" s="153"/>
      <c r="R148" s="153"/>
      <c r="S148" s="153"/>
      <c r="T148" s="153"/>
      <c r="U148" s="153"/>
      <c r="V148" s="153"/>
    </row>
    <row r="149" spans="1:22">
      <c r="A149" s="153"/>
      <c r="B149" s="153"/>
      <c r="C149" s="153"/>
      <c r="D149" s="153"/>
      <c r="E149" s="153"/>
      <c r="F149" s="153"/>
      <c r="G149" s="153"/>
      <c r="H149" s="153"/>
      <c r="I149" s="153"/>
      <c r="J149" s="153"/>
      <c r="K149" s="153"/>
      <c r="L149" s="153"/>
      <c r="M149" s="153"/>
      <c r="N149" s="153"/>
      <c r="O149" s="153"/>
      <c r="P149" s="153"/>
      <c r="Q149" s="153"/>
      <c r="R149" s="153"/>
      <c r="S149" s="153"/>
      <c r="T149" s="153"/>
      <c r="U149" s="153"/>
      <c r="V149" s="153"/>
    </row>
    <row r="150" spans="1:22">
      <c r="A150" s="153"/>
      <c r="B150" s="153"/>
      <c r="C150" s="153"/>
      <c r="D150" s="153"/>
      <c r="E150" s="153"/>
      <c r="F150" s="153"/>
      <c r="G150" s="153"/>
      <c r="H150" s="153"/>
      <c r="I150" s="153"/>
      <c r="J150" s="153"/>
      <c r="K150" s="153"/>
      <c r="L150" s="153"/>
      <c r="M150" s="153"/>
      <c r="N150" s="153"/>
      <c r="O150" s="153"/>
      <c r="P150" s="153"/>
      <c r="Q150" s="153"/>
      <c r="R150" s="153"/>
      <c r="S150" s="153"/>
      <c r="T150" s="153"/>
      <c r="U150" s="153"/>
      <c r="V150" s="153"/>
    </row>
    <row r="151" spans="1:22">
      <c r="A151" s="153"/>
      <c r="B151" s="153"/>
      <c r="C151" s="153"/>
      <c r="D151" s="153"/>
      <c r="E151" s="153"/>
      <c r="F151" s="153"/>
      <c r="G151" s="153"/>
      <c r="H151" s="153"/>
      <c r="I151" s="153"/>
      <c r="J151" s="153"/>
      <c r="K151" s="153"/>
      <c r="L151" s="153"/>
      <c r="M151" s="153"/>
      <c r="N151" s="153"/>
      <c r="O151" s="153"/>
      <c r="P151" s="153"/>
      <c r="Q151" s="153"/>
      <c r="R151" s="153"/>
      <c r="S151" s="153"/>
      <c r="T151" s="153"/>
      <c r="U151" s="153"/>
      <c r="V151" s="153"/>
    </row>
    <row r="152" spans="1:22">
      <c r="A152" s="153"/>
      <c r="B152" s="153"/>
      <c r="C152" s="153"/>
      <c r="D152" s="153"/>
      <c r="E152" s="153"/>
      <c r="F152" s="153"/>
      <c r="G152" s="153"/>
      <c r="H152" s="153"/>
      <c r="I152" s="153"/>
      <c r="J152" s="153"/>
      <c r="K152" s="153"/>
      <c r="L152" s="153"/>
      <c r="M152" s="153"/>
      <c r="N152" s="153"/>
      <c r="O152" s="153"/>
      <c r="P152" s="153"/>
      <c r="Q152" s="153"/>
      <c r="R152" s="153"/>
      <c r="S152" s="153"/>
      <c r="T152" s="153"/>
      <c r="U152" s="153"/>
      <c r="V152" s="153"/>
    </row>
    <row r="153" spans="1:22">
      <c r="A153" s="153"/>
      <c r="B153" s="153"/>
      <c r="C153" s="153"/>
      <c r="D153" s="153"/>
      <c r="E153" s="153"/>
      <c r="F153" s="153"/>
      <c r="G153" s="153"/>
      <c r="H153" s="153"/>
      <c r="I153" s="153"/>
      <c r="J153" s="153"/>
      <c r="K153" s="153"/>
      <c r="L153" s="153"/>
      <c r="M153" s="153"/>
      <c r="N153" s="153"/>
      <c r="O153" s="153"/>
      <c r="P153" s="153"/>
      <c r="Q153" s="153"/>
      <c r="R153" s="153"/>
      <c r="S153" s="153"/>
      <c r="T153" s="153"/>
      <c r="U153" s="153"/>
      <c r="V153" s="153"/>
    </row>
    <row r="154" spans="1:22">
      <c r="A154" s="153"/>
      <c r="B154" s="153"/>
      <c r="C154" s="153"/>
      <c r="D154" s="153"/>
      <c r="E154" s="153"/>
      <c r="F154" s="153"/>
      <c r="G154" s="153"/>
      <c r="H154" s="153"/>
      <c r="I154" s="153"/>
      <c r="J154" s="153"/>
      <c r="K154" s="153"/>
      <c r="L154" s="153"/>
      <c r="M154" s="153"/>
      <c r="N154" s="153"/>
      <c r="O154" s="153"/>
      <c r="P154" s="153"/>
      <c r="Q154" s="153"/>
      <c r="R154" s="153"/>
      <c r="S154" s="153"/>
      <c r="T154" s="153"/>
      <c r="U154" s="153"/>
      <c r="V154" s="153"/>
    </row>
    <row r="155" spans="1:22">
      <c r="A155" s="153"/>
      <c r="B155" s="153"/>
      <c r="C155" s="153"/>
      <c r="D155" s="153"/>
      <c r="E155" s="153"/>
      <c r="F155" s="153"/>
      <c r="G155" s="153"/>
      <c r="H155" s="153"/>
      <c r="I155" s="153"/>
      <c r="J155" s="153"/>
      <c r="K155" s="153"/>
      <c r="L155" s="153"/>
      <c r="M155" s="153"/>
      <c r="N155" s="153"/>
      <c r="O155" s="153"/>
      <c r="P155" s="153"/>
      <c r="Q155" s="153"/>
      <c r="R155" s="153"/>
      <c r="S155" s="153"/>
      <c r="T155" s="153"/>
      <c r="U155" s="153"/>
      <c r="V155" s="153"/>
    </row>
    <row r="156" spans="1:22">
      <c r="A156" s="153"/>
      <c r="B156" s="153"/>
      <c r="C156" s="153"/>
      <c r="D156" s="153"/>
      <c r="E156" s="153"/>
      <c r="F156" s="153"/>
      <c r="G156" s="153"/>
      <c r="H156" s="153"/>
      <c r="I156" s="153"/>
      <c r="J156" s="153"/>
      <c r="K156" s="153"/>
      <c r="L156" s="153"/>
      <c r="M156" s="153"/>
      <c r="N156" s="153"/>
      <c r="O156" s="153"/>
      <c r="P156" s="153"/>
      <c r="Q156" s="153"/>
      <c r="R156" s="153"/>
      <c r="S156" s="153"/>
      <c r="T156" s="153"/>
      <c r="U156" s="153"/>
      <c r="V156" s="153"/>
    </row>
    <row r="157" spans="1:22">
      <c r="A157" s="153"/>
      <c r="B157" s="153"/>
      <c r="C157" s="153"/>
      <c r="D157" s="153"/>
      <c r="E157" s="153"/>
      <c r="F157" s="153"/>
      <c r="G157" s="153"/>
      <c r="H157" s="153"/>
      <c r="I157" s="153"/>
      <c r="J157" s="153"/>
      <c r="K157" s="153"/>
      <c r="L157" s="153"/>
      <c r="M157" s="153"/>
      <c r="N157" s="153"/>
      <c r="O157" s="153"/>
      <c r="P157" s="153"/>
      <c r="Q157" s="153"/>
      <c r="R157" s="153"/>
      <c r="S157" s="153"/>
      <c r="T157" s="153"/>
      <c r="U157" s="153"/>
      <c r="V157" s="153"/>
    </row>
    <row r="158" spans="1:22">
      <c r="A158" s="153"/>
      <c r="B158" s="153"/>
      <c r="C158" s="153"/>
      <c r="D158" s="153"/>
      <c r="E158" s="153"/>
      <c r="F158" s="153"/>
      <c r="G158" s="153"/>
      <c r="H158" s="153"/>
      <c r="I158" s="153"/>
      <c r="J158" s="153"/>
      <c r="K158" s="153"/>
      <c r="L158" s="153"/>
      <c r="M158" s="153"/>
      <c r="N158" s="153"/>
      <c r="O158" s="153"/>
      <c r="P158" s="153"/>
      <c r="Q158" s="153"/>
      <c r="R158" s="153"/>
      <c r="S158" s="153"/>
      <c r="T158" s="153"/>
      <c r="U158" s="153"/>
      <c r="V158" s="153"/>
    </row>
    <row r="159" spans="1:22">
      <c r="A159" s="153"/>
      <c r="B159" s="153"/>
      <c r="C159" s="153"/>
      <c r="D159" s="153"/>
      <c r="E159" s="153"/>
      <c r="F159" s="153"/>
      <c r="G159" s="153"/>
      <c r="H159" s="153"/>
      <c r="I159" s="153"/>
      <c r="J159" s="153"/>
      <c r="K159" s="153"/>
      <c r="L159" s="153"/>
      <c r="M159" s="153"/>
      <c r="N159" s="153"/>
      <c r="O159" s="153"/>
      <c r="P159" s="153"/>
      <c r="Q159" s="153"/>
      <c r="R159" s="153"/>
      <c r="S159" s="153"/>
      <c r="T159" s="153"/>
      <c r="U159" s="153"/>
      <c r="V159" s="153"/>
    </row>
    <row r="160" spans="1:22">
      <c r="A160" s="153"/>
      <c r="B160" s="153"/>
      <c r="C160" s="153"/>
      <c r="D160" s="153"/>
      <c r="E160" s="153"/>
      <c r="F160" s="153"/>
      <c r="G160" s="153"/>
      <c r="H160" s="153"/>
      <c r="I160" s="153"/>
      <c r="J160" s="153"/>
      <c r="K160" s="153"/>
      <c r="L160" s="153"/>
      <c r="M160" s="153"/>
      <c r="N160" s="153"/>
      <c r="O160" s="153"/>
      <c r="P160" s="153"/>
      <c r="Q160" s="153"/>
      <c r="R160" s="153"/>
      <c r="S160" s="153"/>
      <c r="T160" s="153"/>
      <c r="U160" s="153"/>
      <c r="V160" s="153"/>
    </row>
    <row r="161" spans="1:22">
      <c r="A161" s="153"/>
      <c r="B161" s="153"/>
      <c r="C161" s="153"/>
      <c r="D161" s="153"/>
      <c r="E161" s="153"/>
      <c r="F161" s="153"/>
      <c r="G161" s="153"/>
      <c r="H161" s="153"/>
      <c r="I161" s="153"/>
      <c r="J161" s="153"/>
      <c r="K161" s="153"/>
      <c r="L161" s="153"/>
      <c r="M161" s="153"/>
      <c r="N161" s="153"/>
      <c r="O161" s="153"/>
      <c r="P161" s="153"/>
      <c r="Q161" s="153"/>
      <c r="R161" s="153"/>
      <c r="S161" s="153"/>
      <c r="T161" s="153"/>
      <c r="U161" s="153"/>
      <c r="V161" s="153"/>
    </row>
    <row r="162" spans="1:22">
      <c r="A162" s="153"/>
      <c r="B162" s="153"/>
      <c r="C162" s="153"/>
      <c r="D162" s="153"/>
      <c r="E162" s="153"/>
      <c r="F162" s="153"/>
      <c r="G162" s="153"/>
      <c r="H162" s="153"/>
      <c r="I162" s="153"/>
      <c r="J162" s="153"/>
      <c r="K162" s="153"/>
      <c r="L162" s="153"/>
      <c r="M162" s="153"/>
      <c r="N162" s="153"/>
      <c r="O162" s="153"/>
      <c r="P162" s="153"/>
      <c r="Q162" s="153"/>
      <c r="R162" s="153"/>
      <c r="S162" s="153"/>
      <c r="T162" s="153"/>
      <c r="U162" s="153"/>
      <c r="V162" s="153"/>
    </row>
    <row r="163" spans="1:22">
      <c r="A163" s="153"/>
      <c r="B163" s="153"/>
      <c r="C163" s="153"/>
      <c r="D163" s="153"/>
      <c r="E163" s="153"/>
      <c r="F163" s="153"/>
      <c r="G163" s="153"/>
      <c r="H163" s="153"/>
      <c r="I163" s="153"/>
      <c r="J163" s="153"/>
      <c r="K163" s="153"/>
      <c r="L163" s="153"/>
      <c r="M163" s="153"/>
      <c r="N163" s="153"/>
      <c r="O163" s="153"/>
      <c r="P163" s="153"/>
      <c r="Q163" s="153"/>
      <c r="R163" s="153"/>
      <c r="S163" s="153"/>
      <c r="T163" s="153"/>
      <c r="U163" s="153"/>
      <c r="V163" s="153"/>
    </row>
  </sheetData>
  <customSheetViews>
    <customSheetView guid="{A374FC54-96E3-45F0-9C12-8450400C12DF}" scale="160">
      <pane xSplit="1" ySplit="5" topLeftCell="Q47" activePane="bottomRight" state="frozen"/>
      <selection pane="bottomRight" activeCell="X54" sqref="X54"/>
      <pageMargins left="0.62992125984252001" right="0.511811023622047" top="0.511811023622047" bottom="0.511811023622047" header="0" footer="0.47244094488188998"/>
      <pageSetup paperSize="132" firstPageNumber="28" orientation="portrait" useFirstPageNumber="1" r:id="rId1"/>
      <headerFooter alignWithMargins="0">
        <oddFooter>&amp;C&amp;"Times New Roman,Regular"&amp;8&amp;P</oddFooter>
      </headerFooter>
    </customSheetView>
  </customSheetViews>
  <mergeCells count="22">
    <mergeCell ref="I58:M58"/>
    <mergeCell ref="O1:S1"/>
    <mergeCell ref="E3:G3"/>
    <mergeCell ref="Q3:U3"/>
    <mergeCell ref="B3:D3"/>
    <mergeCell ref="U2:V2"/>
    <mergeCell ref="T1:V1"/>
    <mergeCell ref="H3:J3"/>
    <mergeCell ref="H1:I1"/>
    <mergeCell ref="L1:N1"/>
    <mergeCell ref="L2:N2"/>
    <mergeCell ref="F1:G1"/>
    <mergeCell ref="K3:M3"/>
    <mergeCell ref="P3:P4"/>
    <mergeCell ref="V3:V5"/>
    <mergeCell ref="I57:N57"/>
    <mergeCell ref="A3:A5"/>
    <mergeCell ref="O3:O5"/>
    <mergeCell ref="B55:G55"/>
    <mergeCell ref="I55:N56"/>
    <mergeCell ref="B56:D56"/>
    <mergeCell ref="N3:N4"/>
  </mergeCells>
  <phoneticPr fontId="0" type="noConversion"/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4"/>
  <dimension ref="A1:L61"/>
  <sheetViews>
    <sheetView zoomScale="150" zoomScaleNormal="150" workbookViewId="0">
      <pane xSplit="1" ySplit="5" topLeftCell="B42" activePane="bottomRight" state="frozen"/>
      <selection activeCell="X47" sqref="X47:X50"/>
      <selection pane="topRight" activeCell="X47" sqref="X47:X50"/>
      <selection pane="bottomLeft" activeCell="X47" sqref="X47:X50"/>
      <selection pane="bottomRight" activeCell="I45" sqref="I45"/>
    </sheetView>
  </sheetViews>
  <sheetFormatPr defaultRowHeight="12.75"/>
  <cols>
    <col min="1" max="1" width="7.85546875" style="1528" customWidth="1"/>
    <col min="2" max="2" width="8.28515625" style="1528" customWidth="1"/>
    <col min="3" max="3" width="9.42578125" style="1528" customWidth="1"/>
    <col min="4" max="4" width="9.140625" style="1528"/>
    <col min="5" max="6" width="8.28515625" style="1528" customWidth="1"/>
    <col min="7" max="7" width="9.140625" style="1528"/>
    <col min="8" max="8" width="8.5703125" style="1528" customWidth="1"/>
    <col min="9" max="9" width="9.85546875" style="1528" customWidth="1"/>
    <col min="10" max="16384" width="9.140625" style="1528"/>
  </cols>
  <sheetData>
    <row r="1" spans="1:12" ht="15.75" customHeight="1">
      <c r="A1" s="2323" t="s">
        <v>1235</v>
      </c>
      <c r="B1" s="2323"/>
      <c r="C1" s="2323"/>
      <c r="D1" s="2323"/>
      <c r="E1" s="2323"/>
      <c r="F1" s="2323"/>
      <c r="G1" s="2323"/>
      <c r="H1" s="144"/>
      <c r="I1" s="1529" t="s">
        <v>313</v>
      </c>
    </row>
    <row r="2" spans="1:12" ht="15" customHeight="1">
      <c r="A2" s="2323"/>
      <c r="B2" s="2323"/>
      <c r="C2" s="2323"/>
      <c r="D2" s="2323"/>
      <c r="E2" s="2323"/>
      <c r="F2" s="2323"/>
      <c r="G2" s="2323"/>
      <c r="H2" s="144"/>
    </row>
    <row r="3" spans="1:12" ht="10.5" customHeight="1">
      <c r="A3" s="864"/>
      <c r="B3" s="865"/>
      <c r="C3" s="865"/>
      <c r="D3" s="865"/>
      <c r="F3" s="818"/>
      <c r="H3" s="2324" t="s">
        <v>0</v>
      </c>
      <c r="I3" s="2324"/>
    </row>
    <row r="4" spans="1:12" s="145" customFormat="1" ht="12.95" customHeight="1">
      <c r="A4" s="2325" t="s">
        <v>481</v>
      </c>
      <c r="B4" s="2327" t="s">
        <v>332</v>
      </c>
      <c r="C4" s="2328"/>
      <c r="D4" s="2328"/>
      <c r="E4" s="2329"/>
      <c r="F4" s="2327" t="s">
        <v>333</v>
      </c>
      <c r="G4" s="2328"/>
      <c r="H4" s="2328"/>
      <c r="I4" s="2329"/>
    </row>
    <row r="5" spans="1:12" ht="36">
      <c r="A5" s="2326"/>
      <c r="B5" s="819" t="s">
        <v>753</v>
      </c>
      <c r="C5" s="819" t="s">
        <v>773</v>
      </c>
      <c r="D5" s="819" t="s">
        <v>775</v>
      </c>
      <c r="E5" s="713" t="s">
        <v>334</v>
      </c>
      <c r="F5" s="819" t="s">
        <v>754</v>
      </c>
      <c r="G5" s="819" t="s">
        <v>776</v>
      </c>
      <c r="H5" s="819" t="s">
        <v>774</v>
      </c>
      <c r="I5" s="713" t="s">
        <v>335</v>
      </c>
    </row>
    <row r="6" spans="1:12" s="50" customFormat="1" ht="10.5" customHeight="1">
      <c r="A6" s="276" t="s">
        <v>81</v>
      </c>
      <c r="B6" s="754">
        <v>515.14</v>
      </c>
      <c r="C6" s="754">
        <v>331.1</v>
      </c>
      <c r="D6" s="754">
        <v>66.78</v>
      </c>
      <c r="E6" s="754">
        <v>913.02</v>
      </c>
      <c r="F6" s="754">
        <v>5014.96</v>
      </c>
      <c r="G6" s="754">
        <v>544.21</v>
      </c>
      <c r="H6" s="754">
        <v>410.29</v>
      </c>
      <c r="I6" s="755">
        <v>5969.46</v>
      </c>
    </row>
    <row r="7" spans="1:12" s="40" customFormat="1" ht="10.5" customHeight="1">
      <c r="A7" s="147" t="s">
        <v>189</v>
      </c>
      <c r="B7" s="757">
        <v>249.95</v>
      </c>
      <c r="C7" s="757">
        <v>445.19</v>
      </c>
      <c r="D7" s="757">
        <v>83.9</v>
      </c>
      <c r="E7" s="752">
        <v>779.04</v>
      </c>
      <c r="F7" s="757">
        <v>5143.7</v>
      </c>
      <c r="G7" s="757">
        <v>612.69000000000005</v>
      </c>
      <c r="H7" s="757">
        <v>462.67</v>
      </c>
      <c r="I7" s="753">
        <v>6219.0599999999995</v>
      </c>
    </row>
    <row r="8" spans="1:12" s="40" customFormat="1" ht="10.5" customHeight="1">
      <c r="A8" s="276" t="s">
        <v>701</v>
      </c>
      <c r="B8" s="754">
        <v>454.09999999999997</v>
      </c>
      <c r="C8" s="754">
        <v>542.34999999999991</v>
      </c>
      <c r="D8" s="754">
        <v>198.42999999999998</v>
      </c>
      <c r="E8" s="754">
        <v>1194.8799999999999</v>
      </c>
      <c r="F8" s="754">
        <v>4855.47</v>
      </c>
      <c r="G8" s="754">
        <v>861.44</v>
      </c>
      <c r="H8" s="754">
        <v>533.95000000000005</v>
      </c>
      <c r="I8" s="755">
        <v>6250.86</v>
      </c>
    </row>
    <row r="9" spans="1:12" s="40" customFormat="1" ht="10.5" customHeight="1">
      <c r="A9" s="509" t="s">
        <v>809</v>
      </c>
      <c r="B9" s="757">
        <v>761.03</v>
      </c>
      <c r="C9" s="757">
        <v>645.64</v>
      </c>
      <c r="D9" s="757">
        <v>323.96000000000004</v>
      </c>
      <c r="E9" s="752">
        <v>1730.63</v>
      </c>
      <c r="F9" s="757">
        <v>6333.41</v>
      </c>
      <c r="G9" s="757">
        <v>995.87</v>
      </c>
      <c r="H9" s="757">
        <v>1033.78</v>
      </c>
      <c r="I9" s="753">
        <v>8363.06</v>
      </c>
    </row>
    <row r="10" spans="1:12" s="40" customFormat="1" ht="10.5" customHeight="1">
      <c r="A10" s="276" t="s">
        <v>982</v>
      </c>
      <c r="B10" s="754">
        <v>233.83999999999997</v>
      </c>
      <c r="C10" s="754">
        <v>795.78</v>
      </c>
      <c r="D10" s="754">
        <v>450.71999999999997</v>
      </c>
      <c r="E10" s="754">
        <v>1480.34</v>
      </c>
      <c r="F10" s="754">
        <v>6375.35</v>
      </c>
      <c r="G10" s="754">
        <v>964.83</v>
      </c>
      <c r="H10" s="754">
        <v>2000.05</v>
      </c>
      <c r="I10" s="755">
        <v>9340.23</v>
      </c>
    </row>
    <row r="11" spans="1:12" s="40" customFormat="1" ht="10.5" customHeight="1">
      <c r="A11" s="509" t="s">
        <v>1033</v>
      </c>
      <c r="B11" s="757">
        <v>528.03</v>
      </c>
      <c r="C11" s="757">
        <v>1141.3400000000001</v>
      </c>
      <c r="D11" s="757">
        <v>164.5</v>
      </c>
      <c r="E11" s="752">
        <v>1833.8700000000001</v>
      </c>
      <c r="F11" s="228">
        <v>9027.07</v>
      </c>
      <c r="G11" s="228">
        <v>1326.11</v>
      </c>
      <c r="H11" s="228">
        <v>2147.9499999999998</v>
      </c>
      <c r="I11" s="228">
        <v>12501.130000000001</v>
      </c>
    </row>
    <row r="12" spans="1:12" s="40" customFormat="1" ht="10.5" customHeight="1">
      <c r="A12" s="539" t="s">
        <v>1154</v>
      </c>
      <c r="B12" s="754">
        <v>505.55</v>
      </c>
      <c r="C12" s="754">
        <v>1154.4499999999998</v>
      </c>
      <c r="D12" s="754">
        <v>343.53</v>
      </c>
      <c r="E12" s="754">
        <v>2003.5299999999997</v>
      </c>
      <c r="F12" s="278">
        <v>9549.39</v>
      </c>
      <c r="G12" s="278">
        <v>1585.21</v>
      </c>
      <c r="H12" s="278">
        <v>2311.54</v>
      </c>
      <c r="I12" s="278">
        <v>13446.14</v>
      </c>
      <c r="L12" s="945"/>
    </row>
    <row r="13" spans="1:12" s="40" customFormat="1" ht="10.5" customHeight="1">
      <c r="A13" s="509" t="s">
        <v>1178</v>
      </c>
      <c r="B13" s="757">
        <v>1006.74</v>
      </c>
      <c r="C13" s="757">
        <v>1253</v>
      </c>
      <c r="D13" s="757">
        <v>195.07</v>
      </c>
      <c r="E13" s="757">
        <v>2454.81</v>
      </c>
      <c r="F13" s="228">
        <v>9527.51</v>
      </c>
      <c r="G13" s="228">
        <v>2699.93</v>
      </c>
      <c r="H13" s="228">
        <v>2239.13</v>
      </c>
      <c r="I13" s="1331">
        <v>14466.57</v>
      </c>
      <c r="L13" s="945"/>
    </row>
    <row r="14" spans="1:12" s="40" customFormat="1" ht="10.5" customHeight="1">
      <c r="A14" s="275" t="s">
        <v>1298</v>
      </c>
      <c r="B14" s="758">
        <v>614.76</v>
      </c>
      <c r="C14" s="758">
        <v>1253.44</v>
      </c>
      <c r="D14" s="758">
        <v>712.24</v>
      </c>
      <c r="E14" s="758">
        <v>2580.4399999999996</v>
      </c>
      <c r="F14" s="431">
        <v>9895.7800000000007</v>
      </c>
      <c r="G14" s="431">
        <v>3080.35</v>
      </c>
      <c r="H14" s="431">
        <v>2815.21</v>
      </c>
      <c r="I14" s="759">
        <v>15791.34</v>
      </c>
      <c r="L14" s="945"/>
    </row>
    <row r="15" spans="1:12" s="355" customFormat="1" ht="10.5" customHeight="1">
      <c r="A15" s="676" t="s">
        <v>1407</v>
      </c>
      <c r="B15" s="756">
        <f>B16+B17+B18+B19</f>
        <v>1164.77</v>
      </c>
      <c r="C15" s="756">
        <f t="shared" ref="C15:E15" si="0">C16+C17+C18+C19</f>
        <v>988.3</v>
      </c>
      <c r="D15" s="756">
        <f t="shared" si="0"/>
        <v>1329.62</v>
      </c>
      <c r="E15" s="756">
        <f t="shared" si="0"/>
        <v>3482.6899999999996</v>
      </c>
      <c r="F15" s="432">
        <f>F19</f>
        <v>11775.91</v>
      </c>
      <c r="G15" s="432">
        <f>G19</f>
        <v>3021.77</v>
      </c>
      <c r="H15" s="432">
        <f>H19</f>
        <v>3882.53</v>
      </c>
      <c r="I15" s="760">
        <f t="shared" ref="I15" si="1">SUM(F15:H15)</f>
        <v>18680.21</v>
      </c>
      <c r="L15" s="945"/>
    </row>
    <row r="16" spans="1:12" s="355" customFormat="1" ht="10.5" customHeight="1">
      <c r="A16" s="539" t="s">
        <v>1165</v>
      </c>
      <c r="B16" s="278">
        <v>267.47000000000003</v>
      </c>
      <c r="C16" s="278">
        <v>311.27999999999997</v>
      </c>
      <c r="D16" s="278">
        <v>270.87</v>
      </c>
      <c r="E16" s="278">
        <f t="shared" ref="E16:E33" si="2">SUM(B16:D16)</f>
        <v>849.62</v>
      </c>
      <c r="F16" s="278">
        <v>10364.040000000001</v>
      </c>
      <c r="G16" s="278">
        <v>3076.04</v>
      </c>
      <c r="H16" s="278">
        <v>3202.41</v>
      </c>
      <c r="I16" s="278">
        <f>SUM(F16:H16)</f>
        <v>16642.490000000002</v>
      </c>
      <c r="L16" s="945"/>
    </row>
    <row r="17" spans="1:12" s="355" customFormat="1" ht="10.5" customHeight="1">
      <c r="A17" s="218" t="s">
        <v>1276</v>
      </c>
      <c r="B17" s="228">
        <v>518.76</v>
      </c>
      <c r="C17" s="228">
        <v>380.84</v>
      </c>
      <c r="D17" s="228">
        <v>448.11</v>
      </c>
      <c r="E17" s="228">
        <f t="shared" si="2"/>
        <v>1347.71</v>
      </c>
      <c r="F17" s="228">
        <v>10865.73</v>
      </c>
      <c r="G17" s="228">
        <v>2721.98</v>
      </c>
      <c r="H17" s="228">
        <v>3473.92</v>
      </c>
      <c r="I17" s="228">
        <f>SUM(F17:H17)</f>
        <v>17061.629999999997</v>
      </c>
      <c r="L17" s="945"/>
    </row>
    <row r="18" spans="1:12" s="355" customFormat="1" ht="10.5" customHeight="1">
      <c r="A18" s="539" t="s">
        <v>1163</v>
      </c>
      <c r="B18" s="278">
        <v>176.76</v>
      </c>
      <c r="C18" s="278">
        <v>203.73</v>
      </c>
      <c r="D18" s="278">
        <v>474</v>
      </c>
      <c r="E18" s="278">
        <f t="shared" si="2"/>
        <v>854.49</v>
      </c>
      <c r="F18" s="278">
        <v>11588.82</v>
      </c>
      <c r="G18" s="278">
        <v>2880.06</v>
      </c>
      <c r="H18" s="278">
        <v>3716.13</v>
      </c>
      <c r="I18" s="278">
        <f t="shared" ref="I18:I49" si="3">SUM(F18:H18)</f>
        <v>18185.009999999998</v>
      </c>
      <c r="L18" s="945"/>
    </row>
    <row r="19" spans="1:12" s="355" customFormat="1" ht="10.5" customHeight="1">
      <c r="A19" s="218" t="s">
        <v>1164</v>
      </c>
      <c r="B19" s="228">
        <v>201.78</v>
      </c>
      <c r="C19" s="228">
        <v>92.45</v>
      </c>
      <c r="D19" s="228">
        <v>136.63999999999999</v>
      </c>
      <c r="E19" s="228">
        <f t="shared" si="2"/>
        <v>430.87</v>
      </c>
      <c r="F19" s="228">
        <v>11775.91</v>
      </c>
      <c r="G19" s="228">
        <v>3021.77</v>
      </c>
      <c r="H19" s="228">
        <v>3882.53</v>
      </c>
      <c r="I19" s="228">
        <f t="shared" si="3"/>
        <v>18680.21</v>
      </c>
      <c r="L19" s="945"/>
    </row>
    <row r="20" spans="1:12" s="355" customFormat="1" ht="10.5" customHeight="1">
      <c r="A20" s="548" t="s">
        <v>1487</v>
      </c>
      <c r="B20" s="758">
        <f>B21+B22+B23+B24</f>
        <v>672.21180217178255</v>
      </c>
      <c r="C20" s="758">
        <f t="shared" ref="C20:E20" si="4">C21+C22+C23+C24</f>
        <v>414.36524948094154</v>
      </c>
      <c r="D20" s="758">
        <f t="shared" si="4"/>
        <v>119.76738310713577</v>
      </c>
      <c r="E20" s="758">
        <f t="shared" si="4"/>
        <v>1206.3444347598597</v>
      </c>
      <c r="F20" s="431">
        <f>F24</f>
        <v>9832.9799150558283</v>
      </c>
      <c r="G20" s="431">
        <f>G24</f>
        <v>3228.1462507731453</v>
      </c>
      <c r="H20" s="431">
        <f>H24</f>
        <v>2792.86</v>
      </c>
      <c r="I20" s="759">
        <f t="shared" si="3"/>
        <v>15853.986165828974</v>
      </c>
    </row>
    <row r="21" spans="1:12" s="355" customFormat="1" ht="10.5" customHeight="1">
      <c r="A21" s="218" t="s">
        <v>1165</v>
      </c>
      <c r="B21" s="228">
        <v>181.22843324305333</v>
      </c>
      <c r="C21" s="228">
        <v>31.343031271743257</v>
      </c>
      <c r="D21" s="228">
        <v>-55.902805572952786</v>
      </c>
      <c r="E21" s="228">
        <f t="shared" si="2"/>
        <v>156.6686589418438</v>
      </c>
      <c r="F21" s="228">
        <v>9139.1557755976337</v>
      </c>
      <c r="G21" s="228">
        <v>2954.3718413904153</v>
      </c>
      <c r="H21" s="228">
        <v>2331.9899999999998</v>
      </c>
      <c r="I21" s="228">
        <f t="shared" si="3"/>
        <v>14425.517616988049</v>
      </c>
      <c r="K21" s="726"/>
    </row>
    <row r="22" spans="1:12" s="355" customFormat="1" ht="10.5" customHeight="1">
      <c r="A22" s="539" t="s">
        <v>1276</v>
      </c>
      <c r="B22" s="278">
        <v>188.88340892515114</v>
      </c>
      <c r="C22" s="278">
        <v>174.07049359854665</v>
      </c>
      <c r="D22" s="278">
        <v>51.652527858445438</v>
      </c>
      <c r="E22" s="278">
        <f t="shared" si="2"/>
        <v>414.60643038214323</v>
      </c>
      <c r="F22" s="278">
        <v>9451.7112942199074</v>
      </c>
      <c r="G22" s="278">
        <v>3011.4844432439359</v>
      </c>
      <c r="H22" s="278">
        <v>2424.6799999999998</v>
      </c>
      <c r="I22" s="278">
        <f t="shared" si="3"/>
        <v>14887.875737463844</v>
      </c>
    </row>
    <row r="23" spans="1:12" s="355" customFormat="1" ht="10.5" customHeight="1">
      <c r="A23" s="218" t="s">
        <v>1163</v>
      </c>
      <c r="B23" s="228">
        <v>164.52593125333709</v>
      </c>
      <c r="C23" s="228">
        <v>264.52374645289404</v>
      </c>
      <c r="D23" s="228">
        <v>-23.403756999038421</v>
      </c>
      <c r="E23" s="228">
        <f t="shared" si="2"/>
        <v>405.64592070719272</v>
      </c>
      <c r="F23" s="228">
        <v>9597.2058831639806</v>
      </c>
      <c r="G23" s="228">
        <v>3411.162786788228</v>
      </c>
      <c r="H23" s="228">
        <v>2885.08</v>
      </c>
      <c r="I23" s="228">
        <f>SUM(F23:H23)</f>
        <v>15893.448669952208</v>
      </c>
    </row>
    <row r="24" spans="1:12" s="355" customFormat="1" ht="10.5" customHeight="1">
      <c r="A24" s="539" t="s">
        <v>1164</v>
      </c>
      <c r="B24" s="278">
        <v>137.57402875024093</v>
      </c>
      <c r="C24" s="278">
        <v>-55.572021842242407</v>
      </c>
      <c r="D24" s="278">
        <v>147.42141782068154</v>
      </c>
      <c r="E24" s="278">
        <f t="shared" si="2"/>
        <v>229.42342472868006</v>
      </c>
      <c r="F24" s="278">
        <v>9832.9799150558283</v>
      </c>
      <c r="G24" s="278">
        <v>3228.1462507731453</v>
      </c>
      <c r="H24" s="278">
        <v>2792.86</v>
      </c>
      <c r="I24" s="278">
        <f t="shared" si="3"/>
        <v>15853.986165828974</v>
      </c>
    </row>
    <row r="25" spans="1:12" s="355" customFormat="1" ht="10.5" customHeight="1">
      <c r="A25" s="676" t="s">
        <v>1539</v>
      </c>
      <c r="B25" s="756">
        <f>B26+B27+B28+B29</f>
        <v>728.1395429193592</v>
      </c>
      <c r="C25" s="756">
        <f t="shared" ref="C25:E25" si="5">C26+C27+C28+C29</f>
        <v>486.40375219832436</v>
      </c>
      <c r="D25" s="756">
        <f t="shared" si="5"/>
        <v>113.05449579646017</v>
      </c>
      <c r="E25" s="756">
        <f t="shared" si="5"/>
        <v>1327.5977909141438</v>
      </c>
      <c r="F25" s="432">
        <f>F29</f>
        <v>10746.3</v>
      </c>
      <c r="G25" s="432">
        <f>G29</f>
        <v>3482.674</v>
      </c>
      <c r="H25" s="432">
        <f>H29</f>
        <v>2591.8440000000001</v>
      </c>
      <c r="I25" s="760">
        <f t="shared" si="3"/>
        <v>16820.817999999999</v>
      </c>
    </row>
    <row r="26" spans="1:12" s="355" customFormat="1" ht="10.5" customHeight="1">
      <c r="A26" s="539" t="s">
        <v>1165</v>
      </c>
      <c r="B26" s="278">
        <v>120.49891477967547</v>
      </c>
      <c r="C26" s="278">
        <v>86.891415557053961</v>
      </c>
      <c r="D26" s="278">
        <v>17.137682745122305</v>
      </c>
      <c r="E26" s="278">
        <f t="shared" si="2"/>
        <v>224.52801308185175</v>
      </c>
      <c r="F26" s="278">
        <v>9899.1942071803405</v>
      </c>
      <c r="G26" s="278">
        <v>3258.6074203150638</v>
      </c>
      <c r="H26" s="278">
        <v>2467.42</v>
      </c>
      <c r="I26" s="278">
        <f t="shared" si="3"/>
        <v>15625.221627495404</v>
      </c>
      <c r="K26" s="726"/>
    </row>
    <row r="27" spans="1:12" s="355" customFormat="1" ht="10.5" customHeight="1">
      <c r="A27" s="218" t="s">
        <v>1276</v>
      </c>
      <c r="B27" s="228">
        <v>355.67257480287708</v>
      </c>
      <c r="C27" s="228">
        <v>231.99810386985828</v>
      </c>
      <c r="D27" s="228">
        <v>17.296429065867784</v>
      </c>
      <c r="E27" s="228">
        <f t="shared" si="2"/>
        <v>604.96710773860309</v>
      </c>
      <c r="F27" s="228">
        <v>10357.319528274098</v>
      </c>
      <c r="G27" s="228">
        <v>3325.2852283446155</v>
      </c>
      <c r="H27" s="228">
        <v>2657.34</v>
      </c>
      <c r="I27" s="228">
        <f t="shared" si="3"/>
        <v>16339.944756618714</v>
      </c>
    </row>
    <row r="28" spans="1:12" s="355" customFormat="1" ht="10.5" customHeight="1">
      <c r="A28" s="539" t="s">
        <v>1163</v>
      </c>
      <c r="B28" s="278">
        <v>121.15805333680674</v>
      </c>
      <c r="C28" s="278">
        <v>104.72577686544776</v>
      </c>
      <c r="D28" s="278">
        <v>72.669604266582439</v>
      </c>
      <c r="E28" s="278">
        <f t="shared" si="2"/>
        <v>298.55343446883694</v>
      </c>
      <c r="F28" s="278">
        <v>11015.225202382831</v>
      </c>
      <c r="G28" s="278">
        <v>3344.0228279621474</v>
      </c>
      <c r="H28" s="278">
        <v>2625.9</v>
      </c>
      <c r="I28" s="278">
        <f t="shared" si="3"/>
        <v>16985.148030344979</v>
      </c>
    </row>
    <row r="29" spans="1:12" s="355" customFormat="1" ht="10.5" customHeight="1">
      <c r="A29" s="218" t="s">
        <v>1164</v>
      </c>
      <c r="B29" s="228">
        <v>130.81</v>
      </c>
      <c r="C29" s="228">
        <v>62.788455905964383</v>
      </c>
      <c r="D29" s="228">
        <v>5.9507797188876452</v>
      </c>
      <c r="E29" s="228">
        <f t="shared" si="2"/>
        <v>199.54923562485203</v>
      </c>
      <c r="F29" s="228">
        <v>10746.3</v>
      </c>
      <c r="G29" s="228">
        <v>3482.674</v>
      </c>
      <c r="H29" s="228">
        <v>2591.8440000000001</v>
      </c>
      <c r="I29" s="228">
        <f t="shared" si="3"/>
        <v>16820.817999999999</v>
      </c>
    </row>
    <row r="30" spans="1:12" s="355" customFormat="1" ht="10.5" customHeight="1">
      <c r="A30" s="548" t="s">
        <v>1810</v>
      </c>
      <c r="B30" s="758">
        <f>B31+B32+B33+B34</f>
        <v>1136.2284303097997</v>
      </c>
      <c r="C30" s="758">
        <f t="shared" ref="C30:E30" si="6">C31+C32+C33+C34</f>
        <v>483.4066575141602</v>
      </c>
      <c r="D30" s="758">
        <f t="shared" si="6"/>
        <v>90.892250897865864</v>
      </c>
      <c r="E30" s="758">
        <f t="shared" si="6"/>
        <v>1710.5273387218258</v>
      </c>
      <c r="F30" s="431">
        <f>F34</f>
        <v>10975.522113632853</v>
      </c>
      <c r="G30" s="431">
        <f>G34</f>
        <v>3695.489942013593</v>
      </c>
      <c r="H30" s="431">
        <f>H34</f>
        <v>2806.27</v>
      </c>
      <c r="I30" s="759">
        <f t="shared" ref="I30" si="7">SUM(F30:H30)</f>
        <v>17477.282055646447</v>
      </c>
    </row>
    <row r="31" spans="1:12" s="355" customFormat="1" ht="10.5" customHeight="1">
      <c r="A31" s="950" t="s">
        <v>1165</v>
      </c>
      <c r="B31" s="228">
        <v>252.08</v>
      </c>
      <c r="C31" s="228">
        <v>123.43345269186131</v>
      </c>
      <c r="D31" s="228">
        <v>21.897757522825628</v>
      </c>
      <c r="E31" s="228">
        <f t="shared" si="2"/>
        <v>397.41121021468689</v>
      </c>
      <c r="F31" s="228">
        <v>10927.89</v>
      </c>
      <c r="G31" s="228">
        <v>4214.0274912398809</v>
      </c>
      <c r="H31" s="228">
        <v>2633.13</v>
      </c>
      <c r="I31" s="228">
        <f t="shared" si="3"/>
        <v>17775.047491239882</v>
      </c>
    </row>
    <row r="32" spans="1:12" s="355" customFormat="1" ht="10.5" customHeight="1">
      <c r="A32" s="993" t="s">
        <v>1276</v>
      </c>
      <c r="B32" s="278">
        <v>469.37</v>
      </c>
      <c r="C32" s="278">
        <v>99.62302759833068</v>
      </c>
      <c r="D32" s="278">
        <v>107.65300000000001</v>
      </c>
      <c r="E32" s="278">
        <f t="shared" si="2"/>
        <v>676.64602759833065</v>
      </c>
      <c r="F32" s="278">
        <v>11495.97</v>
      </c>
      <c r="G32" s="278">
        <v>4116.6755739096761</v>
      </c>
      <c r="H32" s="278">
        <v>2820.5</v>
      </c>
      <c r="I32" s="278">
        <f t="shared" si="3"/>
        <v>18433.145573909675</v>
      </c>
    </row>
    <row r="33" spans="1:9" s="355" customFormat="1" ht="10.5" customHeight="1">
      <c r="A33" s="950" t="s">
        <v>1163</v>
      </c>
      <c r="B33" s="228">
        <v>246.21210190237227</v>
      </c>
      <c r="C33" s="228">
        <v>253.08586343978902</v>
      </c>
      <c r="D33" s="228">
        <v>-10.055464788014888</v>
      </c>
      <c r="E33" s="228">
        <f t="shared" si="2"/>
        <v>489.24250055414643</v>
      </c>
      <c r="F33" s="228">
        <v>11722.45</v>
      </c>
      <c r="G33" s="228">
        <v>4259.2757488694888</v>
      </c>
      <c r="H33" s="228">
        <v>2884</v>
      </c>
      <c r="I33" s="228">
        <f t="shared" si="3"/>
        <v>18865.725748869489</v>
      </c>
    </row>
    <row r="34" spans="1:9" s="355" customFormat="1" ht="10.5" customHeight="1">
      <c r="A34" s="993" t="s">
        <v>1164</v>
      </c>
      <c r="B34" s="278">
        <v>168.56632840742736</v>
      </c>
      <c r="C34" s="278">
        <v>7.264313784179194</v>
      </c>
      <c r="D34" s="278">
        <v>-28.603041836944868</v>
      </c>
      <c r="E34" s="278">
        <f>SUM(B34:D34)</f>
        <v>147.22760035466169</v>
      </c>
      <c r="F34" s="278">
        <v>10975.522113632853</v>
      </c>
      <c r="G34" s="278">
        <v>3695.489942013593</v>
      </c>
      <c r="H34" s="278">
        <v>2806.27</v>
      </c>
      <c r="I34" s="278">
        <f t="shared" si="3"/>
        <v>17477.282055646447</v>
      </c>
    </row>
    <row r="35" spans="1:9" s="355" customFormat="1" ht="10.5" customHeight="1">
      <c r="A35" s="676" t="s">
        <v>2056</v>
      </c>
      <c r="B35" s="756">
        <f>B36+B37+B38+B39</f>
        <v>709.9295798735285</v>
      </c>
      <c r="C35" s="756">
        <f>C36+C37+C38+C39</f>
        <v>788.07825689303422</v>
      </c>
      <c r="D35" s="756">
        <f t="shared" ref="D35:E35" si="8">D36+D37+D38+D39</f>
        <v>107.4560566764363</v>
      </c>
      <c r="E35" s="756">
        <f t="shared" si="8"/>
        <v>1605.4638934429991</v>
      </c>
      <c r="F35" s="432">
        <f>F39</f>
        <v>10597.720442214342</v>
      </c>
      <c r="G35" s="432">
        <f>G39</f>
        <v>4043.73</v>
      </c>
      <c r="H35" s="432">
        <f>H39</f>
        <v>2875.56</v>
      </c>
      <c r="I35" s="760">
        <f t="shared" si="3"/>
        <v>17517.010442214341</v>
      </c>
    </row>
    <row r="36" spans="1:9" s="355" customFormat="1" ht="10.5" customHeight="1">
      <c r="A36" s="993" t="s">
        <v>1165</v>
      </c>
      <c r="B36" s="278">
        <v>223.66504454925553</v>
      </c>
      <c r="C36" s="278">
        <v>164.05450189583735</v>
      </c>
      <c r="D36" s="278">
        <v>109.42230581789886</v>
      </c>
      <c r="E36" s="278">
        <f t="shared" ref="E36:E39" si="9">SUM(B36:D36)</f>
        <v>497.14185226299173</v>
      </c>
      <c r="F36" s="278">
        <v>11056.39</v>
      </c>
      <c r="G36" s="278">
        <v>3738.6640000000002</v>
      </c>
      <c r="H36" s="278">
        <v>2928.2339999999999</v>
      </c>
      <c r="I36" s="278">
        <f t="shared" si="3"/>
        <v>17723.288</v>
      </c>
    </row>
    <row r="37" spans="1:9" s="355" customFormat="1" ht="10.5" customHeight="1">
      <c r="A37" s="950" t="s">
        <v>1276</v>
      </c>
      <c r="B37" s="228">
        <v>230.49779332823621</v>
      </c>
      <c r="C37" s="228">
        <v>245.43833483737012</v>
      </c>
      <c r="D37" s="228">
        <v>-91.944752915763786</v>
      </c>
      <c r="E37" s="228">
        <f t="shared" si="9"/>
        <v>383.99137524984252</v>
      </c>
      <c r="F37" s="228">
        <v>11014.943646098083</v>
      </c>
      <c r="G37" s="228">
        <v>3984.22</v>
      </c>
      <c r="H37" s="228">
        <v>2868.81</v>
      </c>
      <c r="I37" s="228">
        <f t="shared" si="3"/>
        <v>17867.973646098082</v>
      </c>
    </row>
    <row r="38" spans="1:9" s="355" customFormat="1" ht="10.5" customHeight="1">
      <c r="A38" s="993" t="s">
        <v>1163</v>
      </c>
      <c r="B38" s="278">
        <v>137.00539392957256</v>
      </c>
      <c r="C38" s="278">
        <v>205.77697716266829</v>
      </c>
      <c r="D38" s="278">
        <v>-45.44</v>
      </c>
      <c r="E38" s="278">
        <f t="shared" si="9"/>
        <v>297.34237109224085</v>
      </c>
      <c r="F38" s="278">
        <v>10899.948</v>
      </c>
      <c r="G38" s="278">
        <v>4108.9129999999996</v>
      </c>
      <c r="H38" s="278">
        <v>2818.884</v>
      </c>
      <c r="I38" s="278">
        <f t="shared" si="3"/>
        <v>17827.745000000003</v>
      </c>
    </row>
    <row r="39" spans="1:9" s="355" customFormat="1" ht="10.5" customHeight="1">
      <c r="A39" s="1181" t="s">
        <v>1164</v>
      </c>
      <c r="B39" s="228">
        <v>118.76134806646412</v>
      </c>
      <c r="C39" s="228">
        <v>172.80844299715847</v>
      </c>
      <c r="D39" s="228">
        <v>135.41850377430123</v>
      </c>
      <c r="E39" s="228">
        <f t="shared" si="9"/>
        <v>426.98829483792383</v>
      </c>
      <c r="F39" s="228">
        <v>10597.720442214342</v>
      </c>
      <c r="G39" s="228">
        <v>4043.73</v>
      </c>
      <c r="H39" s="228">
        <v>2875.56</v>
      </c>
      <c r="I39" s="228">
        <f t="shared" si="3"/>
        <v>17517.010442214341</v>
      </c>
    </row>
    <row r="40" spans="1:9" s="355" customFormat="1" ht="10.5" customHeight="1">
      <c r="A40" s="548" t="s">
        <v>2188</v>
      </c>
      <c r="B40" s="758">
        <f>B41+B42+B43+B44</f>
        <v>667.55865143447068</v>
      </c>
      <c r="C40" s="758">
        <f t="shared" ref="C40:E40" si="10">C41+C42+C43+C44</f>
        <v>614.870941240467</v>
      </c>
      <c r="D40" s="758">
        <f t="shared" si="10"/>
        <v>133.03</v>
      </c>
      <c r="E40" s="758">
        <f t="shared" si="10"/>
        <v>1415.4595926749375</v>
      </c>
      <c r="F40" s="431">
        <f>F44</f>
        <v>10465.309350218979</v>
      </c>
      <c r="G40" s="431">
        <f>G44</f>
        <v>4285.3725929807633</v>
      </c>
      <c r="H40" s="431">
        <f>H44</f>
        <v>2976.72</v>
      </c>
      <c r="I40" s="759">
        <f t="shared" ref="I40" si="11">SUM(F40:H40)</f>
        <v>17727.401943199744</v>
      </c>
    </row>
    <row r="41" spans="1:9" s="355" customFormat="1" ht="10.5" customHeight="1">
      <c r="A41" s="1181" t="s">
        <v>1165</v>
      </c>
      <c r="B41" s="228">
        <v>144.80771510213179</v>
      </c>
      <c r="C41" s="228">
        <v>271.25145873778467</v>
      </c>
      <c r="D41" s="228">
        <v>-55.52</v>
      </c>
      <c r="E41" s="228">
        <f t="shared" ref="E41:E43" si="12">SUM(B41:D41)</f>
        <v>360.53917383991649</v>
      </c>
      <c r="F41" s="228">
        <v>10419.049942807074</v>
      </c>
      <c r="G41" s="228">
        <v>4141.47</v>
      </c>
      <c r="H41" s="228">
        <v>2789.16</v>
      </c>
      <c r="I41" s="228">
        <f t="shared" si="3"/>
        <v>17349.679942807074</v>
      </c>
    </row>
    <row r="42" spans="1:9" s="355" customFormat="1" ht="10.5" customHeight="1">
      <c r="A42" s="1264" t="s">
        <v>1276</v>
      </c>
      <c r="B42" s="278">
        <v>187.72</v>
      </c>
      <c r="C42" s="278">
        <v>120.31</v>
      </c>
      <c r="D42" s="278">
        <v>71.23</v>
      </c>
      <c r="E42" s="278">
        <f t="shared" si="12"/>
        <v>379.26</v>
      </c>
      <c r="F42" s="278">
        <v>10620.66</v>
      </c>
      <c r="G42" s="278">
        <v>4349.99</v>
      </c>
      <c r="H42" s="278">
        <v>2861.28</v>
      </c>
      <c r="I42" s="278">
        <f t="shared" si="3"/>
        <v>17831.93</v>
      </c>
    </row>
    <row r="43" spans="1:9" s="355" customFormat="1" ht="10.5" customHeight="1">
      <c r="A43" s="1181" t="s">
        <v>1163</v>
      </c>
      <c r="B43" s="228">
        <v>120.88740568218184</v>
      </c>
      <c r="C43" s="228">
        <v>257.264877454182</v>
      </c>
      <c r="D43" s="228">
        <v>25.29</v>
      </c>
      <c r="E43" s="228">
        <f t="shared" si="12"/>
        <v>403.44228313636387</v>
      </c>
      <c r="F43" s="228">
        <v>10872.513999999999</v>
      </c>
      <c r="G43" s="228">
        <v>4956.7539999999999</v>
      </c>
      <c r="H43" s="228">
        <v>2888.42</v>
      </c>
      <c r="I43" s="228">
        <f t="shared" si="3"/>
        <v>18717.688000000002</v>
      </c>
    </row>
    <row r="44" spans="1:9" s="355" customFormat="1" ht="10.5" customHeight="1">
      <c r="A44" s="1264" t="s">
        <v>1164</v>
      </c>
      <c r="B44" s="278">
        <v>214.14353065015712</v>
      </c>
      <c r="C44" s="278">
        <v>-33.95539495149967</v>
      </c>
      <c r="D44" s="278">
        <v>92.03</v>
      </c>
      <c r="E44" s="278">
        <f>SUM(B44:D44)</f>
        <v>272.21813569865742</v>
      </c>
      <c r="F44" s="278">
        <v>10465.309350218979</v>
      </c>
      <c r="G44" s="278">
        <v>4285.3725929807633</v>
      </c>
      <c r="H44" s="278">
        <v>2976.72</v>
      </c>
      <c r="I44" s="278">
        <f t="shared" si="3"/>
        <v>17727.401943199744</v>
      </c>
    </row>
    <row r="45" spans="1:9" s="355" customFormat="1" ht="10.5" customHeight="1">
      <c r="A45" s="1299" t="s">
        <v>2439</v>
      </c>
      <c r="B45" s="756">
        <f>B46+B47+B48+B49</f>
        <v>554.77</v>
      </c>
      <c r="C45" s="756">
        <f>C46+C47+C48+C49</f>
        <v>758.11</v>
      </c>
      <c r="D45" s="756">
        <f t="shared" ref="D45:E45" si="13">D46+D47+D48+D49</f>
        <v>381.69000000000005</v>
      </c>
      <c r="E45" s="756">
        <f t="shared" si="13"/>
        <v>1694.5700000000002</v>
      </c>
      <c r="F45" s="432">
        <f>F49</f>
        <v>10871.19</v>
      </c>
      <c r="G45" s="432">
        <f>G49</f>
        <v>4798.46</v>
      </c>
      <c r="H45" s="432">
        <f>H49</f>
        <v>3552.09</v>
      </c>
      <c r="I45" s="760">
        <f t="shared" ref="I45" si="14">SUM(F45:H45)</f>
        <v>19221.740000000002</v>
      </c>
    </row>
    <row r="46" spans="1:9" s="355" customFormat="1" ht="10.5" customHeight="1">
      <c r="A46" s="1264" t="s">
        <v>1165</v>
      </c>
      <c r="B46" s="278">
        <v>76.790000000000006</v>
      </c>
      <c r="C46" s="278">
        <v>72.900000000000006</v>
      </c>
      <c r="D46" s="278">
        <v>-45.36</v>
      </c>
      <c r="E46" s="278">
        <f>SUM(B46:D46)</f>
        <v>104.33</v>
      </c>
      <c r="F46" s="278">
        <v>10423.57</v>
      </c>
      <c r="G46" s="278">
        <v>4315.08</v>
      </c>
      <c r="H46" s="278">
        <v>2938.7</v>
      </c>
      <c r="I46" s="278">
        <f t="shared" si="3"/>
        <v>17677.349999999999</v>
      </c>
    </row>
    <row r="47" spans="1:9" s="355" customFormat="1" ht="10.5" customHeight="1">
      <c r="A47" s="1181" t="s">
        <v>1276</v>
      </c>
      <c r="B47" s="228">
        <v>132.81</v>
      </c>
      <c r="C47" s="228">
        <v>325.75</v>
      </c>
      <c r="D47" s="228">
        <v>31.84</v>
      </c>
      <c r="E47" s="228">
        <f>SUM(B47:D47)</f>
        <v>490.4</v>
      </c>
      <c r="F47" s="228">
        <v>10686.58</v>
      </c>
      <c r="G47" s="228">
        <v>4680.9399999999996</v>
      </c>
      <c r="H47" s="228">
        <v>2926.36</v>
      </c>
      <c r="I47" s="228">
        <f t="shared" si="3"/>
        <v>18293.88</v>
      </c>
    </row>
    <row r="48" spans="1:9" s="355" customFormat="1" ht="10.5" customHeight="1">
      <c r="A48" s="1264" t="s">
        <v>1163</v>
      </c>
      <c r="B48" s="278">
        <v>263.87</v>
      </c>
      <c r="C48" s="278">
        <v>191.22</v>
      </c>
      <c r="D48" s="278">
        <v>341.48</v>
      </c>
      <c r="E48" s="278">
        <f>SUM(B48:D48)</f>
        <v>796.57</v>
      </c>
      <c r="F48" s="278">
        <v>10806.99</v>
      </c>
      <c r="G48" s="278">
        <v>4742.75</v>
      </c>
      <c r="H48" s="278">
        <v>3449.56</v>
      </c>
      <c r="I48" s="278">
        <f t="shared" si="3"/>
        <v>18999.3</v>
      </c>
    </row>
    <row r="49" spans="1:9" s="355" customFormat="1" ht="10.5" customHeight="1">
      <c r="A49" s="1181" t="s">
        <v>1164</v>
      </c>
      <c r="B49" s="228">
        <v>81.3</v>
      </c>
      <c r="C49" s="228">
        <v>168.24</v>
      </c>
      <c r="D49" s="228">
        <v>53.73</v>
      </c>
      <c r="E49" s="228">
        <f>SUM(B49:D49)</f>
        <v>303.27000000000004</v>
      </c>
      <c r="F49" s="228">
        <v>10871.19</v>
      </c>
      <c r="G49" s="228">
        <v>4798.46</v>
      </c>
      <c r="H49" s="228">
        <v>3552.09</v>
      </c>
      <c r="I49" s="228">
        <f t="shared" si="3"/>
        <v>19221.740000000002</v>
      </c>
    </row>
    <row r="50" spans="1:9" s="206" customFormat="1" ht="10.5" customHeight="1">
      <c r="A50" s="548" t="s">
        <v>2761</v>
      </c>
      <c r="B50" s="758"/>
      <c r="C50" s="758"/>
      <c r="D50" s="758"/>
      <c r="E50" s="758"/>
      <c r="F50" s="431"/>
      <c r="G50" s="431"/>
      <c r="H50" s="431"/>
      <c r="I50" s="759"/>
    </row>
    <row r="51" spans="1:9" s="355" customFormat="1" ht="10.5" customHeight="1">
      <c r="A51" s="1181" t="s">
        <v>1165</v>
      </c>
      <c r="B51" s="228">
        <v>101.12</v>
      </c>
      <c r="C51" s="228">
        <v>211.47</v>
      </c>
      <c r="D51" s="228">
        <v>2.4900000000000002</v>
      </c>
      <c r="E51" s="228">
        <f>SUM(B51:D51)</f>
        <v>315.08000000000004</v>
      </c>
      <c r="F51" s="228">
        <v>11072.05</v>
      </c>
      <c r="G51" s="228">
        <v>5100.12</v>
      </c>
      <c r="H51" s="228">
        <v>3590.43</v>
      </c>
      <c r="I51" s="228">
        <f t="shared" ref="I51" si="15">SUM(F51:H51)</f>
        <v>19762.599999999999</v>
      </c>
    </row>
    <row r="52" spans="1:9" s="146" customFormat="1" ht="10.5" customHeight="1">
      <c r="A52" s="1264" t="s">
        <v>1276</v>
      </c>
      <c r="B52" s="278">
        <v>108.34</v>
      </c>
      <c r="C52" s="278">
        <v>210.74</v>
      </c>
      <c r="D52" s="278">
        <v>51.16</v>
      </c>
      <c r="E52" s="278">
        <f>B52+C52+D52</f>
        <v>370.24</v>
      </c>
      <c r="F52" s="278">
        <v>11232.51</v>
      </c>
      <c r="G52" s="278">
        <v>5425.12</v>
      </c>
      <c r="H52" s="278">
        <v>3663.08</v>
      </c>
      <c r="I52" s="278">
        <f>H52+G52+F52</f>
        <v>20320.71</v>
      </c>
    </row>
    <row r="53" spans="1:9" s="146" customFormat="1" ht="10.5" customHeight="1" thickBot="1">
      <c r="A53" s="1649" t="s">
        <v>1163</v>
      </c>
      <c r="B53" s="1650">
        <v>78.260000000000005</v>
      </c>
      <c r="C53" s="1650">
        <v>342.92</v>
      </c>
      <c r="D53" s="1650">
        <v>26.13</v>
      </c>
      <c r="E53" s="1650">
        <f>B53+C53+D53</f>
        <v>447.31</v>
      </c>
      <c r="F53" s="1650">
        <v>11361.89</v>
      </c>
      <c r="G53" s="1650">
        <v>5608.11</v>
      </c>
      <c r="H53" s="1650">
        <v>4334.9799999999996</v>
      </c>
      <c r="I53" s="1650">
        <f>H53+G53+F53</f>
        <v>21304.98</v>
      </c>
    </row>
    <row r="54" spans="1:9">
      <c r="A54" s="217" t="s">
        <v>591</v>
      </c>
      <c r="B54" s="2330" t="s">
        <v>1847</v>
      </c>
      <c r="C54" s="2330"/>
      <c r="D54" s="2330"/>
      <c r="E54" s="2330"/>
      <c r="F54" s="2330"/>
      <c r="G54" s="2330"/>
      <c r="H54" s="2330"/>
      <c r="I54" s="2330"/>
    </row>
    <row r="55" spans="1:9">
      <c r="A55" s="15"/>
      <c r="B55" s="2331" t="s">
        <v>1536</v>
      </c>
      <c r="C55" s="2331"/>
      <c r="D55" s="2331"/>
      <c r="E55" s="2331"/>
      <c r="F55" s="2331"/>
      <c r="G55" s="2331"/>
      <c r="H55" s="2331"/>
      <c r="I55" s="2331"/>
    </row>
    <row r="56" spans="1:9">
      <c r="A56" s="15"/>
      <c r="B56" s="1530" t="s">
        <v>2520</v>
      </c>
      <c r="C56" s="1530"/>
      <c r="D56" s="1530"/>
      <c r="E56" s="1530"/>
      <c r="F56" s="1530"/>
      <c r="G56" s="1530"/>
      <c r="H56" s="1530"/>
      <c r="I56" s="1530"/>
    </row>
    <row r="57" spans="1:9">
      <c r="A57" s="15"/>
      <c r="B57" s="1530" t="s">
        <v>2521</v>
      </c>
      <c r="C57" s="1530"/>
      <c r="D57" s="1530"/>
      <c r="E57" s="1530"/>
      <c r="F57" s="1530"/>
      <c r="G57" s="1530" t="s">
        <v>1296</v>
      </c>
      <c r="H57" s="1362"/>
      <c r="I57" s="1530"/>
    </row>
    <row r="58" spans="1:9">
      <c r="A58" s="509" t="s">
        <v>808</v>
      </c>
      <c r="B58" s="2322" t="s">
        <v>1208</v>
      </c>
      <c r="C58" s="2322"/>
      <c r="D58" s="2322"/>
      <c r="E58" s="2322"/>
      <c r="F58" s="29"/>
      <c r="G58" s="2147" t="s">
        <v>2443</v>
      </c>
      <c r="H58" s="2147"/>
      <c r="I58" s="216"/>
    </row>
    <row r="59" spans="1:9" ht="11.1" customHeight="1">
      <c r="E59" s="1531"/>
      <c r="F59" s="1531"/>
    </row>
    <row r="60" spans="1:9" ht="11.1" customHeight="1">
      <c r="E60" s="547"/>
    </row>
    <row r="61" spans="1:9" ht="11.1" customHeight="1">
      <c r="E61" s="547"/>
    </row>
  </sheetData>
  <customSheetViews>
    <customSheetView guid="{A374FC54-96E3-45F0-9C12-8450400C12DF}" scale="160">
      <pane xSplit="1" ySplit="5" topLeftCell="B35" activePane="bottomRight" state="frozen"/>
      <selection pane="bottomRight" activeCell="K38" sqref="K38"/>
      <pageMargins left="0.59055118110236204" right="0.511811023622047" top="0.39370078740157499" bottom="0.511811023622047" header="0" footer="0.39370078740157499"/>
      <pageSetup paperSize="132" firstPageNumber="31" orientation="portrait" useFirstPageNumber="1" r:id="rId1"/>
      <headerFooter>
        <oddFooter>&amp;C&amp;"Times New Roman,Regular"&amp;8&amp;P</oddFooter>
      </headerFooter>
    </customSheetView>
  </customSheetViews>
  <mergeCells count="9">
    <mergeCell ref="B58:E58"/>
    <mergeCell ref="G58:H58"/>
    <mergeCell ref="A1:G2"/>
    <mergeCell ref="H3:I3"/>
    <mergeCell ref="A4:A5"/>
    <mergeCell ref="B4:E4"/>
    <mergeCell ref="F4:I4"/>
    <mergeCell ref="B54:I54"/>
    <mergeCell ref="B55:I55"/>
  </mergeCells>
  <phoneticPr fontId="54" type="noConversion"/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5"/>
  <dimension ref="A1:BE69"/>
  <sheetViews>
    <sheetView zoomScale="150" zoomScaleNormal="150" workbookViewId="0">
      <pane xSplit="1" ySplit="6" topLeftCell="W28" activePane="bottomRight" state="frozen"/>
      <selection activeCell="X47" sqref="X47:X50"/>
      <selection pane="topRight" activeCell="X47" sqref="X47:X50"/>
      <selection pane="bottomLeft" activeCell="X47" sqref="X47:X50"/>
      <selection pane="bottomRight" activeCell="AS35" sqref="AS35"/>
    </sheetView>
  </sheetViews>
  <sheetFormatPr defaultColWidth="9.140625" defaultRowHeight="9"/>
  <cols>
    <col min="1" max="1" width="8.85546875" style="62" customWidth="1"/>
    <col min="2" max="2" width="5.28515625" style="29" customWidth="1"/>
    <col min="3" max="3" width="8.28515625" style="29" customWidth="1"/>
    <col min="4" max="4" width="4.85546875" style="29" customWidth="1"/>
    <col min="5" max="5" width="8.28515625" style="29" customWidth="1"/>
    <col min="6" max="6" width="5.42578125" style="29" customWidth="1"/>
    <col min="7" max="7" width="7.7109375" style="29" customWidth="1"/>
    <col min="8" max="8" width="6.85546875" style="29" customWidth="1"/>
    <col min="9" max="9" width="5.42578125" style="29" customWidth="1"/>
    <col min="10" max="10" width="5.5703125" style="29" customWidth="1"/>
    <col min="11" max="12" width="6.42578125" style="29" customWidth="1"/>
    <col min="13" max="13" width="8.28515625" style="29" customWidth="1"/>
    <col min="14" max="14" width="8.85546875" style="29" customWidth="1"/>
    <col min="15" max="15" width="8.5703125" style="29" customWidth="1"/>
    <col min="16" max="16" width="9" style="29" customWidth="1"/>
    <col min="17" max="17" width="8.140625" style="29" customWidth="1"/>
    <col min="18" max="18" width="7.7109375" style="29" customWidth="1"/>
    <col min="19" max="19" width="7.42578125" style="29" customWidth="1"/>
    <col min="20" max="20" width="7.85546875" style="29" customWidth="1"/>
    <col min="21" max="21" width="9.5703125" style="62" customWidth="1"/>
    <col min="22" max="22" width="9.7109375" style="62" customWidth="1"/>
    <col min="23" max="24" width="6" style="29" customWidth="1"/>
    <col min="25" max="25" width="7.5703125" style="29" customWidth="1"/>
    <col min="26" max="26" width="6.85546875" style="29" customWidth="1"/>
    <col min="27" max="27" width="6.42578125" style="29" customWidth="1"/>
    <col min="28" max="28" width="6.85546875" style="29" customWidth="1"/>
    <col min="29" max="29" width="6.5703125" style="29" customWidth="1"/>
    <col min="30" max="30" width="7.28515625" style="29" customWidth="1"/>
    <col min="31" max="31" width="8.140625" style="29" customWidth="1"/>
    <col min="32" max="32" width="6.85546875" style="29" customWidth="1"/>
    <col min="33" max="33" width="6.42578125" style="29" customWidth="1"/>
    <col min="34" max="34" width="7.7109375" style="29" customWidth="1"/>
    <col min="35" max="35" width="7" style="29" customWidth="1"/>
    <col min="36" max="36" width="7.140625" style="29" customWidth="1"/>
    <col min="37" max="37" width="7.7109375" style="29" customWidth="1"/>
    <col min="38" max="38" width="7.85546875" style="29" customWidth="1"/>
    <col min="39" max="39" width="9.7109375" style="29" customWidth="1"/>
    <col min="40" max="40" width="7.7109375" style="29" customWidth="1"/>
    <col min="41" max="41" width="8.28515625" style="29" customWidth="1"/>
    <col min="42" max="42" width="9.7109375" style="62" customWidth="1"/>
    <col min="43" max="57" width="5.5703125" style="29" customWidth="1"/>
    <col min="58" max="16384" width="9.140625" style="29"/>
  </cols>
  <sheetData>
    <row r="1" spans="1:57" s="20" customFormat="1" ht="15.75">
      <c r="A1" s="2355" t="s">
        <v>629</v>
      </c>
      <c r="B1" s="2355"/>
      <c r="C1" s="2355"/>
      <c r="D1" s="2355"/>
      <c r="E1" s="55"/>
      <c r="F1" s="55"/>
      <c r="J1" s="2340" t="s">
        <v>117</v>
      </c>
      <c r="K1" s="2340"/>
      <c r="L1" s="2340"/>
      <c r="M1" s="2348" t="s">
        <v>116</v>
      </c>
      <c r="N1" s="2348"/>
      <c r="S1" s="2340" t="s">
        <v>138</v>
      </c>
      <c r="T1" s="2340"/>
      <c r="U1" s="2340"/>
      <c r="AE1" s="2340" t="s">
        <v>117</v>
      </c>
      <c r="AF1" s="2340"/>
      <c r="AG1" s="2348" t="s">
        <v>116</v>
      </c>
      <c r="AH1" s="2348"/>
      <c r="AI1" s="2348"/>
      <c r="AN1" s="2340" t="s">
        <v>223</v>
      </c>
      <c r="AO1" s="2340"/>
      <c r="AP1" s="2340"/>
    </row>
    <row r="2" spans="1:57" s="19" customFormat="1" ht="11.25" customHeight="1">
      <c r="A2" s="1561"/>
      <c r="B2" s="1561"/>
      <c r="C2" s="1561"/>
      <c r="D2" s="1561"/>
      <c r="E2" s="56"/>
      <c r="F2" s="56"/>
      <c r="G2" s="57"/>
      <c r="H2" s="57"/>
      <c r="I2" s="57"/>
      <c r="M2" s="57"/>
      <c r="S2" s="1561"/>
      <c r="T2" s="2349" t="s">
        <v>24</v>
      </c>
      <c r="U2" s="2349"/>
      <c r="AO2" s="2349" t="s">
        <v>24</v>
      </c>
      <c r="AP2" s="2349"/>
    </row>
    <row r="3" spans="1:57" s="107" customFormat="1" ht="13.5" customHeight="1">
      <c r="A3" s="2337" t="s">
        <v>21</v>
      </c>
      <c r="B3" s="2350" t="s">
        <v>168</v>
      </c>
      <c r="C3" s="2351"/>
      <c r="D3" s="2351"/>
      <c r="E3" s="2351"/>
      <c r="F3" s="2351"/>
      <c r="G3" s="2351"/>
      <c r="H3" s="2351"/>
      <c r="I3" s="2351"/>
      <c r="J3" s="2351"/>
      <c r="K3" s="2351"/>
      <c r="L3" s="2354"/>
      <c r="M3" s="2350" t="s">
        <v>169</v>
      </c>
      <c r="N3" s="2351"/>
      <c r="O3" s="2351"/>
      <c r="P3" s="2351"/>
      <c r="Q3" s="2351"/>
      <c r="R3" s="2351"/>
      <c r="S3" s="2351"/>
      <c r="T3" s="2354"/>
      <c r="U3" s="2337" t="s">
        <v>21</v>
      </c>
      <c r="V3" s="2337" t="s">
        <v>21</v>
      </c>
      <c r="W3" s="2350" t="s">
        <v>170</v>
      </c>
      <c r="X3" s="2351"/>
      <c r="Y3" s="2351"/>
      <c r="Z3" s="2351"/>
      <c r="AA3" s="2351"/>
      <c r="AB3" s="2351"/>
      <c r="AC3" s="2351"/>
      <c r="AD3" s="2351"/>
      <c r="AE3" s="2351"/>
      <c r="AF3" s="2351"/>
      <c r="AG3" s="2351"/>
      <c r="AH3" s="2351" t="s">
        <v>171</v>
      </c>
      <c r="AI3" s="2351"/>
      <c r="AJ3" s="2351"/>
      <c r="AK3" s="2351"/>
      <c r="AL3" s="2351"/>
      <c r="AM3" s="2354"/>
      <c r="AN3" s="2332" t="s">
        <v>906</v>
      </c>
      <c r="AO3" s="2332" t="s">
        <v>908</v>
      </c>
      <c r="AP3" s="2337" t="s">
        <v>481</v>
      </c>
    </row>
    <row r="4" spans="1:57" s="77" customFormat="1" ht="11.25" customHeight="1">
      <c r="A4" s="2338"/>
      <c r="B4" s="2332" t="s">
        <v>925</v>
      </c>
      <c r="C4" s="2335" t="s">
        <v>2256</v>
      </c>
      <c r="D4" s="2332" t="s">
        <v>111</v>
      </c>
      <c r="E4" s="2335" t="s">
        <v>2257</v>
      </c>
      <c r="F4" s="2332" t="s">
        <v>2258</v>
      </c>
      <c r="G4" s="2335" t="s">
        <v>2259</v>
      </c>
      <c r="H4" s="2335" t="s">
        <v>1237</v>
      </c>
      <c r="I4" s="2332" t="s">
        <v>741</v>
      </c>
      <c r="J4" s="2332" t="s">
        <v>742</v>
      </c>
      <c r="K4" s="2346" t="s">
        <v>490</v>
      </c>
      <c r="L4" s="2344" t="s">
        <v>221</v>
      </c>
      <c r="M4" s="2341" t="s">
        <v>491</v>
      </c>
      <c r="N4" s="2342"/>
      <c r="O4" s="2343"/>
      <c r="P4" s="2341" t="s">
        <v>217</v>
      </c>
      <c r="Q4" s="2342"/>
      <c r="R4" s="2342"/>
      <c r="S4" s="2342"/>
      <c r="T4" s="2343"/>
      <c r="U4" s="2338"/>
      <c r="V4" s="2338"/>
      <c r="W4" s="2341" t="s">
        <v>222</v>
      </c>
      <c r="X4" s="2342"/>
      <c r="Y4" s="2342"/>
      <c r="Z4" s="2342"/>
      <c r="AA4" s="2342"/>
      <c r="AB4" s="2342"/>
      <c r="AC4" s="2342"/>
      <c r="AD4" s="2342"/>
      <c r="AE4" s="2342"/>
      <c r="AF4" s="2342"/>
      <c r="AG4" s="2342"/>
      <c r="AH4" s="2342"/>
      <c r="AI4" s="2342"/>
      <c r="AJ4" s="2342"/>
      <c r="AK4" s="2342"/>
      <c r="AL4" s="2342"/>
      <c r="AM4" s="2343"/>
      <c r="AN4" s="2333"/>
      <c r="AO4" s="2333"/>
      <c r="AP4" s="2338"/>
    </row>
    <row r="5" spans="1:57" s="59" customFormat="1" ht="44.25" customHeight="1">
      <c r="A5" s="2338"/>
      <c r="B5" s="2334"/>
      <c r="C5" s="2336"/>
      <c r="D5" s="2334"/>
      <c r="E5" s="2336"/>
      <c r="F5" s="2334"/>
      <c r="G5" s="2336"/>
      <c r="H5" s="2336"/>
      <c r="I5" s="2334"/>
      <c r="J5" s="2334"/>
      <c r="K5" s="2347"/>
      <c r="L5" s="2345"/>
      <c r="M5" s="1566" t="s">
        <v>492</v>
      </c>
      <c r="N5" s="1567" t="s">
        <v>493</v>
      </c>
      <c r="O5" s="1567" t="s">
        <v>641</v>
      </c>
      <c r="P5" s="1567" t="s">
        <v>2260</v>
      </c>
      <c r="Q5" s="1567" t="s">
        <v>494</v>
      </c>
      <c r="R5" s="1567" t="s">
        <v>743</v>
      </c>
      <c r="S5" s="1567" t="s">
        <v>744</v>
      </c>
      <c r="T5" s="1566" t="s">
        <v>777</v>
      </c>
      <c r="U5" s="2338"/>
      <c r="V5" s="2338"/>
      <c r="W5" s="845" t="s">
        <v>585</v>
      </c>
      <c r="X5" s="1559" t="s">
        <v>113</v>
      </c>
      <c r="Y5" s="1559" t="s">
        <v>905</v>
      </c>
      <c r="Z5" s="1559" t="s">
        <v>2261</v>
      </c>
      <c r="AA5" s="1558" t="s">
        <v>2263</v>
      </c>
      <c r="AB5" s="1559" t="s">
        <v>219</v>
      </c>
      <c r="AC5" s="1559" t="s">
        <v>575</v>
      </c>
      <c r="AD5" s="1559" t="s">
        <v>2264</v>
      </c>
      <c r="AE5" s="1558" t="s">
        <v>2262</v>
      </c>
      <c r="AF5" s="1559" t="s">
        <v>2265</v>
      </c>
      <c r="AG5" s="1559" t="s">
        <v>495</v>
      </c>
      <c r="AH5" s="1067" t="s">
        <v>1238</v>
      </c>
      <c r="AI5" s="1567" t="s">
        <v>745</v>
      </c>
      <c r="AJ5" s="1567" t="s">
        <v>2266</v>
      </c>
      <c r="AK5" s="1567" t="s">
        <v>220</v>
      </c>
      <c r="AL5" s="1629" t="s">
        <v>490</v>
      </c>
      <c r="AM5" s="1567" t="s">
        <v>907</v>
      </c>
      <c r="AN5" s="2334"/>
      <c r="AO5" s="2334"/>
      <c r="AP5" s="2338"/>
    </row>
    <row r="6" spans="1:57" s="63" customFormat="1" ht="12" customHeight="1">
      <c r="A6" s="2339"/>
      <c r="B6" s="1538">
        <v>1</v>
      </c>
      <c r="C6" s="1562">
        <v>2</v>
      </c>
      <c r="D6" s="1562">
        <v>3</v>
      </c>
      <c r="E6" s="1562">
        <v>4</v>
      </c>
      <c r="F6" s="1562">
        <v>5</v>
      </c>
      <c r="G6" s="1562">
        <v>6</v>
      </c>
      <c r="H6" s="1562">
        <v>7</v>
      </c>
      <c r="I6" s="1562">
        <v>8</v>
      </c>
      <c r="J6" s="1562">
        <v>9</v>
      </c>
      <c r="K6" s="1562">
        <v>10</v>
      </c>
      <c r="L6" s="1562">
        <v>11</v>
      </c>
      <c r="M6" s="735">
        <v>12</v>
      </c>
      <c r="N6" s="1562">
        <v>13</v>
      </c>
      <c r="O6" s="1562" t="s">
        <v>642</v>
      </c>
      <c r="P6" s="1562">
        <v>15</v>
      </c>
      <c r="Q6" s="1562">
        <v>16</v>
      </c>
      <c r="R6" s="1562">
        <v>17</v>
      </c>
      <c r="S6" s="1562">
        <v>18</v>
      </c>
      <c r="T6" s="735">
        <v>19</v>
      </c>
      <c r="U6" s="2339"/>
      <c r="V6" s="2339"/>
      <c r="W6" s="1538">
        <v>20</v>
      </c>
      <c r="X6" s="1562">
        <v>21</v>
      </c>
      <c r="Y6" s="1562">
        <v>22</v>
      </c>
      <c r="Z6" s="1562">
        <v>23</v>
      </c>
      <c r="AA6" s="1562">
        <v>24</v>
      </c>
      <c r="AB6" s="1562">
        <v>25</v>
      </c>
      <c r="AC6" s="1562">
        <v>26</v>
      </c>
      <c r="AD6" s="1562">
        <v>27</v>
      </c>
      <c r="AE6" s="1562">
        <v>28</v>
      </c>
      <c r="AF6" s="1562">
        <v>29</v>
      </c>
      <c r="AG6" s="1562">
        <v>30</v>
      </c>
      <c r="AH6" s="1562">
        <v>31</v>
      </c>
      <c r="AI6" s="1562">
        <v>32</v>
      </c>
      <c r="AJ6" s="1562">
        <v>33</v>
      </c>
      <c r="AK6" s="1562">
        <v>34</v>
      </c>
      <c r="AL6" s="1562">
        <v>35</v>
      </c>
      <c r="AM6" s="1562">
        <v>36</v>
      </c>
      <c r="AN6" s="1562" t="s">
        <v>643</v>
      </c>
      <c r="AO6" s="60" t="s">
        <v>644</v>
      </c>
      <c r="AP6" s="2339"/>
    </row>
    <row r="7" spans="1:57" s="238" customFormat="1" ht="11.45" customHeight="1">
      <c r="A7" s="1278" t="s">
        <v>1810</v>
      </c>
      <c r="B7" s="337">
        <v>1571.2</v>
      </c>
      <c r="C7" s="337">
        <v>7367.2999999999993</v>
      </c>
      <c r="D7" s="337">
        <v>18.399999999999999</v>
      </c>
      <c r="E7" s="337">
        <v>10258.299999999999</v>
      </c>
      <c r="F7" s="337">
        <v>4013.1</v>
      </c>
      <c r="G7" s="337">
        <v>315958.39999999997</v>
      </c>
      <c r="H7" s="337">
        <v>1.2</v>
      </c>
      <c r="I7" s="337">
        <v>1.2</v>
      </c>
      <c r="J7" s="337">
        <v>115.99999999999994</v>
      </c>
      <c r="K7" s="337">
        <v>37671.100000000057</v>
      </c>
      <c r="L7" s="337">
        <v>376976.20000000007</v>
      </c>
      <c r="M7" s="337">
        <v>4679.8</v>
      </c>
      <c r="N7" s="337">
        <v>17796.8</v>
      </c>
      <c r="O7" s="337">
        <v>22477.000000000004</v>
      </c>
      <c r="P7" s="337">
        <v>3293.2</v>
      </c>
      <c r="Q7" s="337">
        <v>2910.9</v>
      </c>
      <c r="R7" s="337">
        <v>13854.2</v>
      </c>
      <c r="S7" s="337">
        <v>22006.400000000001</v>
      </c>
      <c r="T7" s="337">
        <v>6184.4999999999991</v>
      </c>
      <c r="U7" s="191" t="s">
        <v>1810</v>
      </c>
      <c r="V7" s="139" t="s">
        <v>1810</v>
      </c>
      <c r="W7" s="337">
        <v>10237.200000000001</v>
      </c>
      <c r="X7" s="337">
        <v>6627.6</v>
      </c>
      <c r="Y7" s="337">
        <v>7598.7999999999993</v>
      </c>
      <c r="Z7" s="337">
        <v>96957.400000000009</v>
      </c>
      <c r="AA7" s="337">
        <v>28308.199999999997</v>
      </c>
      <c r="AB7" s="337">
        <v>5881.4999999999991</v>
      </c>
      <c r="AC7" s="337">
        <v>24973.599999999999</v>
      </c>
      <c r="AD7" s="337">
        <v>8314.8000000000011</v>
      </c>
      <c r="AE7" s="337">
        <v>34454.5</v>
      </c>
      <c r="AF7" s="337">
        <v>35771.799999999996</v>
      </c>
      <c r="AG7" s="337">
        <v>40440.300000000003</v>
      </c>
      <c r="AH7" s="337">
        <v>67421.8</v>
      </c>
      <c r="AI7" s="337">
        <v>10991.2</v>
      </c>
      <c r="AJ7" s="337">
        <v>51970.6</v>
      </c>
      <c r="AK7" s="337">
        <v>42706.81</v>
      </c>
      <c r="AL7" s="337">
        <v>139012.5</v>
      </c>
      <c r="AM7" s="337">
        <v>687416.40999999992</v>
      </c>
      <c r="AN7" s="337">
        <v>682394.41</v>
      </c>
      <c r="AO7" s="337">
        <v>-305418.19999999995</v>
      </c>
      <c r="AP7" s="191" t="s">
        <v>1810</v>
      </c>
      <c r="AQ7" s="930"/>
      <c r="AR7" s="930"/>
      <c r="AS7" s="930"/>
      <c r="AT7" s="930"/>
      <c r="AU7" s="930"/>
      <c r="AV7" s="930"/>
      <c r="AW7" s="930"/>
      <c r="AX7" s="930"/>
      <c r="AY7" s="930"/>
      <c r="AZ7" s="930"/>
    </row>
    <row r="8" spans="1:57" s="238" customFormat="1" ht="11.45" customHeight="1">
      <c r="A8" s="274" t="s">
        <v>2056</v>
      </c>
      <c r="B8" s="762">
        <v>1968.9</v>
      </c>
      <c r="C8" s="762">
        <v>7108.4999999999991</v>
      </c>
      <c r="D8" s="762">
        <v>25.400000000000002</v>
      </c>
      <c r="E8" s="762">
        <v>12929.9</v>
      </c>
      <c r="F8" s="762">
        <v>3684.6000000000004</v>
      </c>
      <c r="G8" s="762">
        <v>366180.39999999997</v>
      </c>
      <c r="H8" s="762">
        <v>1.2</v>
      </c>
      <c r="I8" s="762">
        <v>1.2</v>
      </c>
      <c r="J8" s="762">
        <v>1.2</v>
      </c>
      <c r="K8" s="762">
        <v>39841.000000000058</v>
      </c>
      <c r="L8" s="762">
        <v>431742.29999999993</v>
      </c>
      <c r="M8" s="762">
        <v>5081.7999999999993</v>
      </c>
      <c r="N8" s="762">
        <v>16544.5</v>
      </c>
      <c r="O8" s="762">
        <v>21625.999999999996</v>
      </c>
      <c r="P8" s="762">
        <v>3980.5000000000005</v>
      </c>
      <c r="Q8" s="762">
        <v>3581.5</v>
      </c>
      <c r="R8" s="762">
        <v>12487.7</v>
      </c>
      <c r="S8" s="762">
        <v>28762</v>
      </c>
      <c r="T8" s="762">
        <v>8165.9999999999991</v>
      </c>
      <c r="U8" s="268" t="s">
        <v>2056</v>
      </c>
      <c r="V8" s="267" t="s">
        <v>2056</v>
      </c>
      <c r="W8" s="762">
        <v>9138.9</v>
      </c>
      <c r="X8" s="762">
        <v>8465.3000000000011</v>
      </c>
      <c r="Y8" s="762">
        <v>12059.800000000001</v>
      </c>
      <c r="Z8" s="762">
        <v>104521.1</v>
      </c>
      <c r="AA8" s="762">
        <v>30574</v>
      </c>
      <c r="AB8" s="762">
        <v>1759</v>
      </c>
      <c r="AC8" s="762">
        <v>33692</v>
      </c>
      <c r="AD8" s="762">
        <v>7763.8</v>
      </c>
      <c r="AE8" s="762">
        <v>29525.199999999997</v>
      </c>
      <c r="AF8" s="762">
        <v>38963.599999999999</v>
      </c>
      <c r="AG8" s="762">
        <v>27235.4</v>
      </c>
      <c r="AH8" s="762">
        <v>68886</v>
      </c>
      <c r="AI8" s="762">
        <v>12432.9</v>
      </c>
      <c r="AJ8" s="762">
        <v>47125.2</v>
      </c>
      <c r="AK8" s="762">
        <v>34920.04</v>
      </c>
      <c r="AL8" s="762">
        <v>133138</v>
      </c>
      <c r="AM8" s="762">
        <v>687750.1399999999</v>
      </c>
      <c r="AN8" s="762">
        <v>678804.23999999987</v>
      </c>
      <c r="AO8" s="762">
        <v>-247061.8</v>
      </c>
      <c r="AP8" s="268" t="s">
        <v>2056</v>
      </c>
      <c r="AQ8" s="930"/>
      <c r="AR8" s="930"/>
      <c r="AS8" s="930"/>
      <c r="AT8" s="930"/>
      <c r="AV8" s="930"/>
      <c r="AW8" s="930"/>
      <c r="AX8" s="930"/>
      <c r="AY8" s="930"/>
      <c r="AZ8" s="930"/>
    </row>
    <row r="9" spans="1:57" s="1560" customFormat="1" ht="11.45" customHeight="1">
      <c r="A9" s="1332" t="s">
        <v>2188</v>
      </c>
      <c r="B9" s="761">
        <f>SUM(B10:B21)</f>
        <v>1749.5779</v>
      </c>
      <c r="C9" s="761">
        <f t="shared" ref="C9:T9" si="0">SUM(C10:C21)</f>
        <v>7642.9600000000009</v>
      </c>
      <c r="D9" s="761">
        <f t="shared" si="0"/>
        <v>30.014299999999999</v>
      </c>
      <c r="E9" s="761">
        <f t="shared" si="0"/>
        <v>12158.21</v>
      </c>
      <c r="F9" s="761">
        <f t="shared" si="0"/>
        <v>3389.51</v>
      </c>
      <c r="G9" s="761">
        <f t="shared" si="0"/>
        <v>369178.39900000003</v>
      </c>
      <c r="H9" s="761">
        <f t="shared" si="0"/>
        <v>0.6</v>
      </c>
      <c r="I9" s="761">
        <f t="shared" si="0"/>
        <v>0.6</v>
      </c>
      <c r="J9" s="761">
        <f t="shared" si="0"/>
        <v>0.7</v>
      </c>
      <c r="K9" s="761">
        <f t="shared" si="0"/>
        <v>38979.238800000036</v>
      </c>
      <c r="L9" s="761">
        <f>SUM(L10:L21)</f>
        <v>433129.80999999994</v>
      </c>
      <c r="M9" s="761">
        <f t="shared" si="0"/>
        <v>206.50559999999996</v>
      </c>
      <c r="N9" s="761">
        <f t="shared" si="0"/>
        <v>19558.304499999998</v>
      </c>
      <c r="O9" s="761">
        <f t="shared" si="0"/>
        <v>19764.810099999999</v>
      </c>
      <c r="P9" s="761">
        <f t="shared" si="0"/>
        <v>4371.2961999999998</v>
      </c>
      <c r="Q9" s="761">
        <f t="shared" si="0"/>
        <v>5324.6283999999996</v>
      </c>
      <c r="R9" s="761">
        <f t="shared" si="0"/>
        <v>12361.9354</v>
      </c>
      <c r="S9" s="761">
        <f t="shared" si="0"/>
        <v>24135.051199999998</v>
      </c>
      <c r="T9" s="761">
        <f t="shared" si="0"/>
        <v>7780.5681000000013</v>
      </c>
      <c r="U9" s="421" t="s">
        <v>2188</v>
      </c>
      <c r="V9" s="100" t="s">
        <v>2188</v>
      </c>
      <c r="W9" s="761">
        <f t="shared" ref="W9:AO9" si="1">SUM(W10:W21)</f>
        <v>12578.869300000002</v>
      </c>
      <c r="X9" s="761">
        <f t="shared" si="1"/>
        <v>7515.2033999999994</v>
      </c>
      <c r="Y9" s="761">
        <f t="shared" si="1"/>
        <v>12082.529399999999</v>
      </c>
      <c r="Z9" s="761">
        <f t="shared" si="1"/>
        <v>104175.45089999998</v>
      </c>
      <c r="AA9" s="761">
        <f t="shared" si="1"/>
        <v>34477.190699999999</v>
      </c>
      <c r="AB9" s="761">
        <f t="shared" si="1"/>
        <v>2030.5640000000001</v>
      </c>
      <c r="AC9" s="761">
        <f t="shared" si="1"/>
        <v>18394.2287</v>
      </c>
      <c r="AD9" s="761">
        <f t="shared" si="1"/>
        <v>8577.5186000000012</v>
      </c>
      <c r="AE9" s="761">
        <f t="shared" si="1"/>
        <v>31861.216799999995</v>
      </c>
      <c r="AF9" s="761">
        <f t="shared" si="1"/>
        <v>39226.866900000001</v>
      </c>
      <c r="AG9" s="761">
        <f t="shared" si="1"/>
        <v>32606.576599999997</v>
      </c>
      <c r="AH9" s="761">
        <f t="shared" si="1"/>
        <v>71424.247900000002</v>
      </c>
      <c r="AI9" s="761">
        <f t="shared" si="1"/>
        <v>13461.640100000002</v>
      </c>
      <c r="AJ9" s="761">
        <f t="shared" si="1"/>
        <v>56972.269400000005</v>
      </c>
      <c r="AK9" s="761">
        <f t="shared" si="1"/>
        <v>32623.848086091341</v>
      </c>
      <c r="AL9" s="761">
        <f t="shared" si="1"/>
        <v>150483.96230000001</v>
      </c>
      <c r="AM9" s="761">
        <f t="shared" si="1"/>
        <v>682465.66238609131</v>
      </c>
      <c r="AN9" s="761">
        <f t="shared" si="1"/>
        <v>702230.47248609131</v>
      </c>
      <c r="AO9" s="761">
        <f t="shared" si="1"/>
        <v>-269100.66248609131</v>
      </c>
      <c r="AP9" s="421" t="s">
        <v>2188</v>
      </c>
      <c r="AR9" s="930"/>
      <c r="AS9" s="930"/>
    </row>
    <row r="10" spans="1:57" s="238" customFormat="1" ht="11.45" customHeight="1">
      <c r="A10" s="1103" t="s">
        <v>559</v>
      </c>
      <c r="B10" s="252">
        <f>216.38+0</f>
        <v>216.38</v>
      </c>
      <c r="C10" s="252">
        <f>658.01+21.14</f>
        <v>679.15</v>
      </c>
      <c r="D10" s="252">
        <f>2+0</f>
        <v>2</v>
      </c>
      <c r="E10" s="252">
        <f>794.44+349.39</f>
        <v>1143.83</v>
      </c>
      <c r="F10" s="252">
        <f>86.25+191.6+0+0</f>
        <v>277.85000000000002</v>
      </c>
      <c r="G10" s="252">
        <f>30106.26+3516.25</f>
        <v>33622.509999999995</v>
      </c>
      <c r="H10" s="252">
        <v>0.1</v>
      </c>
      <c r="I10" s="252">
        <v>0.1</v>
      </c>
      <c r="J10" s="252">
        <v>0.1</v>
      </c>
      <c r="K10" s="252">
        <f t="shared" ref="K10:K14" si="2">L10-SUM(B10:J10)</f>
        <v>3329.4000000000087</v>
      </c>
      <c r="L10" s="252">
        <f>34753.74+4517.68</f>
        <v>39271.42</v>
      </c>
      <c r="M10" s="252">
        <v>18.433499999999999</v>
      </c>
      <c r="N10" s="252">
        <v>1917.3198000000002</v>
      </c>
      <c r="O10" s="252">
        <f t="shared" ref="O10:O19" si="3">M10+N10</f>
        <v>1935.7533000000003</v>
      </c>
      <c r="P10" s="252">
        <v>318.9341</v>
      </c>
      <c r="Q10" s="252">
        <v>531.11860000000001</v>
      </c>
      <c r="R10" s="252">
        <v>1179.9813999999999</v>
      </c>
      <c r="S10" s="252">
        <v>2083.6</v>
      </c>
      <c r="T10" s="252">
        <v>300.19889999999998</v>
      </c>
      <c r="U10" s="1175" t="s">
        <v>559</v>
      </c>
      <c r="V10" s="1103" t="s">
        <v>559</v>
      </c>
      <c r="W10" s="252">
        <v>1292.3577</v>
      </c>
      <c r="X10" s="252">
        <v>713.45060000000001</v>
      </c>
      <c r="Y10" s="252">
        <v>1599.3253999999999</v>
      </c>
      <c r="Z10" s="252">
        <v>9660.9384000000009</v>
      </c>
      <c r="AA10" s="252">
        <v>3124.2489999999998</v>
      </c>
      <c r="AB10" s="252">
        <v>192.96600000000001</v>
      </c>
      <c r="AC10" s="252">
        <v>2674.1</v>
      </c>
      <c r="AD10" s="252">
        <v>837.29340000000002</v>
      </c>
      <c r="AE10" s="252">
        <v>2650.8531999999996</v>
      </c>
      <c r="AF10" s="252">
        <v>3560.1931999999997</v>
      </c>
      <c r="AG10" s="252">
        <v>2393.7023999999997</v>
      </c>
      <c r="AH10" s="252">
        <v>5725.1583000000001</v>
      </c>
      <c r="AI10" s="252">
        <v>1172.8110999999999</v>
      </c>
      <c r="AJ10" s="252">
        <v>5553.0511999999999</v>
      </c>
      <c r="AK10" s="252">
        <v>3430.1240885386928</v>
      </c>
      <c r="AL10" s="252">
        <v>14116.8963</v>
      </c>
      <c r="AM10" s="252">
        <f t="shared" ref="AM10:AM13" si="4">SUM(P10:T10)+SUM(W10:AL10)</f>
        <v>63111.303288538693</v>
      </c>
      <c r="AN10" s="252">
        <f t="shared" ref="AN10:AN13" si="5">O10+AM10</f>
        <v>65047.05658853869</v>
      </c>
      <c r="AO10" s="252">
        <f t="shared" ref="AO10:AO13" si="6">L10-AN10</f>
        <v>-25775.636588538691</v>
      </c>
      <c r="AP10" s="1175" t="s">
        <v>559</v>
      </c>
      <c r="AQ10" s="1560"/>
      <c r="AR10" s="930"/>
      <c r="AS10" s="930"/>
      <c r="AT10" s="1560"/>
      <c r="AU10" s="1560"/>
      <c r="AV10" s="1560"/>
      <c r="AW10" s="930"/>
      <c r="AX10" s="930"/>
      <c r="AY10" s="930"/>
      <c r="AZ10" s="930"/>
      <c r="BA10" s="1560"/>
      <c r="BB10" s="1560"/>
      <c r="BC10" s="1560"/>
      <c r="BD10" s="1560"/>
      <c r="BE10" s="1560"/>
    </row>
    <row r="11" spans="1:57" s="238" customFormat="1" ht="11.45" customHeight="1">
      <c r="A11" s="468" t="s">
        <v>112</v>
      </c>
      <c r="B11" s="213">
        <f>163.96+0</f>
        <v>163.96</v>
      </c>
      <c r="C11" s="213">
        <f>620.46+12.06</f>
        <v>632.52</v>
      </c>
      <c r="D11" s="213">
        <f>0+3</f>
        <v>3</v>
      </c>
      <c r="E11" s="213">
        <f>669.96+446.28</f>
        <v>1116.24</v>
      </c>
      <c r="F11" s="213">
        <f>100.11+187.75+0+0</f>
        <v>287.86</v>
      </c>
      <c r="G11" s="213">
        <f>29379.17+3736.899</f>
        <v>33116.068999999996</v>
      </c>
      <c r="H11" s="213">
        <v>0.1</v>
      </c>
      <c r="I11" s="213">
        <v>0.1</v>
      </c>
      <c r="J11" s="213">
        <v>0.1</v>
      </c>
      <c r="K11" s="213">
        <f t="shared" si="2"/>
        <v>3291.3410000000076</v>
      </c>
      <c r="L11" s="213">
        <f>33852.94+4758.35</f>
        <v>38611.29</v>
      </c>
      <c r="M11" s="213">
        <v>6.1</v>
      </c>
      <c r="N11" s="213">
        <v>1108.8440000000001</v>
      </c>
      <c r="O11" s="213">
        <f t="shared" si="3"/>
        <v>1114.944</v>
      </c>
      <c r="P11" s="213">
        <v>350.4622</v>
      </c>
      <c r="Q11" s="213">
        <v>454.65260000000001</v>
      </c>
      <c r="R11" s="213">
        <v>776.8546</v>
      </c>
      <c r="S11" s="213">
        <v>2462.5187000000001</v>
      </c>
      <c r="T11" s="213">
        <v>468.29640000000001</v>
      </c>
      <c r="U11" s="1178" t="s">
        <v>112</v>
      </c>
      <c r="V11" s="468" t="s">
        <v>112</v>
      </c>
      <c r="W11" s="213">
        <v>1767.6775</v>
      </c>
      <c r="X11" s="213">
        <v>664.78539999999998</v>
      </c>
      <c r="Y11" s="213">
        <v>213.8852</v>
      </c>
      <c r="Z11" s="213">
        <v>9822.4071000000004</v>
      </c>
      <c r="AA11" s="213">
        <v>2879.7632000000003</v>
      </c>
      <c r="AB11" s="213">
        <v>194.1808</v>
      </c>
      <c r="AC11" s="213">
        <v>1086.5346999999999</v>
      </c>
      <c r="AD11" s="213">
        <v>701.91330000000005</v>
      </c>
      <c r="AE11" s="213">
        <v>2794.4663999999998</v>
      </c>
      <c r="AF11" s="213">
        <v>2929.9914000000003</v>
      </c>
      <c r="AG11" s="213">
        <v>2505.0515999999998</v>
      </c>
      <c r="AH11" s="213">
        <v>5943.4759999999997</v>
      </c>
      <c r="AI11" s="213">
        <v>1129.759</v>
      </c>
      <c r="AJ11" s="213">
        <v>5025.6528999999991</v>
      </c>
      <c r="AK11" s="213">
        <v>2880.9335514622871</v>
      </c>
      <c r="AL11" s="213">
        <v>12878.784799999998</v>
      </c>
      <c r="AM11" s="213">
        <f t="shared" si="4"/>
        <v>57932.047351462279</v>
      </c>
      <c r="AN11" s="213">
        <f t="shared" si="5"/>
        <v>59046.991351462282</v>
      </c>
      <c r="AO11" s="213">
        <f t="shared" si="6"/>
        <v>-20435.701351462281</v>
      </c>
      <c r="AP11" s="1178" t="s">
        <v>112</v>
      </c>
      <c r="AQ11" s="1560"/>
      <c r="AR11" s="930"/>
      <c r="AS11" s="930"/>
      <c r="AT11" s="1560"/>
      <c r="AU11" s="1560"/>
      <c r="AV11" s="930"/>
      <c r="AW11" s="930"/>
      <c r="AX11" s="930"/>
      <c r="AY11" s="930"/>
      <c r="AZ11" s="930"/>
    </row>
    <row r="12" spans="1:57" s="238" customFormat="1" ht="11.45" customHeight="1">
      <c r="A12" s="1103" t="s">
        <v>554</v>
      </c>
      <c r="B12" s="252">
        <f>114.46+0</f>
        <v>114.46</v>
      </c>
      <c r="C12" s="252">
        <f>543.45+12.1</f>
        <v>555.55000000000007</v>
      </c>
      <c r="D12" s="252">
        <f>2+0</f>
        <v>2</v>
      </c>
      <c r="E12" s="252">
        <f>560.89+439.48</f>
        <v>1000.37</v>
      </c>
      <c r="F12" s="252">
        <f>85.88+140.47+0+0</f>
        <v>226.35</v>
      </c>
      <c r="G12" s="252">
        <f>23949.58+2771.89</f>
        <v>26721.47</v>
      </c>
      <c r="H12" s="252">
        <v>0.1</v>
      </c>
      <c r="I12" s="252">
        <v>0.1</v>
      </c>
      <c r="J12" s="252">
        <v>0.1</v>
      </c>
      <c r="K12" s="252">
        <f t="shared" si="2"/>
        <v>2726.7700000000041</v>
      </c>
      <c r="L12" s="252">
        <f>27697.3+3649.97</f>
        <v>31347.27</v>
      </c>
      <c r="M12" s="252">
        <v>3.6</v>
      </c>
      <c r="N12" s="252">
        <v>1478.7912000000001</v>
      </c>
      <c r="O12" s="252">
        <f t="shared" si="3"/>
        <v>1482.3912</v>
      </c>
      <c r="P12" s="252">
        <v>279.73929999999996</v>
      </c>
      <c r="Q12" s="252">
        <v>296.3621</v>
      </c>
      <c r="R12" s="252">
        <v>982.15790000000004</v>
      </c>
      <c r="S12" s="252">
        <v>1174.4279999999999</v>
      </c>
      <c r="T12" s="252">
        <v>425.26159999999999</v>
      </c>
      <c r="U12" s="1175" t="s">
        <v>554</v>
      </c>
      <c r="V12" s="1103" t="s">
        <v>554</v>
      </c>
      <c r="W12" s="252">
        <v>883.65249999999992</v>
      </c>
      <c r="X12" s="252">
        <v>497.31989999999996</v>
      </c>
      <c r="Y12" s="252">
        <v>1678.7599</v>
      </c>
      <c r="Z12" s="252">
        <v>7764.6232</v>
      </c>
      <c r="AA12" s="252">
        <v>2470.5254999999997</v>
      </c>
      <c r="AB12" s="252">
        <v>133.9605</v>
      </c>
      <c r="AC12" s="252">
        <v>785.21180000000004</v>
      </c>
      <c r="AD12" s="252">
        <v>645.55560000000003</v>
      </c>
      <c r="AE12" s="252">
        <v>2382.2614000000003</v>
      </c>
      <c r="AF12" s="252">
        <v>2172.5488999999998</v>
      </c>
      <c r="AG12" s="252">
        <v>2304.0367999999999</v>
      </c>
      <c r="AH12" s="252">
        <v>5097.4663</v>
      </c>
      <c r="AI12" s="252">
        <v>867.4076</v>
      </c>
      <c r="AJ12" s="252">
        <v>3891.1774999999998</v>
      </c>
      <c r="AK12" s="252">
        <v>2136.8460460658134</v>
      </c>
      <c r="AL12" s="252">
        <v>11236.400299999998</v>
      </c>
      <c r="AM12" s="252">
        <f t="shared" si="4"/>
        <v>48105.702646065809</v>
      </c>
      <c r="AN12" s="252">
        <f t="shared" si="5"/>
        <v>49588.093846065807</v>
      </c>
      <c r="AO12" s="252">
        <f t="shared" si="6"/>
        <v>-18240.823846065807</v>
      </c>
      <c r="AP12" s="1175" t="s">
        <v>554</v>
      </c>
      <c r="AQ12" s="1560"/>
      <c r="AR12" s="930"/>
      <c r="AS12" s="930"/>
      <c r="AT12" s="930"/>
      <c r="AV12" s="930"/>
      <c r="AW12" s="930"/>
      <c r="AX12" s="930"/>
      <c r="AY12" s="930"/>
      <c r="AZ12" s="930"/>
    </row>
    <row r="13" spans="1:57" s="238" customFormat="1" ht="11.45" customHeight="1">
      <c r="A13" s="468" t="s">
        <v>561</v>
      </c>
      <c r="B13" s="213">
        <f>106.89+0</f>
        <v>106.89</v>
      </c>
      <c r="C13" s="213">
        <f>730.41+13.61</f>
        <v>744.02</v>
      </c>
      <c r="D13" s="213">
        <f>2+0</f>
        <v>2</v>
      </c>
      <c r="E13" s="213">
        <f>644.42+343.63</f>
        <v>988.05</v>
      </c>
      <c r="F13" s="213">
        <f>109.54+201+0+0</f>
        <v>310.54000000000002</v>
      </c>
      <c r="G13" s="213">
        <f>26779.67+4213.6</f>
        <v>30993.269999999997</v>
      </c>
      <c r="H13" s="213">
        <v>0.1</v>
      </c>
      <c r="I13" s="213">
        <v>0.1</v>
      </c>
      <c r="J13" s="213">
        <v>0.1</v>
      </c>
      <c r="K13" s="213">
        <f t="shared" si="2"/>
        <v>3237.0900000000038</v>
      </c>
      <c r="L13" s="213">
        <f>31371.78+5010.38</f>
        <v>36382.159999999996</v>
      </c>
      <c r="M13" s="213">
        <v>38.843000000000004</v>
      </c>
      <c r="N13" s="213">
        <v>1109.0405000000001</v>
      </c>
      <c r="O13" s="213">
        <f t="shared" si="3"/>
        <v>1147.8835000000001</v>
      </c>
      <c r="P13" s="213">
        <v>318.36009999999999</v>
      </c>
      <c r="Q13" s="213">
        <v>338.81099999999998</v>
      </c>
      <c r="R13" s="213">
        <v>557.70139999999992</v>
      </c>
      <c r="S13" s="213">
        <v>2748.3301000000001</v>
      </c>
      <c r="T13" s="213">
        <v>392.983</v>
      </c>
      <c r="U13" s="1178" t="s">
        <v>561</v>
      </c>
      <c r="V13" s="468" t="s">
        <v>561</v>
      </c>
      <c r="W13" s="213">
        <v>996.52059999999994</v>
      </c>
      <c r="X13" s="213">
        <v>726.58249999999998</v>
      </c>
      <c r="Y13" s="213">
        <v>1056.7507000000001</v>
      </c>
      <c r="Z13" s="213">
        <v>9729.2060999999994</v>
      </c>
      <c r="AA13" s="213">
        <v>3139.0866000000001</v>
      </c>
      <c r="AB13" s="213">
        <v>187.96600000000001</v>
      </c>
      <c r="AC13" s="213">
        <v>1170.8016000000002</v>
      </c>
      <c r="AD13" s="213">
        <v>708.92370000000005</v>
      </c>
      <c r="AE13" s="213">
        <v>2724.8159999999998</v>
      </c>
      <c r="AF13" s="213">
        <v>2726.8759</v>
      </c>
      <c r="AG13" s="213">
        <v>2673.4403999999995</v>
      </c>
      <c r="AH13" s="213">
        <v>5681.6071000000011</v>
      </c>
      <c r="AI13" s="213">
        <v>928.7349999999999</v>
      </c>
      <c r="AJ13" s="213">
        <v>5315.9098000000004</v>
      </c>
      <c r="AK13" s="213">
        <v>2832.8114620514525</v>
      </c>
      <c r="AL13" s="213">
        <v>13243.091700000004</v>
      </c>
      <c r="AM13" s="213">
        <f t="shared" si="4"/>
        <v>58199.310762051457</v>
      </c>
      <c r="AN13" s="213">
        <f t="shared" si="5"/>
        <v>59347.19426205146</v>
      </c>
      <c r="AO13" s="213">
        <f t="shared" si="6"/>
        <v>-22965.034262051464</v>
      </c>
      <c r="AP13" s="1178" t="s">
        <v>561</v>
      </c>
      <c r="AQ13" s="1560"/>
      <c r="AR13" s="930"/>
      <c r="AS13" s="930"/>
      <c r="AT13" s="930"/>
      <c r="AV13" s="930"/>
      <c r="AW13" s="930"/>
      <c r="AX13" s="930"/>
      <c r="AY13" s="930"/>
      <c r="AZ13" s="930"/>
    </row>
    <row r="14" spans="1:57" s="238" customFormat="1" ht="11.45" customHeight="1">
      <c r="A14" s="1103" t="s">
        <v>562</v>
      </c>
      <c r="B14" s="252">
        <f>102.01+0</f>
        <v>102.01</v>
      </c>
      <c r="C14" s="252">
        <f>700.4+13.48</f>
        <v>713.88</v>
      </c>
      <c r="D14" s="252">
        <f>0.797+0</f>
        <v>0.79700000000000004</v>
      </c>
      <c r="E14" s="252">
        <f>690.69+385.85</f>
        <v>1076.54</v>
      </c>
      <c r="F14" s="252">
        <f>90.05+239.38+0+0</f>
        <v>329.43</v>
      </c>
      <c r="G14" s="252">
        <f>24059.23+3071.09</f>
        <v>27130.32</v>
      </c>
      <c r="H14" s="252">
        <v>0.1</v>
      </c>
      <c r="I14" s="252">
        <v>0.1</v>
      </c>
      <c r="J14" s="252">
        <v>0.1</v>
      </c>
      <c r="K14" s="252">
        <f t="shared" si="2"/>
        <v>3045.9230000000061</v>
      </c>
      <c r="L14" s="252">
        <f>28402.41+3996.79</f>
        <v>32399.200000000001</v>
      </c>
      <c r="M14" s="252">
        <v>16.543700000000001</v>
      </c>
      <c r="N14" s="252">
        <v>1428.8142</v>
      </c>
      <c r="O14" s="252">
        <f t="shared" si="3"/>
        <v>1445.3579</v>
      </c>
      <c r="P14" s="252">
        <v>427.49810000000002</v>
      </c>
      <c r="Q14" s="252">
        <v>335.12199999999996</v>
      </c>
      <c r="R14" s="252">
        <v>1085.6035999999999</v>
      </c>
      <c r="S14" s="252">
        <v>2517.174</v>
      </c>
      <c r="T14" s="252">
        <v>508.72349999999994</v>
      </c>
      <c r="U14" s="1175" t="s">
        <v>562</v>
      </c>
      <c r="V14" s="1103" t="s">
        <v>562</v>
      </c>
      <c r="W14" s="252">
        <v>1133.463</v>
      </c>
      <c r="X14" s="252">
        <v>606.45119999999997</v>
      </c>
      <c r="Y14" s="252">
        <v>609.73109999999997</v>
      </c>
      <c r="Z14" s="252">
        <v>11432.552</v>
      </c>
      <c r="AA14" s="252">
        <v>2952.5421000000001</v>
      </c>
      <c r="AB14" s="252">
        <v>171.94629999999998</v>
      </c>
      <c r="AC14" s="252">
        <v>2596.5011999999997</v>
      </c>
      <c r="AD14" s="252">
        <v>671.5304000000001</v>
      </c>
      <c r="AE14" s="252">
        <v>2908.9395999999997</v>
      </c>
      <c r="AF14" s="252">
        <v>3185.2846</v>
      </c>
      <c r="AG14" s="252">
        <v>2690.1749999999997</v>
      </c>
      <c r="AH14" s="252">
        <v>5827.1295000000009</v>
      </c>
      <c r="AI14" s="252">
        <v>1058.0346999999999</v>
      </c>
      <c r="AJ14" s="252">
        <v>5024.8924999999999</v>
      </c>
      <c r="AK14" s="252">
        <v>2932.6674825069499</v>
      </c>
      <c r="AL14" s="252">
        <v>13188.008800000001</v>
      </c>
      <c r="AM14" s="252">
        <f>SUM(P14:T14)+SUM(W14:AL14)</f>
        <v>61863.970682506944</v>
      </c>
      <c r="AN14" s="252">
        <f>O14+AM14</f>
        <v>63309.328582506947</v>
      </c>
      <c r="AO14" s="252">
        <f>L14-AN14</f>
        <v>-30910.128582506946</v>
      </c>
      <c r="AP14" s="1175" t="s">
        <v>562</v>
      </c>
      <c r="AQ14" s="1560"/>
      <c r="AR14" s="930"/>
      <c r="AS14" s="930"/>
      <c r="AT14" s="930"/>
      <c r="AV14" s="930"/>
      <c r="AW14" s="930"/>
      <c r="AX14" s="930"/>
      <c r="AY14" s="930"/>
      <c r="AZ14" s="930"/>
    </row>
    <row r="15" spans="1:57" s="238" customFormat="1" ht="11.45" customHeight="1">
      <c r="A15" s="468" t="s">
        <v>555</v>
      </c>
      <c r="B15" s="213">
        <f>123.76+0.43</f>
        <v>124.19000000000001</v>
      </c>
      <c r="C15" s="213">
        <f>641.57+16.09</f>
        <v>657.66000000000008</v>
      </c>
      <c r="D15" s="213">
        <f>3+0</f>
        <v>3</v>
      </c>
      <c r="E15" s="213">
        <f>602.02+388.69</f>
        <v>990.71</v>
      </c>
      <c r="F15" s="213">
        <f>91.78+211.91+0+0</f>
        <v>303.69</v>
      </c>
      <c r="G15" s="213">
        <f>23673.63+3213.52</f>
        <v>26887.15</v>
      </c>
      <c r="H15" s="213">
        <v>0.1</v>
      </c>
      <c r="I15" s="213">
        <v>0.1</v>
      </c>
      <c r="J15" s="213">
        <v>0.1</v>
      </c>
      <c r="K15" s="213">
        <f>L15-SUM(B15:J15)</f>
        <v>3248.25</v>
      </c>
      <c r="L15" s="213">
        <f>28082.92+4132.03</f>
        <v>32214.949999999997</v>
      </c>
      <c r="M15" s="213">
        <v>16.5</v>
      </c>
      <c r="N15" s="213">
        <v>1106.4308000000001</v>
      </c>
      <c r="O15" s="213">
        <f t="shared" si="3"/>
        <v>1122.9308000000001</v>
      </c>
      <c r="P15" s="213">
        <v>332.49610000000001</v>
      </c>
      <c r="Q15" s="213">
        <v>298.60880000000003</v>
      </c>
      <c r="R15" s="213">
        <v>1272.3896999999999</v>
      </c>
      <c r="S15" s="213">
        <v>1725.5778</v>
      </c>
      <c r="T15" s="213">
        <v>482.19899999999996</v>
      </c>
      <c r="U15" s="1178" t="s">
        <v>555</v>
      </c>
      <c r="V15" s="468" t="s">
        <v>555</v>
      </c>
      <c r="W15" s="213">
        <v>764.7559</v>
      </c>
      <c r="X15" s="213">
        <v>562.36660000000006</v>
      </c>
      <c r="Y15" s="213">
        <v>596.91030000000001</v>
      </c>
      <c r="Z15" s="213">
        <v>7878.2924999999996</v>
      </c>
      <c r="AA15" s="213">
        <v>2592.1014</v>
      </c>
      <c r="AB15" s="213">
        <v>114.51570000000001</v>
      </c>
      <c r="AC15" s="213">
        <v>1896.7918</v>
      </c>
      <c r="AD15" s="213">
        <v>639.61360000000002</v>
      </c>
      <c r="AE15" s="213">
        <v>2302.8721999999998</v>
      </c>
      <c r="AF15" s="213">
        <v>3070.7285999999995</v>
      </c>
      <c r="AG15" s="213">
        <v>2358.0033000000003</v>
      </c>
      <c r="AH15" s="213">
        <v>5511.2779</v>
      </c>
      <c r="AI15" s="213">
        <v>984.06080000000009</v>
      </c>
      <c r="AJ15" s="213">
        <v>4895.1581000000006</v>
      </c>
      <c r="AK15" s="213">
        <v>4378.5273344090165</v>
      </c>
      <c r="AL15" s="213">
        <v>11396.120299999995</v>
      </c>
      <c r="AM15" s="213">
        <f t="shared" ref="AM15:AM21" si="7">SUM(P15:T15)+SUM(W15:AL15)</f>
        <v>54053.36773440901</v>
      </c>
      <c r="AN15" s="213">
        <f t="shared" ref="AN15:AN21" si="8">O15+AM15</f>
        <v>55176.298534409012</v>
      </c>
      <c r="AO15" s="213">
        <f t="shared" ref="AO15:AO21" si="9">L15-AN15</f>
        <v>-22961.348534409015</v>
      </c>
      <c r="AP15" s="1178" t="s">
        <v>555</v>
      </c>
      <c r="AQ15" s="1511"/>
      <c r="AR15" s="930"/>
      <c r="AS15" s="930"/>
      <c r="AT15" s="930"/>
      <c r="AV15" s="930"/>
      <c r="AW15" s="930"/>
      <c r="AX15" s="930"/>
      <c r="AY15" s="930"/>
      <c r="AZ15" s="930"/>
    </row>
    <row r="16" spans="1:57" s="238" customFormat="1" ht="11.45" customHeight="1">
      <c r="A16" s="1103" t="s">
        <v>563</v>
      </c>
      <c r="B16" s="252">
        <f>118+0</f>
        <v>118</v>
      </c>
      <c r="C16" s="252">
        <f>609.41+8.47</f>
        <v>617.88</v>
      </c>
      <c r="D16" s="252">
        <f>1+0</f>
        <v>1</v>
      </c>
      <c r="E16" s="252">
        <f>707.41+278.35</f>
        <v>985.76</v>
      </c>
      <c r="F16" s="252">
        <f>92.4+242.71+0+0</f>
        <v>335.11</v>
      </c>
      <c r="G16" s="252">
        <f>28555.39+3595.7</f>
        <v>32151.09</v>
      </c>
      <c r="H16" s="252">
        <v>0</v>
      </c>
      <c r="I16" s="252">
        <v>0</v>
      </c>
      <c r="J16" s="252">
        <v>0</v>
      </c>
      <c r="K16" s="252">
        <f>L16-SUM(B16:J16)</f>
        <v>3217.1900000000096</v>
      </c>
      <c r="L16" s="252">
        <f>33014.98+4411.05</f>
        <v>37426.030000000006</v>
      </c>
      <c r="M16" s="252">
        <v>30.3</v>
      </c>
      <c r="N16" s="252">
        <v>1670.3949</v>
      </c>
      <c r="O16" s="252">
        <f t="shared" si="3"/>
        <v>1700.6949</v>
      </c>
      <c r="P16" s="252">
        <v>322.50710000000004</v>
      </c>
      <c r="Q16" s="252">
        <v>439.33660000000003</v>
      </c>
      <c r="R16" s="252">
        <v>1220.0185000000001</v>
      </c>
      <c r="S16" s="252">
        <v>1826.3262</v>
      </c>
      <c r="T16" s="252">
        <v>994.12699999999995</v>
      </c>
      <c r="U16" s="1175" t="s">
        <v>563</v>
      </c>
      <c r="V16" s="1103" t="s">
        <v>563</v>
      </c>
      <c r="W16" s="252">
        <v>741.00919999999996</v>
      </c>
      <c r="X16" s="252">
        <v>609.40639999999996</v>
      </c>
      <c r="Y16" s="252">
        <v>2012.4019999999998</v>
      </c>
      <c r="Z16" s="252">
        <v>8650.9637999999995</v>
      </c>
      <c r="AA16" s="252">
        <v>3037.5902000000001</v>
      </c>
      <c r="AB16" s="252">
        <v>188.9641</v>
      </c>
      <c r="AC16" s="252">
        <v>2786.0089000000003</v>
      </c>
      <c r="AD16" s="252">
        <v>745.98249999999996</v>
      </c>
      <c r="AE16" s="252">
        <v>2747.1990000000001</v>
      </c>
      <c r="AF16" s="252">
        <v>3032.8914</v>
      </c>
      <c r="AG16" s="252">
        <v>2993.6629000000003</v>
      </c>
      <c r="AH16" s="252">
        <v>6425.3505000000005</v>
      </c>
      <c r="AI16" s="252">
        <v>1223.6033</v>
      </c>
      <c r="AJ16" s="252">
        <v>4356.7973999999995</v>
      </c>
      <c r="AK16" s="252">
        <v>2841.5213032212832</v>
      </c>
      <c r="AL16" s="252">
        <v>13431.990299999998</v>
      </c>
      <c r="AM16" s="252">
        <f t="shared" si="7"/>
        <v>60627.658603221287</v>
      </c>
      <c r="AN16" s="252">
        <f t="shared" si="8"/>
        <v>62328.353503221289</v>
      </c>
      <c r="AO16" s="252">
        <f t="shared" si="9"/>
        <v>-24902.323503221283</v>
      </c>
      <c r="AP16" s="1175" t="s">
        <v>563</v>
      </c>
      <c r="AQ16" s="930"/>
      <c r="AR16" s="930"/>
      <c r="AS16" s="930"/>
      <c r="AT16" s="930"/>
      <c r="AV16" s="930"/>
      <c r="AW16" s="930"/>
      <c r="AX16" s="930"/>
      <c r="AY16" s="930"/>
      <c r="AZ16" s="930"/>
    </row>
    <row r="17" spans="1:57" s="238" customFormat="1" ht="11.45" customHeight="1">
      <c r="A17" s="468" t="s">
        <v>564</v>
      </c>
      <c r="B17" s="213">
        <v>138.96</v>
      </c>
      <c r="C17" s="213">
        <f>543.93+17.33</f>
        <v>561.26</v>
      </c>
      <c r="D17" s="213">
        <v>1.7</v>
      </c>
      <c r="E17" s="213">
        <f>614.37+346.69</f>
        <v>961.06</v>
      </c>
      <c r="F17" s="213">
        <f>138.96+193.12</f>
        <v>332.08000000000004</v>
      </c>
      <c r="G17" s="213">
        <f>26164.15+3175.67</f>
        <v>29339.82</v>
      </c>
      <c r="H17" s="213">
        <v>0</v>
      </c>
      <c r="I17" s="213">
        <v>0</v>
      </c>
      <c r="J17" s="213">
        <v>0.1</v>
      </c>
      <c r="K17" s="213">
        <f t="shared" ref="K17:K21" si="10">L17-SUM(B17:J17)</f>
        <v>2732.5600000000013</v>
      </c>
      <c r="L17" s="213">
        <f>29904.79+4162.75</f>
        <v>34067.54</v>
      </c>
      <c r="M17" s="213">
        <v>21.805999999999997</v>
      </c>
      <c r="N17" s="213">
        <v>1552.6215999999999</v>
      </c>
      <c r="O17" s="213">
        <f t="shared" si="3"/>
        <v>1574.4276</v>
      </c>
      <c r="P17" s="213">
        <v>253.02880000000002</v>
      </c>
      <c r="Q17" s="213">
        <v>408.73570000000001</v>
      </c>
      <c r="R17" s="213">
        <v>664.56090000000006</v>
      </c>
      <c r="S17" s="213">
        <v>1737.8710999999998</v>
      </c>
      <c r="T17" s="213">
        <v>466.56359999999995</v>
      </c>
      <c r="U17" s="1178" t="s">
        <v>564</v>
      </c>
      <c r="V17" s="468" t="s">
        <v>564</v>
      </c>
      <c r="W17" s="213">
        <v>1234.4953999999998</v>
      </c>
      <c r="X17" s="213">
        <v>485.12380000000002</v>
      </c>
      <c r="Y17" s="213">
        <v>203.64049999999997</v>
      </c>
      <c r="Z17" s="213">
        <v>5574.0397000000003</v>
      </c>
      <c r="AA17" s="213">
        <v>2537.7527</v>
      </c>
      <c r="AB17" s="213">
        <v>195.0795</v>
      </c>
      <c r="AC17" s="213">
        <v>1320.6242</v>
      </c>
      <c r="AD17" s="213">
        <v>631.55840000000001</v>
      </c>
      <c r="AE17" s="213">
        <v>2201.0261</v>
      </c>
      <c r="AF17" s="213">
        <v>3171.7404999999999</v>
      </c>
      <c r="AG17" s="213">
        <v>2804.3330999999998</v>
      </c>
      <c r="AH17" s="213">
        <v>6162.0634999999993</v>
      </c>
      <c r="AI17" s="213">
        <v>1177.3253</v>
      </c>
      <c r="AJ17" s="213">
        <v>3504.6022000000003</v>
      </c>
      <c r="AK17" s="213">
        <v>2165.4278564616802</v>
      </c>
      <c r="AL17" s="213">
        <v>10903.268999999997</v>
      </c>
      <c r="AM17" s="213">
        <f t="shared" si="7"/>
        <v>47802.861856461677</v>
      </c>
      <c r="AN17" s="213">
        <f t="shared" si="8"/>
        <v>49377.28945646168</v>
      </c>
      <c r="AO17" s="213">
        <f t="shared" si="9"/>
        <v>-15309.749456461679</v>
      </c>
      <c r="AP17" s="1178" t="s">
        <v>564</v>
      </c>
      <c r="AQ17" s="930"/>
      <c r="AR17" s="930"/>
      <c r="AS17" s="930"/>
      <c r="AT17" s="930"/>
      <c r="AV17" s="930"/>
      <c r="AW17" s="930"/>
      <c r="AX17" s="930"/>
      <c r="AY17" s="930"/>
      <c r="AZ17" s="930"/>
    </row>
    <row r="18" spans="1:57" s="238" customFormat="1" ht="11.45" customHeight="1">
      <c r="A18" s="1103" t="s">
        <v>556</v>
      </c>
      <c r="B18" s="252">
        <f>159.83+0</f>
        <v>159.83000000000001</v>
      </c>
      <c r="C18" s="252">
        <f>639.64+14.46</f>
        <v>654.1</v>
      </c>
      <c r="D18" s="252">
        <v>3.2252999999999998</v>
      </c>
      <c r="E18" s="252">
        <f>599.85+274.37</f>
        <v>874.22</v>
      </c>
      <c r="F18" s="252">
        <f>101.58+147.28+0+0</f>
        <v>248.86</v>
      </c>
      <c r="G18" s="252">
        <f>29426.63+3561.74</f>
        <v>32988.370000000003</v>
      </c>
      <c r="H18" s="252">
        <v>0</v>
      </c>
      <c r="I18" s="252">
        <v>0</v>
      </c>
      <c r="J18" s="252">
        <v>0</v>
      </c>
      <c r="K18" s="252">
        <f t="shared" si="10"/>
        <v>3566.6346999999951</v>
      </c>
      <c r="L18" s="252">
        <f>34026.21+4469.03</f>
        <v>38495.24</v>
      </c>
      <c r="M18" s="252">
        <v>18.6829</v>
      </c>
      <c r="N18" s="252">
        <v>1820.9451000000001</v>
      </c>
      <c r="O18" s="252">
        <f t="shared" si="3"/>
        <v>1839.6280000000002</v>
      </c>
      <c r="P18" s="252">
        <v>369.7364</v>
      </c>
      <c r="Q18" s="252">
        <v>501.01509999999996</v>
      </c>
      <c r="R18" s="252">
        <v>978.15789999999993</v>
      </c>
      <c r="S18" s="252">
        <v>1239.8487</v>
      </c>
      <c r="T18" s="252">
        <v>528.85270000000003</v>
      </c>
      <c r="U18" s="1175" t="s">
        <v>556</v>
      </c>
      <c r="V18" s="1103" t="s">
        <v>556</v>
      </c>
      <c r="W18" s="252">
        <v>871.98320000000001</v>
      </c>
      <c r="X18" s="252">
        <v>683.5945999999999</v>
      </c>
      <c r="Y18" s="252">
        <v>805.5806</v>
      </c>
      <c r="Z18" s="252">
        <v>8788.7296999999999</v>
      </c>
      <c r="AA18" s="252">
        <v>2620.9857000000002</v>
      </c>
      <c r="AB18" s="252">
        <v>197.37559999999999</v>
      </c>
      <c r="AC18" s="252">
        <v>1138.0176000000001</v>
      </c>
      <c r="AD18" s="252">
        <v>780.58600000000001</v>
      </c>
      <c r="AE18" s="252">
        <v>2598.0637000000002</v>
      </c>
      <c r="AF18" s="252">
        <v>3935.6956</v>
      </c>
      <c r="AG18" s="252">
        <v>2995.3303000000001</v>
      </c>
      <c r="AH18" s="252">
        <v>6156.133600000001</v>
      </c>
      <c r="AI18" s="252">
        <v>1313.8481999999999</v>
      </c>
      <c r="AJ18" s="252">
        <v>4518.4665000000005</v>
      </c>
      <c r="AK18" s="252">
        <v>2021.2383779903912</v>
      </c>
      <c r="AL18" s="252">
        <v>11932.732799999994</v>
      </c>
      <c r="AM18" s="252">
        <f t="shared" si="7"/>
        <v>54975.972877990389</v>
      </c>
      <c r="AN18" s="252">
        <f t="shared" si="8"/>
        <v>56815.600877990386</v>
      </c>
      <c r="AO18" s="252">
        <f t="shared" si="9"/>
        <v>-18320.360877990388</v>
      </c>
      <c r="AP18" s="1175" t="s">
        <v>556</v>
      </c>
      <c r="AQ18" s="930"/>
      <c r="AR18" s="930"/>
      <c r="AS18" s="930"/>
      <c r="AT18" s="930"/>
      <c r="AV18" s="930"/>
      <c r="AW18" s="930"/>
      <c r="AX18" s="930"/>
      <c r="AY18" s="930"/>
      <c r="AZ18" s="930"/>
    </row>
    <row r="19" spans="1:57" s="238" customFormat="1" ht="11.45" customHeight="1">
      <c r="A19" s="468" t="s">
        <v>565</v>
      </c>
      <c r="B19" s="213">
        <f>166+0</f>
        <v>166</v>
      </c>
      <c r="C19" s="213">
        <f>585.74+11.55</f>
        <v>597.29</v>
      </c>
      <c r="D19" s="213">
        <f>6</f>
        <v>6</v>
      </c>
      <c r="E19" s="213">
        <f>626.2+209.2</f>
        <v>835.40000000000009</v>
      </c>
      <c r="F19" s="213">
        <f>100.93+133.54+0+0</f>
        <v>234.47</v>
      </c>
      <c r="G19" s="213">
        <f>26522.69+3186.63</f>
        <v>29709.32</v>
      </c>
      <c r="H19" s="213">
        <v>0</v>
      </c>
      <c r="I19" s="213">
        <v>0</v>
      </c>
      <c r="J19" s="213">
        <v>0</v>
      </c>
      <c r="K19" s="213">
        <f t="shared" si="10"/>
        <v>2932.6400000000031</v>
      </c>
      <c r="L19" s="213">
        <f>30501.88+3979.24</f>
        <v>34481.120000000003</v>
      </c>
      <c r="M19" s="213">
        <v>10.529</v>
      </c>
      <c r="N19" s="213">
        <v>2620.2873</v>
      </c>
      <c r="O19" s="213">
        <f t="shared" si="3"/>
        <v>2630.8163</v>
      </c>
      <c r="P19" s="213">
        <v>404.73849999999993</v>
      </c>
      <c r="Q19" s="213">
        <v>529.32929999999999</v>
      </c>
      <c r="R19" s="213">
        <v>848.77160000000003</v>
      </c>
      <c r="S19" s="213">
        <v>2405.8128000000002</v>
      </c>
      <c r="T19" s="213">
        <v>1291.9983</v>
      </c>
      <c r="U19" s="1178" t="s">
        <v>565</v>
      </c>
      <c r="V19" s="468" t="s">
        <v>565</v>
      </c>
      <c r="W19" s="213">
        <v>1584.0472</v>
      </c>
      <c r="X19" s="213">
        <v>638.55459999999994</v>
      </c>
      <c r="Y19" s="213">
        <v>153.00360000000001</v>
      </c>
      <c r="Z19" s="213">
        <v>9645.7895000000008</v>
      </c>
      <c r="AA19" s="213">
        <v>2929.8935999999999</v>
      </c>
      <c r="AB19" s="213">
        <v>131.09569999999999</v>
      </c>
      <c r="AC19" s="213">
        <v>932.1893</v>
      </c>
      <c r="AD19" s="213">
        <v>692.18090000000007</v>
      </c>
      <c r="AE19" s="213">
        <v>2783.5914000000002</v>
      </c>
      <c r="AF19" s="213">
        <v>3857.6780000000003</v>
      </c>
      <c r="AG19" s="213">
        <v>2862.0955999999996</v>
      </c>
      <c r="AH19" s="213">
        <v>5819.9853000000003</v>
      </c>
      <c r="AI19" s="213">
        <v>1240.8736000000001</v>
      </c>
      <c r="AJ19" s="213">
        <v>5004.4654999999993</v>
      </c>
      <c r="AK19" s="213">
        <v>2255.3823342850651</v>
      </c>
      <c r="AL19" s="213">
        <v>11388.210099999997</v>
      </c>
      <c r="AM19" s="213">
        <f t="shared" si="7"/>
        <v>57399.686734285067</v>
      </c>
      <c r="AN19" s="213">
        <f t="shared" si="8"/>
        <v>60030.503034285066</v>
      </c>
      <c r="AO19" s="213">
        <f t="shared" si="9"/>
        <v>-25549.383034285063</v>
      </c>
      <c r="AP19" s="1178" t="s">
        <v>565</v>
      </c>
      <c r="AQ19" s="930"/>
      <c r="AR19" s="930"/>
      <c r="AS19" s="930"/>
      <c r="AT19" s="930"/>
      <c r="AV19" s="930"/>
      <c r="AW19" s="930"/>
      <c r="AX19" s="930"/>
      <c r="AY19" s="930"/>
      <c r="AZ19" s="930"/>
    </row>
    <row r="20" spans="1:57" s="238" customFormat="1" ht="11.45" customHeight="1">
      <c r="A20" s="1103" t="s">
        <v>566</v>
      </c>
      <c r="B20" s="252">
        <f>189.8979+0</f>
        <v>189.89789999999999</v>
      </c>
      <c r="C20" s="252">
        <f>659.45+5.54</f>
        <v>664.99</v>
      </c>
      <c r="D20" s="252">
        <f>3.292+0</f>
        <v>3.2919999999999998</v>
      </c>
      <c r="E20" s="252">
        <f>832.35+282.64</f>
        <v>1114.99</v>
      </c>
      <c r="F20" s="252">
        <f>124.07+109.64+0+0</f>
        <v>233.70999999999998</v>
      </c>
      <c r="G20" s="252">
        <f>29633.15+3174.99</f>
        <v>32808.14</v>
      </c>
      <c r="H20" s="252">
        <v>0</v>
      </c>
      <c r="I20" s="252">
        <v>0</v>
      </c>
      <c r="J20" s="252">
        <v>0</v>
      </c>
      <c r="K20" s="252">
        <f t="shared" si="10"/>
        <v>3850.7100999999966</v>
      </c>
      <c r="L20" s="252">
        <f>34650.52+4215.21</f>
        <v>38865.729999999996</v>
      </c>
      <c r="M20" s="252">
        <v>8.7456999999999994</v>
      </c>
      <c r="N20" s="252">
        <v>1907.6895</v>
      </c>
      <c r="O20" s="252">
        <f>M20+N20</f>
        <v>1916.4351999999999</v>
      </c>
      <c r="P20" s="252">
        <v>612.00909999999999</v>
      </c>
      <c r="Q20" s="252">
        <v>593.34929999999997</v>
      </c>
      <c r="R20" s="252">
        <v>1701.9507000000001</v>
      </c>
      <c r="S20" s="252">
        <v>2143.9584</v>
      </c>
      <c r="T20" s="252">
        <v>939.91520000000003</v>
      </c>
      <c r="U20" s="1175" t="s">
        <v>566</v>
      </c>
      <c r="V20" s="1103" t="s">
        <v>566</v>
      </c>
      <c r="W20" s="252">
        <v>567.39609999999993</v>
      </c>
      <c r="X20" s="252">
        <v>733.5485000000001</v>
      </c>
      <c r="Y20" s="252">
        <v>1180.4289000000001</v>
      </c>
      <c r="Z20" s="252">
        <v>7521.0784000000003</v>
      </c>
      <c r="AA20" s="252">
        <v>3357.3568999999998</v>
      </c>
      <c r="AB20" s="252">
        <v>147.6114</v>
      </c>
      <c r="AC20" s="252">
        <v>789.20640000000003</v>
      </c>
      <c r="AD20" s="252">
        <v>816.32050000000004</v>
      </c>
      <c r="AE20" s="252">
        <v>2985.7354999999998</v>
      </c>
      <c r="AF20" s="252">
        <v>3782.2629999999999</v>
      </c>
      <c r="AG20" s="252">
        <v>3077.3618000000001</v>
      </c>
      <c r="AH20" s="252">
        <v>6980.9767999999995</v>
      </c>
      <c r="AI20" s="252">
        <v>1271.3511000000001</v>
      </c>
      <c r="AJ20" s="252">
        <v>4935.8645000000006</v>
      </c>
      <c r="AK20" s="252">
        <v>2489.1632303740553</v>
      </c>
      <c r="AL20" s="252">
        <v>13196.69850000001</v>
      </c>
      <c r="AM20" s="252">
        <f t="shared" si="7"/>
        <v>59823.544230374064</v>
      </c>
      <c r="AN20" s="252">
        <f t="shared" si="8"/>
        <v>61739.979430374064</v>
      </c>
      <c r="AO20" s="252">
        <f t="shared" si="9"/>
        <v>-22874.249430374068</v>
      </c>
      <c r="AP20" s="1175" t="s">
        <v>566</v>
      </c>
      <c r="AQ20" s="930"/>
      <c r="AR20" s="930"/>
      <c r="AS20" s="930"/>
      <c r="AT20" s="930"/>
      <c r="AV20" s="930"/>
      <c r="AW20" s="930"/>
      <c r="AX20" s="930"/>
      <c r="AY20" s="930"/>
      <c r="AZ20" s="930"/>
    </row>
    <row r="21" spans="1:57" s="238" customFormat="1" ht="11.45" customHeight="1">
      <c r="A21" s="468" t="s">
        <v>557</v>
      </c>
      <c r="B21" s="213">
        <f>149+0</f>
        <v>149</v>
      </c>
      <c r="C21" s="213">
        <f>549.4+15.26</f>
        <v>564.66</v>
      </c>
      <c r="D21" s="213">
        <f>2+0</f>
        <v>2</v>
      </c>
      <c r="E21" s="213">
        <f>786.62+284.42</f>
        <v>1071.04</v>
      </c>
      <c r="F21" s="213">
        <f>108.98+160.58+0+0</f>
        <v>269.56</v>
      </c>
      <c r="G21" s="213">
        <f>30515.75+3195.12</f>
        <v>33710.870000000003</v>
      </c>
      <c r="H21" s="213">
        <v>0</v>
      </c>
      <c r="I21" s="213">
        <v>0</v>
      </c>
      <c r="J21" s="213">
        <v>0</v>
      </c>
      <c r="K21" s="213">
        <f t="shared" si="10"/>
        <v>3800.7299999999959</v>
      </c>
      <c r="L21" s="213">
        <f>35371.79+4196.07</f>
        <v>39567.86</v>
      </c>
      <c r="M21" s="213">
        <v>16.421800000000001</v>
      </c>
      <c r="N21" s="213">
        <v>1837.1255999999998</v>
      </c>
      <c r="O21" s="213">
        <f>M21+N21</f>
        <v>1853.5473999999999</v>
      </c>
      <c r="P21" s="213">
        <v>381.78640000000001</v>
      </c>
      <c r="Q21" s="213">
        <v>598.18729999999994</v>
      </c>
      <c r="R21" s="213">
        <v>1093.7872</v>
      </c>
      <c r="S21" s="213">
        <v>2069.6053999999999</v>
      </c>
      <c r="T21" s="213">
        <v>981.44889999999998</v>
      </c>
      <c r="U21" s="1178" t="s">
        <v>557</v>
      </c>
      <c r="V21" s="468" t="s">
        <v>557</v>
      </c>
      <c r="W21" s="213">
        <v>741.51099999999997</v>
      </c>
      <c r="X21" s="213">
        <v>594.01929999999993</v>
      </c>
      <c r="Y21" s="213">
        <v>1972.1111999999998</v>
      </c>
      <c r="Z21" s="213">
        <v>7706.8305</v>
      </c>
      <c r="AA21" s="213">
        <v>2835.3438000000001</v>
      </c>
      <c r="AB21" s="213">
        <v>174.9024</v>
      </c>
      <c r="AC21" s="213">
        <v>1218.2411999999999</v>
      </c>
      <c r="AD21" s="213">
        <v>706.06029999999998</v>
      </c>
      <c r="AE21" s="213">
        <v>2781.3923</v>
      </c>
      <c r="AF21" s="213">
        <v>3800.9758000000002</v>
      </c>
      <c r="AG21" s="213">
        <v>2949.3834000000002</v>
      </c>
      <c r="AH21" s="213">
        <v>6093.6231000000007</v>
      </c>
      <c r="AI21" s="213">
        <v>1093.8304000000001</v>
      </c>
      <c r="AJ21" s="213">
        <v>4946.2313000000004</v>
      </c>
      <c r="AK21" s="213">
        <v>2259.205018724655</v>
      </c>
      <c r="AL21" s="213">
        <v>13571.759399999999</v>
      </c>
      <c r="AM21" s="213">
        <f t="shared" si="7"/>
        <v>58570.235618724648</v>
      </c>
      <c r="AN21" s="213">
        <f t="shared" si="8"/>
        <v>60423.783018724651</v>
      </c>
      <c r="AO21" s="213">
        <f t="shared" si="9"/>
        <v>-20855.92301872465</v>
      </c>
      <c r="AP21" s="1178" t="s">
        <v>557</v>
      </c>
      <c r="AQ21" s="930"/>
      <c r="AR21" s="930"/>
      <c r="AS21" s="930"/>
      <c r="AT21" s="930"/>
      <c r="AV21" s="930"/>
      <c r="AW21" s="930"/>
      <c r="AX21" s="930"/>
      <c r="AY21" s="930"/>
      <c r="AZ21" s="930"/>
    </row>
    <row r="22" spans="1:57" s="240" customFormat="1" ht="12" customHeight="1">
      <c r="A22" s="274" t="s">
        <v>2439</v>
      </c>
      <c r="B22" s="762">
        <f>SUM(B23:B34)</f>
        <v>1841.5500999999997</v>
      </c>
      <c r="C22" s="762">
        <f t="shared" ref="C22:T22" si="11">SUM(C23:C34)</f>
        <v>8373.8837000000003</v>
      </c>
      <c r="D22" s="762">
        <f t="shared" si="11"/>
        <v>38.628</v>
      </c>
      <c r="E22" s="762">
        <f t="shared" si="11"/>
        <v>14284.143099999999</v>
      </c>
      <c r="F22" s="762">
        <f t="shared" si="11"/>
        <v>4279.1954000000005</v>
      </c>
      <c r="G22" s="762">
        <f t="shared" si="11"/>
        <v>449777.09659999982</v>
      </c>
      <c r="H22" s="762">
        <f t="shared" si="11"/>
        <v>0.6</v>
      </c>
      <c r="I22" s="762">
        <f t="shared" si="11"/>
        <v>0.6</v>
      </c>
      <c r="J22" s="762">
        <f t="shared" si="11"/>
        <v>0.80590000000000006</v>
      </c>
      <c r="K22" s="762">
        <f t="shared" si="11"/>
        <v>47805.839000000124</v>
      </c>
      <c r="L22" s="762">
        <f t="shared" si="11"/>
        <v>526402.34180000005</v>
      </c>
      <c r="M22" s="762">
        <f t="shared" si="11"/>
        <v>7009.6</v>
      </c>
      <c r="N22" s="762">
        <f t="shared" si="11"/>
        <v>17537.5</v>
      </c>
      <c r="O22" s="762">
        <f t="shared" si="11"/>
        <v>24547.1</v>
      </c>
      <c r="P22" s="762">
        <f t="shared" si="11"/>
        <v>5377.4</v>
      </c>
      <c r="Q22" s="762">
        <f t="shared" si="11"/>
        <v>5490.3000000000011</v>
      </c>
      <c r="R22" s="762">
        <f t="shared" si="11"/>
        <v>13034.699999999999</v>
      </c>
      <c r="S22" s="762">
        <f t="shared" si="11"/>
        <v>30605.099999999995</v>
      </c>
      <c r="T22" s="762">
        <f t="shared" si="11"/>
        <v>10370.799999999999</v>
      </c>
      <c r="U22" s="1360" t="s">
        <v>2439</v>
      </c>
      <c r="V22" s="1361" t="s">
        <v>2439</v>
      </c>
      <c r="W22" s="762">
        <f t="shared" ref="W22:X22" si="12">SUM(W23:W39)</f>
        <v>26911.836299999999</v>
      </c>
      <c r="X22" s="762">
        <f t="shared" si="12"/>
        <v>17794.345499999999</v>
      </c>
      <c r="Y22" s="762">
        <f>SUM(Y23:Y34)</f>
        <v>13379.800000000001</v>
      </c>
      <c r="Z22" s="762">
        <f t="shared" ref="Z22:AM22" si="13">SUM(Z23:Z34)</f>
        <v>114811.9</v>
      </c>
      <c r="AA22" s="762">
        <f t="shared" si="13"/>
        <v>39960.199999999997</v>
      </c>
      <c r="AB22" s="762">
        <f t="shared" si="13"/>
        <v>2545.2999999999997</v>
      </c>
      <c r="AC22" s="762">
        <f t="shared" si="13"/>
        <v>22142.400000000001</v>
      </c>
      <c r="AD22" s="762">
        <f t="shared" si="13"/>
        <v>10110.299999999999</v>
      </c>
      <c r="AE22" s="762">
        <f t="shared" si="13"/>
        <v>37473.1</v>
      </c>
      <c r="AF22" s="762">
        <f t="shared" si="13"/>
        <v>41097.700000000004</v>
      </c>
      <c r="AG22" s="762">
        <f t="shared" si="13"/>
        <v>42308.700000000004</v>
      </c>
      <c r="AH22" s="762">
        <f t="shared" si="13"/>
        <v>93341.4</v>
      </c>
      <c r="AI22" s="762">
        <f t="shared" si="13"/>
        <v>16406.400000000001</v>
      </c>
      <c r="AJ22" s="762">
        <f t="shared" si="13"/>
        <v>59758.400000000009</v>
      </c>
      <c r="AK22" s="762">
        <f t="shared" si="13"/>
        <v>36949.789812541501</v>
      </c>
      <c r="AL22" s="762">
        <f t="shared" si="13"/>
        <v>176103.08999999997</v>
      </c>
      <c r="AM22" s="762">
        <f t="shared" si="13"/>
        <v>790843.77981254144</v>
      </c>
      <c r="AN22" s="762">
        <f>SUM(AN23:AN34)</f>
        <v>815390.87981254153</v>
      </c>
      <c r="AO22" s="762">
        <f>SUM(AO23:AO34)</f>
        <v>-288988.53801254148</v>
      </c>
      <c r="AP22" s="1360" t="s">
        <v>2439</v>
      </c>
      <c r="AR22" s="930"/>
      <c r="AS22" s="930"/>
    </row>
    <row r="23" spans="1:57" s="238" customFormat="1" ht="11.45" customHeight="1">
      <c r="A23" s="468" t="s">
        <v>559</v>
      </c>
      <c r="B23" s="213">
        <f>107.2264+0</f>
        <v>107.2264</v>
      </c>
      <c r="C23" s="213">
        <f>600.9536+12.2849</f>
        <v>613.23850000000004</v>
      </c>
      <c r="D23" s="213">
        <f>4.3516+0</f>
        <v>4.3516000000000004</v>
      </c>
      <c r="E23" s="213">
        <f>801.3941+351.1035</f>
        <v>1152.4975999999999</v>
      </c>
      <c r="F23" s="213">
        <f>187.8432+117.0838+0+0</f>
        <v>304.92700000000002</v>
      </c>
      <c r="G23" s="213">
        <f>29412.1578+3673.5328</f>
        <v>33085.690600000002</v>
      </c>
      <c r="H23" s="213">
        <v>0.1</v>
      </c>
      <c r="I23" s="213">
        <v>0.1</v>
      </c>
      <c r="J23" s="213">
        <v>0.1</v>
      </c>
      <c r="K23" s="213">
        <f t="shared" ref="K23:K27" si="14">L23-SUM(B23:J23)</f>
        <v>3456.1910000000062</v>
      </c>
      <c r="L23" s="213">
        <f>33999.4107+4725.012</f>
        <v>38724.422700000003</v>
      </c>
      <c r="M23" s="213">
        <v>9.8000000000000007</v>
      </c>
      <c r="N23" s="213">
        <v>702.6</v>
      </c>
      <c r="O23" s="213">
        <f t="shared" ref="O23:O34" si="15">M23+N23</f>
        <v>712.4</v>
      </c>
      <c r="P23" s="213">
        <v>350.5</v>
      </c>
      <c r="Q23" s="213">
        <v>506.5</v>
      </c>
      <c r="R23" s="213">
        <v>1272.5999999999999</v>
      </c>
      <c r="S23" s="213">
        <v>1598.4</v>
      </c>
      <c r="T23" s="213">
        <v>1002.6999999999999</v>
      </c>
      <c r="U23" s="1178" t="s">
        <v>559</v>
      </c>
      <c r="V23" s="468" t="s">
        <v>559</v>
      </c>
      <c r="W23" s="213">
        <v>817.6</v>
      </c>
      <c r="X23" s="213">
        <v>626.20000000000005</v>
      </c>
      <c r="Y23" s="213">
        <v>1305.7</v>
      </c>
      <c r="Z23" s="213">
        <v>6972.5999999999995</v>
      </c>
      <c r="AA23" s="213">
        <v>3106.8</v>
      </c>
      <c r="AB23" s="213">
        <v>178.8</v>
      </c>
      <c r="AC23" s="213">
        <v>1453.3000000000002</v>
      </c>
      <c r="AD23" s="213">
        <v>858.2</v>
      </c>
      <c r="AE23" s="213">
        <v>2868.9999999999995</v>
      </c>
      <c r="AF23" s="213">
        <v>3492.6</v>
      </c>
      <c r="AG23" s="213">
        <v>3342.6</v>
      </c>
      <c r="AH23" s="213">
        <v>6306.9000000000005</v>
      </c>
      <c r="AI23" s="213">
        <v>1116.8</v>
      </c>
      <c r="AJ23" s="213">
        <v>4795.6000000000004</v>
      </c>
      <c r="AK23" s="213">
        <v>2306.9379258159202</v>
      </c>
      <c r="AL23" s="213">
        <v>13461.180000000004</v>
      </c>
      <c r="AM23" s="213">
        <f t="shared" ref="AM23:AM24" si="16">SUM(P23:T23)+SUM(W23:AL23)</f>
        <v>57741.517925815919</v>
      </c>
      <c r="AN23" s="213">
        <f t="shared" ref="AN23:AN31" si="17">O23+AM23</f>
        <v>58453.91792581592</v>
      </c>
      <c r="AO23" s="213">
        <f t="shared" ref="AO23:AO34" si="18">L23-AN23</f>
        <v>-19729.495225815917</v>
      </c>
      <c r="AP23" s="1178" t="s">
        <v>559</v>
      </c>
      <c r="AQ23" s="930"/>
      <c r="AR23" s="930"/>
      <c r="AS23" s="930"/>
      <c r="AT23" s="930"/>
      <c r="AV23" s="930"/>
      <c r="AW23" s="930"/>
      <c r="AX23" s="930"/>
      <c r="AY23" s="930"/>
      <c r="AZ23" s="930"/>
    </row>
    <row r="24" spans="1:57" s="238" customFormat="1" ht="11.45" customHeight="1">
      <c r="A24" s="1103" t="s">
        <v>112</v>
      </c>
      <c r="B24" s="252">
        <f>120.0516+0</f>
        <v>120.05159999999999</v>
      </c>
      <c r="C24" s="252">
        <f>583.267+7.7735</f>
        <v>591.04050000000007</v>
      </c>
      <c r="D24" s="252">
        <f>1.8638+0</f>
        <v>1.8637999999999999</v>
      </c>
      <c r="E24" s="252">
        <f>869.5009+296.2184</f>
        <v>1165.7193</v>
      </c>
      <c r="F24" s="252">
        <f>85.4071+212.8385+0+0</f>
        <v>298.24560000000002</v>
      </c>
      <c r="G24" s="252">
        <f>29890.2163+3463.7976</f>
        <v>33354.013899999998</v>
      </c>
      <c r="H24" s="252">
        <v>0.1</v>
      </c>
      <c r="I24" s="252">
        <v>0.1</v>
      </c>
      <c r="J24" s="252">
        <v>0.1</v>
      </c>
      <c r="K24" s="252">
        <f t="shared" si="14"/>
        <v>3403.3868000000002</v>
      </c>
      <c r="L24" s="252">
        <f>34601.1706+4333.4509</f>
        <v>38934.621499999994</v>
      </c>
      <c r="M24" s="252">
        <v>4.7</v>
      </c>
      <c r="N24" s="252">
        <v>1444.1</v>
      </c>
      <c r="O24" s="252">
        <f t="shared" si="15"/>
        <v>1448.8</v>
      </c>
      <c r="P24" s="252">
        <v>348.5</v>
      </c>
      <c r="Q24" s="252">
        <v>511.9</v>
      </c>
      <c r="R24" s="252">
        <v>559.4</v>
      </c>
      <c r="S24" s="252">
        <v>1669.1</v>
      </c>
      <c r="T24" s="252">
        <v>532.4</v>
      </c>
      <c r="U24" s="1175" t="s">
        <v>112</v>
      </c>
      <c r="V24" s="1103" t="s">
        <v>112</v>
      </c>
      <c r="W24" s="252">
        <v>539.20000000000005</v>
      </c>
      <c r="X24" s="252">
        <v>488</v>
      </c>
      <c r="Y24" s="252">
        <v>1026.5</v>
      </c>
      <c r="Z24" s="252">
        <v>8677.7999999999993</v>
      </c>
      <c r="AA24" s="252">
        <v>3577</v>
      </c>
      <c r="AB24" s="252">
        <v>170</v>
      </c>
      <c r="AC24" s="252">
        <v>988.6</v>
      </c>
      <c r="AD24" s="252">
        <v>907.7</v>
      </c>
      <c r="AE24" s="252">
        <v>3013.3999999999996</v>
      </c>
      <c r="AF24" s="252">
        <v>3507.4</v>
      </c>
      <c r="AG24" s="252">
        <v>3399.6000000000004</v>
      </c>
      <c r="AH24" s="252">
        <v>7282.2</v>
      </c>
      <c r="AI24" s="252">
        <v>1246</v>
      </c>
      <c r="AJ24" s="252">
        <v>4740.5</v>
      </c>
      <c r="AK24" s="252">
        <v>2486.75</v>
      </c>
      <c r="AL24" s="252">
        <v>14133.5</v>
      </c>
      <c r="AM24" s="252">
        <f t="shared" si="16"/>
        <v>59805.450000000004</v>
      </c>
      <c r="AN24" s="252">
        <f t="shared" si="17"/>
        <v>61254.250000000007</v>
      </c>
      <c r="AO24" s="252">
        <f t="shared" si="18"/>
        <v>-22319.628500000013</v>
      </c>
      <c r="AP24" s="1175" t="s">
        <v>112</v>
      </c>
      <c r="AQ24" s="240"/>
      <c r="AR24" s="930"/>
      <c r="AS24" s="930"/>
      <c r="AT24" s="240"/>
      <c r="AU24" s="240"/>
      <c r="AV24" s="240"/>
      <c r="AW24" s="930"/>
      <c r="AX24" s="930"/>
      <c r="AY24" s="930"/>
      <c r="AZ24" s="930"/>
      <c r="BA24" s="240"/>
      <c r="BB24" s="240"/>
      <c r="BC24" s="240"/>
      <c r="BD24" s="240"/>
      <c r="BE24" s="240"/>
    </row>
    <row r="25" spans="1:57" s="238" customFormat="1" ht="11.45" customHeight="1">
      <c r="A25" s="468" t="s">
        <v>554</v>
      </c>
      <c r="B25" s="213">
        <f>201.7033+0</f>
        <v>201.70330000000001</v>
      </c>
      <c r="C25" s="213">
        <f>684.3396+15.7527</f>
        <v>700.09230000000002</v>
      </c>
      <c r="D25" s="213">
        <f>1.8765+0</f>
        <v>1.8765000000000001</v>
      </c>
      <c r="E25" s="213">
        <f>950.4449+279.6946</f>
        <v>1230.1395</v>
      </c>
      <c r="F25" s="213">
        <f>226.6693+107.0026+0+0</f>
        <v>333.67189999999999</v>
      </c>
      <c r="G25" s="213">
        <f>35666.7958+4925.8185</f>
        <v>40592.614300000001</v>
      </c>
      <c r="H25" s="213">
        <v>0.1</v>
      </c>
      <c r="I25" s="213">
        <v>0.1</v>
      </c>
      <c r="J25" s="213">
        <v>0.1</v>
      </c>
      <c r="K25" s="213">
        <f t="shared" si="14"/>
        <v>4277.1533000000054</v>
      </c>
      <c r="L25" s="213">
        <f>41463.3029+5874.2482</f>
        <v>47337.551100000004</v>
      </c>
      <c r="M25" s="213">
        <v>21.8</v>
      </c>
      <c r="N25" s="213">
        <v>1725.5</v>
      </c>
      <c r="O25" s="213">
        <f t="shared" si="15"/>
        <v>1747.3</v>
      </c>
      <c r="P25" s="213">
        <v>294.70000000000005</v>
      </c>
      <c r="Q25" s="213">
        <v>415.9</v>
      </c>
      <c r="R25" s="213">
        <v>1041.4000000000001</v>
      </c>
      <c r="S25" s="213">
        <v>1870.2</v>
      </c>
      <c r="T25" s="213">
        <v>806.9</v>
      </c>
      <c r="U25" s="1178" t="s">
        <v>554</v>
      </c>
      <c r="V25" s="468" t="s">
        <v>554</v>
      </c>
      <c r="W25" s="213">
        <v>625.5</v>
      </c>
      <c r="X25" s="213">
        <v>584.9</v>
      </c>
      <c r="Y25" s="213">
        <v>1216.6000000000001</v>
      </c>
      <c r="Z25" s="213">
        <v>10941.199999999999</v>
      </c>
      <c r="AA25" s="213">
        <v>3243.5</v>
      </c>
      <c r="AB25" s="213">
        <v>222.1</v>
      </c>
      <c r="AC25" s="213">
        <v>2798.7</v>
      </c>
      <c r="AD25" s="213">
        <v>799.5</v>
      </c>
      <c r="AE25" s="213">
        <v>3106.9</v>
      </c>
      <c r="AF25" s="213">
        <v>3148.4</v>
      </c>
      <c r="AG25" s="213">
        <v>3527.8</v>
      </c>
      <c r="AH25" s="213">
        <v>7651</v>
      </c>
      <c r="AI25" s="213">
        <v>1142</v>
      </c>
      <c r="AJ25" s="213">
        <v>5647.5</v>
      </c>
      <c r="AK25" s="213">
        <v>2526.63</v>
      </c>
      <c r="AL25" s="213">
        <v>14402.239999999996</v>
      </c>
      <c r="AM25" s="213">
        <f t="shared" ref="AM25:AM26" si="19">SUM(P25:T25)+SUM(W25:AL25)</f>
        <v>66013.569999999992</v>
      </c>
      <c r="AN25" s="213">
        <f t="shared" si="17"/>
        <v>67760.87</v>
      </c>
      <c r="AO25" s="213">
        <f t="shared" si="18"/>
        <v>-20423.318899999991</v>
      </c>
      <c r="AP25" s="1178" t="s">
        <v>554</v>
      </c>
      <c r="AQ25" s="930"/>
      <c r="AR25" s="930"/>
      <c r="AS25" s="930"/>
      <c r="AT25" s="930"/>
      <c r="AV25" s="930"/>
      <c r="AW25" s="930"/>
      <c r="AX25" s="930"/>
      <c r="AY25" s="930"/>
      <c r="AZ25" s="930"/>
    </row>
    <row r="26" spans="1:57" s="238" customFormat="1" ht="11.45" customHeight="1">
      <c r="A26" s="1103" t="s">
        <v>2729</v>
      </c>
      <c r="B26" s="252">
        <f>186.6061+0</f>
        <v>186.6061</v>
      </c>
      <c r="C26" s="252">
        <f>712.0818+10.9262</f>
        <v>723.00800000000004</v>
      </c>
      <c r="D26" s="252">
        <f>5.2053+0</f>
        <v>5.2053000000000003</v>
      </c>
      <c r="E26" s="252">
        <f>835.7653+351.2122</f>
        <v>1186.9775</v>
      </c>
      <c r="F26" s="252">
        <f>123.4458+257.3447+0+0</f>
        <v>380.79050000000001</v>
      </c>
      <c r="G26" s="252">
        <f>34272.5311+4806.9884</f>
        <v>39079.519500000002</v>
      </c>
      <c r="H26" s="252">
        <v>0.1</v>
      </c>
      <c r="I26" s="252">
        <v>0.1</v>
      </c>
      <c r="J26" s="252">
        <v>0.1</v>
      </c>
      <c r="K26" s="252">
        <f t="shared" si="14"/>
        <v>4354.9635000000053</v>
      </c>
      <c r="L26" s="252">
        <f>40098.6574+5818.713</f>
        <v>45917.3704</v>
      </c>
      <c r="M26" s="252">
        <v>39.700000000000003</v>
      </c>
      <c r="N26" s="252">
        <v>1341.1000000000001</v>
      </c>
      <c r="O26" s="252">
        <f t="shared" si="15"/>
        <v>1380.8000000000002</v>
      </c>
      <c r="P26" s="252">
        <v>299.89999999999998</v>
      </c>
      <c r="Q26" s="252">
        <v>392.5</v>
      </c>
      <c r="R26" s="252">
        <v>640.70000000000005</v>
      </c>
      <c r="S26" s="252">
        <v>2037.1</v>
      </c>
      <c r="T26" s="252">
        <v>851.7</v>
      </c>
      <c r="U26" s="1175" t="s">
        <v>561</v>
      </c>
      <c r="V26" s="1103" t="s">
        <v>561</v>
      </c>
      <c r="W26" s="252">
        <v>801</v>
      </c>
      <c r="X26" s="252">
        <v>544.1</v>
      </c>
      <c r="Y26" s="252">
        <v>1836.9</v>
      </c>
      <c r="Z26" s="252">
        <v>10960.2</v>
      </c>
      <c r="AA26" s="252">
        <v>3533.5</v>
      </c>
      <c r="AB26" s="252">
        <v>209.9</v>
      </c>
      <c r="AC26" s="252">
        <v>1444</v>
      </c>
      <c r="AD26" s="252">
        <v>872.5</v>
      </c>
      <c r="AE26" s="252">
        <v>3592.5</v>
      </c>
      <c r="AF26" s="252">
        <v>3255.3</v>
      </c>
      <c r="AG26" s="252">
        <v>3578.2999999999997</v>
      </c>
      <c r="AH26" s="252">
        <v>7412.3</v>
      </c>
      <c r="AI26" s="252">
        <v>1330.4</v>
      </c>
      <c r="AJ26" s="252">
        <v>5545.3</v>
      </c>
      <c r="AK26" s="252">
        <v>2973.39</v>
      </c>
      <c r="AL26" s="252">
        <v>16632.689999999988</v>
      </c>
      <c r="AM26" s="252">
        <f t="shared" si="19"/>
        <v>68744.179999999993</v>
      </c>
      <c r="AN26" s="252">
        <f t="shared" si="17"/>
        <v>70124.98</v>
      </c>
      <c r="AO26" s="252">
        <f t="shared" si="18"/>
        <v>-24207.609599999996</v>
      </c>
      <c r="AP26" s="1175" t="s">
        <v>561</v>
      </c>
      <c r="AQ26" s="240"/>
      <c r="AR26" s="930"/>
      <c r="AS26" s="930"/>
      <c r="AT26" s="240"/>
      <c r="AU26" s="240"/>
      <c r="AV26" s="930"/>
      <c r="AW26" s="930"/>
      <c r="AX26" s="930"/>
      <c r="AY26" s="930"/>
      <c r="AZ26" s="930"/>
    </row>
    <row r="27" spans="1:57" s="238" customFormat="1" ht="11.45" customHeight="1">
      <c r="A27" s="468" t="s">
        <v>562</v>
      </c>
      <c r="B27" s="213">
        <f>179.5605+0</f>
        <v>179.56049999999999</v>
      </c>
      <c r="C27" s="213">
        <f>714.8367+21.6978</f>
        <v>736.53449999999998</v>
      </c>
      <c r="D27" s="213">
        <f>3.828+0</f>
        <v>3.8279999999999998</v>
      </c>
      <c r="E27" s="213">
        <f>690.2183+261.0947</f>
        <v>951.31299999999999</v>
      </c>
      <c r="F27" s="213">
        <f>110.1884+313.8749+0+0</f>
        <v>424.06330000000003</v>
      </c>
      <c r="G27" s="213">
        <f>30468.3414+3958.2398</f>
        <v>34426.581200000001</v>
      </c>
      <c r="H27" s="213">
        <v>0.1</v>
      </c>
      <c r="I27" s="213">
        <v>0.1</v>
      </c>
      <c r="J27" s="213">
        <v>5.3999999999999999E-2</v>
      </c>
      <c r="K27" s="213">
        <f t="shared" si="14"/>
        <v>3910.7908000000098</v>
      </c>
      <c r="L27" s="213">
        <f>35835.5301+4797.3952</f>
        <v>40632.925300000003</v>
      </c>
      <c r="M27" s="213">
        <v>73.5</v>
      </c>
      <c r="N27" s="213">
        <v>1056.8</v>
      </c>
      <c r="O27" s="213">
        <f t="shared" si="15"/>
        <v>1130.3</v>
      </c>
      <c r="P27" s="213">
        <v>398.5</v>
      </c>
      <c r="Q27" s="213">
        <v>438</v>
      </c>
      <c r="R27" s="213">
        <v>771.09999999999991</v>
      </c>
      <c r="S27" s="213">
        <v>2229.3000000000002</v>
      </c>
      <c r="T27" s="213">
        <v>530.29999999999995</v>
      </c>
      <c r="U27" s="1178" t="s">
        <v>562</v>
      </c>
      <c r="V27" s="468" t="s">
        <v>562</v>
      </c>
      <c r="W27" s="213">
        <v>1312.6</v>
      </c>
      <c r="X27" s="213">
        <v>528.70000000000005</v>
      </c>
      <c r="Y27" s="213">
        <v>706.5</v>
      </c>
      <c r="Z27" s="213">
        <v>8941</v>
      </c>
      <c r="AA27" s="213">
        <v>3248</v>
      </c>
      <c r="AB27" s="213">
        <v>199.9</v>
      </c>
      <c r="AC27" s="213">
        <v>2034.5</v>
      </c>
      <c r="AD27" s="213">
        <v>748.1</v>
      </c>
      <c r="AE27" s="213">
        <v>2715.2999999999997</v>
      </c>
      <c r="AF27" s="213">
        <v>3099.7000000000003</v>
      </c>
      <c r="AG27" s="213">
        <v>3376.7999999999997</v>
      </c>
      <c r="AH27" s="213">
        <v>7391.5</v>
      </c>
      <c r="AI27" s="213">
        <v>1122.1000000000001</v>
      </c>
      <c r="AJ27" s="213">
        <v>4719.7</v>
      </c>
      <c r="AK27" s="213">
        <v>2854.5699999999997</v>
      </c>
      <c r="AL27" s="213">
        <v>13027.589999999997</v>
      </c>
      <c r="AM27" s="213">
        <f t="shared" ref="AM27" si="20">SUM(P27:T27)+SUM(W27:AL27)</f>
        <v>60393.75999999998</v>
      </c>
      <c r="AN27" s="213">
        <f t="shared" si="17"/>
        <v>61524.059999999983</v>
      </c>
      <c r="AO27" s="213">
        <f t="shared" si="18"/>
        <v>-20891.134699999981</v>
      </c>
      <c r="AP27" s="1178" t="s">
        <v>562</v>
      </c>
      <c r="AQ27" s="930"/>
      <c r="AR27" s="930"/>
      <c r="AS27" s="930"/>
      <c r="AT27" s="930"/>
      <c r="AV27" s="930"/>
      <c r="AW27" s="930"/>
      <c r="AX27" s="930"/>
      <c r="AY27" s="930"/>
      <c r="AZ27" s="930"/>
    </row>
    <row r="28" spans="1:57" s="238" customFormat="1" ht="11.45" customHeight="1">
      <c r="A28" s="1103" t="s">
        <v>555</v>
      </c>
      <c r="B28" s="252">
        <f>165.3824+0</f>
        <v>165.38239999999999</v>
      </c>
      <c r="C28" s="252">
        <f>727.128+12.0529</f>
        <v>739.18090000000007</v>
      </c>
      <c r="D28" s="252">
        <f>5.2426+0</f>
        <v>5.2426000000000004</v>
      </c>
      <c r="E28" s="252">
        <f>895.2094+410.6374</f>
        <v>1305.8468</v>
      </c>
      <c r="F28" s="252">
        <f>121.8836+289.4957+0+0</f>
        <v>411.3793</v>
      </c>
      <c r="G28" s="252">
        <f>33947.389+4582.348</f>
        <v>38529.737000000001</v>
      </c>
      <c r="H28" s="252">
        <v>0.1</v>
      </c>
      <c r="I28" s="252">
        <v>0.1</v>
      </c>
      <c r="J28" s="252">
        <v>0.1</v>
      </c>
      <c r="K28" s="252">
        <f>L28-SUM(B28:J28)</f>
        <v>4364.2286000000095</v>
      </c>
      <c r="L28" s="252">
        <f>39892.3308+5628.9668</f>
        <v>45521.297600000005</v>
      </c>
      <c r="M28" s="252">
        <v>427.7</v>
      </c>
      <c r="N28" s="252">
        <v>2380.9</v>
      </c>
      <c r="O28" s="252">
        <f t="shared" si="15"/>
        <v>2808.6</v>
      </c>
      <c r="P28" s="252">
        <v>483.2</v>
      </c>
      <c r="Q28" s="252">
        <v>450</v>
      </c>
      <c r="R28" s="252">
        <v>1880.8000000000002</v>
      </c>
      <c r="S28" s="252">
        <v>2769.4</v>
      </c>
      <c r="T28" s="252">
        <v>556.29999999999995</v>
      </c>
      <c r="U28" s="1175" t="s">
        <v>555</v>
      </c>
      <c r="V28" s="1103" t="s">
        <v>555</v>
      </c>
      <c r="W28" s="252">
        <v>967.69999999999993</v>
      </c>
      <c r="X28" s="252">
        <v>564.20000000000005</v>
      </c>
      <c r="Y28" s="252">
        <v>1000.3</v>
      </c>
      <c r="Z28" s="252">
        <v>8708.2000000000007</v>
      </c>
      <c r="AA28" s="252">
        <v>3549.7</v>
      </c>
      <c r="AB28" s="252">
        <v>216.7</v>
      </c>
      <c r="AC28" s="252">
        <v>2908.6</v>
      </c>
      <c r="AD28" s="252">
        <v>874.9</v>
      </c>
      <c r="AE28" s="252">
        <v>3259.8</v>
      </c>
      <c r="AF28" s="252">
        <v>3470.9</v>
      </c>
      <c r="AG28" s="252">
        <v>3650.1</v>
      </c>
      <c r="AH28" s="252">
        <v>8126.9</v>
      </c>
      <c r="AI28" s="252">
        <v>1456.3999999999999</v>
      </c>
      <c r="AJ28" s="252">
        <v>4632.2</v>
      </c>
      <c r="AK28" s="252">
        <v>5373.88</v>
      </c>
      <c r="AL28" s="252">
        <v>15568.649999999994</v>
      </c>
      <c r="AM28" s="252">
        <f t="shared" ref="AM28" si="21">SUM(P28:T28)+SUM(W28:AL28)</f>
        <v>70468.829999999987</v>
      </c>
      <c r="AN28" s="252">
        <f t="shared" si="17"/>
        <v>73277.429999999993</v>
      </c>
      <c r="AO28" s="252">
        <f t="shared" si="18"/>
        <v>-27756.132399999988</v>
      </c>
      <c r="AP28" s="1175" t="s">
        <v>555</v>
      </c>
      <c r="AQ28" s="240"/>
      <c r="AR28" s="930"/>
      <c r="AS28" s="930"/>
      <c r="AT28" s="930"/>
      <c r="AV28" s="930"/>
      <c r="AW28" s="930"/>
      <c r="AX28" s="930"/>
      <c r="AY28" s="930"/>
      <c r="AZ28" s="930"/>
    </row>
    <row r="29" spans="1:57" s="238" customFormat="1" ht="11.45" customHeight="1">
      <c r="A29" s="468" t="s">
        <v>563</v>
      </c>
      <c r="B29" s="213">
        <f>144.0463+0.1398</f>
        <v>144.18610000000001</v>
      </c>
      <c r="C29" s="213">
        <f>747.0709+16.2916</f>
        <v>763.36250000000007</v>
      </c>
      <c r="D29" s="213">
        <f>3.1373+0</f>
        <v>3.1373000000000002</v>
      </c>
      <c r="E29" s="213">
        <f>971.8879+308.8057</f>
        <v>1280.6936000000001</v>
      </c>
      <c r="F29" s="213">
        <f>146.9118+343.0989+0+0</f>
        <v>490.01070000000004</v>
      </c>
      <c r="G29" s="213">
        <f>36715.8448+5120.6478</f>
        <v>41836.492599999998</v>
      </c>
      <c r="H29" s="213">
        <v>0</v>
      </c>
      <c r="I29" s="213">
        <v>0</v>
      </c>
      <c r="J29" s="213">
        <v>0</v>
      </c>
      <c r="K29" s="213">
        <f>L29-SUM(B29:J29)</f>
        <v>4142.7122000000018</v>
      </c>
      <c r="L29" s="213">
        <f>42591.18+6069.415</f>
        <v>48660.595000000001</v>
      </c>
      <c r="M29" s="213">
        <v>697.19999999999993</v>
      </c>
      <c r="N29" s="213">
        <v>1426.5</v>
      </c>
      <c r="O29" s="213">
        <f t="shared" si="15"/>
        <v>2123.6999999999998</v>
      </c>
      <c r="P29" s="213">
        <v>571.59999999999991</v>
      </c>
      <c r="Q29" s="213">
        <v>463.9</v>
      </c>
      <c r="R29" s="213">
        <v>950.1</v>
      </c>
      <c r="S29" s="213">
        <v>2824</v>
      </c>
      <c r="T29" s="213">
        <v>2001.2</v>
      </c>
      <c r="U29" s="1178" t="s">
        <v>563</v>
      </c>
      <c r="V29" s="468" t="s">
        <v>563</v>
      </c>
      <c r="W29" s="213">
        <v>789.69999999999993</v>
      </c>
      <c r="X29" s="213">
        <v>671.5</v>
      </c>
      <c r="Y29" s="213">
        <v>1343.5</v>
      </c>
      <c r="Z29" s="213">
        <v>7265.8</v>
      </c>
      <c r="AA29" s="213">
        <v>3556.9</v>
      </c>
      <c r="AB29" s="213">
        <v>243.2</v>
      </c>
      <c r="AC29" s="213">
        <v>2673.2</v>
      </c>
      <c r="AD29" s="213">
        <v>954.90000000000009</v>
      </c>
      <c r="AE29" s="213">
        <v>3329.6000000000004</v>
      </c>
      <c r="AF29" s="213">
        <v>3367.7000000000003</v>
      </c>
      <c r="AG29" s="213">
        <v>3910.4</v>
      </c>
      <c r="AH29" s="213">
        <v>9309.9</v>
      </c>
      <c r="AI29" s="213">
        <v>1703.2</v>
      </c>
      <c r="AJ29" s="213">
        <v>4489.5</v>
      </c>
      <c r="AK29" s="213">
        <v>3092.3</v>
      </c>
      <c r="AL29" s="213">
        <v>16565.829999999998</v>
      </c>
      <c r="AM29" s="213">
        <f t="shared" ref="AM29" si="22">SUM(P29:T29)+SUM(W29:AL29)</f>
        <v>70077.930000000008</v>
      </c>
      <c r="AN29" s="213">
        <f t="shared" si="17"/>
        <v>72201.63</v>
      </c>
      <c r="AO29" s="213">
        <f t="shared" si="18"/>
        <v>-23541.035000000003</v>
      </c>
      <c r="AP29" s="1178" t="s">
        <v>563</v>
      </c>
      <c r="AQ29" s="930"/>
      <c r="AR29" s="930"/>
      <c r="AS29" s="930"/>
      <c r="AT29" s="930"/>
      <c r="AV29" s="930"/>
      <c r="AW29" s="930"/>
      <c r="AX29" s="930"/>
      <c r="AY29" s="930"/>
      <c r="AZ29" s="930"/>
    </row>
    <row r="30" spans="1:57" s="243" customFormat="1" ht="11.45" customHeight="1">
      <c r="A30" s="1103" t="s">
        <v>564</v>
      </c>
      <c r="B30" s="252">
        <f>127.7172+0</f>
        <v>127.71720000000001</v>
      </c>
      <c r="C30" s="252">
        <f>587.6181+10.7624</f>
        <v>598.38049999999998</v>
      </c>
      <c r="D30" s="252">
        <f>4.9316+0</f>
        <v>4.9316000000000004</v>
      </c>
      <c r="E30" s="252">
        <f>811.3941+373.1235</f>
        <v>1184.5175999999999</v>
      </c>
      <c r="F30" s="252">
        <f>117.5993+242.2345+0+0</f>
        <v>359.8338</v>
      </c>
      <c r="G30" s="252">
        <f>33995.7321+4152.3112</f>
        <v>38148.043300000005</v>
      </c>
      <c r="H30" s="252">
        <v>0</v>
      </c>
      <c r="I30" s="252">
        <v>0</v>
      </c>
      <c r="J30" s="252">
        <v>0.25190000000000001</v>
      </c>
      <c r="K30" s="252">
        <f t="shared" ref="K30:K34" si="23">L30-SUM(B30:J30)</f>
        <v>3768.1491999999926</v>
      </c>
      <c r="L30" s="252">
        <f>39068.6654+5123.1597</f>
        <v>44191.825100000002</v>
      </c>
      <c r="M30" s="252">
        <v>1105.8999999999999</v>
      </c>
      <c r="N30" s="252">
        <v>1152.3999999999999</v>
      </c>
      <c r="O30" s="252">
        <f t="shared" si="15"/>
        <v>2258.2999999999997</v>
      </c>
      <c r="P30" s="252">
        <v>502.4</v>
      </c>
      <c r="Q30" s="252">
        <v>442.70000000000005</v>
      </c>
      <c r="R30" s="252">
        <v>1703.1</v>
      </c>
      <c r="S30" s="252">
        <v>3613.1000000000004</v>
      </c>
      <c r="T30" s="252">
        <v>1639.4</v>
      </c>
      <c r="U30" s="1175" t="s">
        <v>564</v>
      </c>
      <c r="V30" s="1103" t="s">
        <v>564</v>
      </c>
      <c r="W30" s="252">
        <v>1713</v>
      </c>
      <c r="X30" s="252">
        <v>591.20000000000005</v>
      </c>
      <c r="Y30" s="252">
        <v>1179.5999999999999</v>
      </c>
      <c r="Z30" s="252">
        <v>8133.9000000000005</v>
      </c>
      <c r="AA30" s="252">
        <v>2761.1000000000004</v>
      </c>
      <c r="AB30" s="252">
        <v>186.70000000000002</v>
      </c>
      <c r="AC30" s="252">
        <v>1630.2</v>
      </c>
      <c r="AD30" s="252">
        <v>781.10000000000014</v>
      </c>
      <c r="AE30" s="252">
        <v>2705.5</v>
      </c>
      <c r="AF30" s="252">
        <v>3603.8</v>
      </c>
      <c r="AG30" s="252">
        <v>3127.5</v>
      </c>
      <c r="AH30" s="252">
        <v>8092.5</v>
      </c>
      <c r="AI30" s="252">
        <v>1548.3</v>
      </c>
      <c r="AJ30" s="252">
        <v>3834.9</v>
      </c>
      <c r="AK30" s="252">
        <v>2163.2199999999998</v>
      </c>
      <c r="AL30" s="252">
        <v>14841.469999999998</v>
      </c>
      <c r="AM30" s="252">
        <f t="shared" ref="AM30" si="24">SUM(P30:T30)+SUM(W30:AL30)</f>
        <v>64794.69</v>
      </c>
      <c r="AN30" s="252">
        <f t="shared" si="17"/>
        <v>67052.990000000005</v>
      </c>
      <c r="AO30" s="252">
        <f t="shared" si="18"/>
        <v>-22861.164900000003</v>
      </c>
      <c r="AP30" s="1175" t="s">
        <v>564</v>
      </c>
      <c r="AQ30" s="240"/>
      <c r="AR30" s="930"/>
      <c r="AS30" s="930"/>
      <c r="AT30" s="930"/>
      <c r="AU30" s="238"/>
      <c r="AV30" s="930"/>
      <c r="AW30" s="930"/>
      <c r="AX30" s="930"/>
      <c r="AY30" s="930"/>
      <c r="AZ30" s="930"/>
      <c r="BA30" s="238"/>
      <c r="BB30" s="238"/>
      <c r="BC30" s="238"/>
      <c r="BD30" s="238"/>
      <c r="BE30" s="238"/>
    </row>
    <row r="31" spans="1:57" s="243" customFormat="1" ht="11.45" customHeight="1">
      <c r="A31" s="468" t="s">
        <v>556</v>
      </c>
      <c r="B31" s="213">
        <f>125.4589+0</f>
        <v>125.4589</v>
      </c>
      <c r="C31" s="213">
        <f>723.8392+18.0446</f>
        <v>741.88379999999995</v>
      </c>
      <c r="D31" s="213">
        <f>0.6186+0</f>
        <v>0.61860000000000004</v>
      </c>
      <c r="E31" s="213">
        <f>896.2482+316.0141</f>
        <v>1212.2622999999999</v>
      </c>
      <c r="F31" s="213">
        <f>135.5657+168.5789+0+0</f>
        <v>304.14459999999997</v>
      </c>
      <c r="G31" s="213">
        <f>35402.9599+4489.7223</f>
        <v>39892.682200000003</v>
      </c>
      <c r="H31" s="213">
        <v>0</v>
      </c>
      <c r="I31" s="213">
        <v>0</v>
      </c>
      <c r="J31" s="213">
        <v>0</v>
      </c>
      <c r="K31" s="213">
        <f t="shared" si="23"/>
        <v>4049.2698999999993</v>
      </c>
      <c r="L31" s="213">
        <f>40691.6458+5634.6745</f>
        <v>46326.320299999999</v>
      </c>
      <c r="M31" s="213">
        <v>1482.1</v>
      </c>
      <c r="N31" s="213">
        <v>1501</v>
      </c>
      <c r="O31" s="213">
        <f t="shared" si="15"/>
        <v>2983.1</v>
      </c>
      <c r="P31" s="213">
        <v>589.4</v>
      </c>
      <c r="Q31" s="213">
        <v>493.6</v>
      </c>
      <c r="R31" s="213">
        <v>1323.3000000000002</v>
      </c>
      <c r="S31" s="213">
        <v>3862.8</v>
      </c>
      <c r="T31" s="213">
        <v>1154.0999999999999</v>
      </c>
      <c r="U31" s="1178" t="s">
        <v>556</v>
      </c>
      <c r="V31" s="468" t="s">
        <v>556</v>
      </c>
      <c r="W31" s="213">
        <v>1450.3</v>
      </c>
      <c r="X31" s="213">
        <v>542.79999999999995</v>
      </c>
      <c r="Y31" s="213">
        <v>318.10000000000002</v>
      </c>
      <c r="Z31" s="213">
        <v>13368.300000000001</v>
      </c>
      <c r="AA31" s="213">
        <v>3439.7</v>
      </c>
      <c r="AB31" s="213">
        <v>271.2</v>
      </c>
      <c r="AC31" s="213">
        <v>2169.9</v>
      </c>
      <c r="AD31" s="213">
        <v>844.3</v>
      </c>
      <c r="AE31" s="213">
        <v>3153.9</v>
      </c>
      <c r="AF31" s="213">
        <v>3565.8</v>
      </c>
      <c r="AG31" s="213">
        <v>3454.7</v>
      </c>
      <c r="AH31" s="213">
        <v>8114</v>
      </c>
      <c r="AI31" s="213">
        <v>1643.3999999999999</v>
      </c>
      <c r="AJ31" s="213">
        <v>4704.7</v>
      </c>
      <c r="AK31" s="213">
        <v>2831.2518867255772</v>
      </c>
      <c r="AL31" s="213">
        <v>14674.899999999996</v>
      </c>
      <c r="AM31" s="213">
        <f>SUM(P31:T31)+SUM(W31:AL31)</f>
        <v>71970.451886725568</v>
      </c>
      <c r="AN31" s="213">
        <f t="shared" si="17"/>
        <v>74953.551886725574</v>
      </c>
      <c r="AO31" s="213">
        <f t="shared" si="18"/>
        <v>-28627.231586725575</v>
      </c>
      <c r="AP31" s="1178" t="s">
        <v>556</v>
      </c>
      <c r="AQ31" s="930"/>
      <c r="AR31" s="930"/>
      <c r="AS31" s="930"/>
      <c r="AT31" s="930"/>
      <c r="AU31" s="238"/>
      <c r="AV31" s="930"/>
      <c r="AW31" s="930"/>
      <c r="AX31" s="930"/>
      <c r="AY31" s="930"/>
      <c r="AZ31" s="930"/>
      <c r="BA31" s="238"/>
      <c r="BB31" s="238"/>
      <c r="BC31" s="238"/>
      <c r="BD31" s="238"/>
      <c r="BE31" s="238"/>
    </row>
    <row r="32" spans="1:57" s="243" customFormat="1" ht="11.45" customHeight="1">
      <c r="A32" s="1103" t="s">
        <v>565</v>
      </c>
      <c r="B32" s="252">
        <f>154.0464+0</f>
        <v>154.04640000000001</v>
      </c>
      <c r="C32" s="252">
        <f>826.4705+21.4691</f>
        <v>847.93960000000004</v>
      </c>
      <c r="D32" s="252">
        <f>2.7525+0</f>
        <v>2.7524999999999999</v>
      </c>
      <c r="E32" s="252">
        <f>789.1757+376.1371</f>
        <v>1165.3127999999999</v>
      </c>
      <c r="F32" s="252">
        <f>124.0665+155.322+0+0</f>
        <v>279.38850000000002</v>
      </c>
      <c r="G32" s="252">
        <f>35052.769+4044.2588</f>
        <v>39097.027800000003</v>
      </c>
      <c r="H32" s="252">
        <v>0</v>
      </c>
      <c r="I32" s="252">
        <v>0</v>
      </c>
      <c r="J32" s="252">
        <v>0</v>
      </c>
      <c r="K32" s="252">
        <f t="shared" si="23"/>
        <v>4453.6989999999932</v>
      </c>
      <c r="L32" s="252">
        <f>40760.0389+5240.1277</f>
        <v>46000.166599999997</v>
      </c>
      <c r="M32" s="252">
        <v>2153.6</v>
      </c>
      <c r="N32" s="252">
        <v>1549.5</v>
      </c>
      <c r="O32" s="252">
        <f t="shared" si="15"/>
        <v>3703.1</v>
      </c>
      <c r="P32" s="252">
        <v>365.1</v>
      </c>
      <c r="Q32" s="252">
        <v>425.3</v>
      </c>
      <c r="R32" s="252">
        <v>1173.9000000000001</v>
      </c>
      <c r="S32" s="252">
        <v>3041.6</v>
      </c>
      <c r="T32" s="252">
        <v>631.80000000000007</v>
      </c>
      <c r="U32" s="1175" t="s">
        <v>565</v>
      </c>
      <c r="V32" s="1103" t="s">
        <v>565</v>
      </c>
      <c r="W32" s="252">
        <v>1151.8</v>
      </c>
      <c r="X32" s="252">
        <v>816.6</v>
      </c>
      <c r="Y32" s="252">
        <v>1013.2</v>
      </c>
      <c r="Z32" s="252">
        <v>12305.000000000002</v>
      </c>
      <c r="AA32" s="252">
        <v>3229.7</v>
      </c>
      <c r="AB32" s="252">
        <v>188</v>
      </c>
      <c r="AC32" s="252">
        <v>1158.0999999999999</v>
      </c>
      <c r="AD32" s="252">
        <v>828.59999999999991</v>
      </c>
      <c r="AE32" s="252">
        <v>3566.6</v>
      </c>
      <c r="AF32" s="252">
        <v>4178.5</v>
      </c>
      <c r="AG32" s="252">
        <v>3684.2999999999997</v>
      </c>
      <c r="AH32" s="252">
        <v>8816.2000000000007</v>
      </c>
      <c r="AI32" s="252">
        <v>1621.1</v>
      </c>
      <c r="AJ32" s="252">
        <v>5531.8000000000011</v>
      </c>
      <c r="AK32" s="252">
        <v>4867.51</v>
      </c>
      <c r="AL32" s="252">
        <v>15719.210000000003</v>
      </c>
      <c r="AM32" s="252">
        <f>SUM(P32:T32)+SUM(W32:AL32)</f>
        <v>74313.919999999998</v>
      </c>
      <c r="AN32" s="252">
        <f>O32+AM32</f>
        <v>78017.02</v>
      </c>
      <c r="AO32" s="252">
        <f t="shared" si="18"/>
        <v>-32016.853400000007</v>
      </c>
      <c r="AP32" s="1175" t="s">
        <v>565</v>
      </c>
      <c r="AQ32" s="240"/>
      <c r="AR32" s="930"/>
      <c r="AS32" s="930"/>
      <c r="AT32" s="930"/>
      <c r="AU32" s="238"/>
      <c r="AV32" s="930"/>
      <c r="AW32" s="930"/>
      <c r="AX32" s="930"/>
      <c r="AY32" s="930"/>
      <c r="AZ32" s="930"/>
    </row>
    <row r="33" spans="1:57" s="243" customFormat="1" ht="11.45" customHeight="1">
      <c r="A33" s="468" t="s">
        <v>566</v>
      </c>
      <c r="B33" s="213">
        <f>163.138+0</f>
        <v>163.13800000000001</v>
      </c>
      <c r="C33" s="213">
        <f>688.2866+13.187</f>
        <v>701.47360000000003</v>
      </c>
      <c r="D33" s="213">
        <f>3.1983+0</f>
        <v>3.1983000000000001</v>
      </c>
      <c r="E33" s="213">
        <f>832.35+282.64</f>
        <v>1114.99</v>
      </c>
      <c r="F33" s="213">
        <f>139.9204+212.906+0+0</f>
        <v>352.82640000000004</v>
      </c>
      <c r="G33" s="213">
        <f>32549.5158999999+4234.3088</f>
        <v>36783.824699999903</v>
      </c>
      <c r="H33" s="213">
        <v>0</v>
      </c>
      <c r="I33" s="213">
        <v>0</v>
      </c>
      <c r="J33" s="213">
        <v>0</v>
      </c>
      <c r="K33" s="213">
        <f t="shared" si="23"/>
        <v>4228.5308000001023</v>
      </c>
      <c r="L33" s="213">
        <f>37662.1051+5685.8767</f>
        <v>43347.981800000001</v>
      </c>
      <c r="M33" s="213">
        <v>464.3</v>
      </c>
      <c r="N33" s="213">
        <v>1651</v>
      </c>
      <c r="O33" s="213">
        <f t="shared" si="15"/>
        <v>2115.3000000000002</v>
      </c>
      <c r="P33" s="213">
        <v>565.20000000000005</v>
      </c>
      <c r="Q33" s="213">
        <v>516.80000000000007</v>
      </c>
      <c r="R33" s="213">
        <v>923.8</v>
      </c>
      <c r="S33" s="213">
        <v>2709.6</v>
      </c>
      <c r="T33" s="213">
        <v>407.29999999999995</v>
      </c>
      <c r="U33" s="1178" t="s">
        <v>566</v>
      </c>
      <c r="V33" s="468" t="s">
        <v>566</v>
      </c>
      <c r="W33" s="213">
        <v>880.4</v>
      </c>
      <c r="X33" s="213">
        <v>722.4</v>
      </c>
      <c r="Y33" s="213">
        <v>2238.9</v>
      </c>
      <c r="Z33" s="213">
        <v>9851.2000000000007</v>
      </c>
      <c r="AA33" s="213">
        <v>3706.7</v>
      </c>
      <c r="AB33" s="213">
        <v>264.7</v>
      </c>
      <c r="AC33" s="213">
        <v>1065.0999999999999</v>
      </c>
      <c r="AD33" s="213">
        <v>807.4</v>
      </c>
      <c r="AE33" s="213">
        <v>3329.5</v>
      </c>
      <c r="AF33" s="213">
        <v>3719.8999999999996</v>
      </c>
      <c r="AG33" s="213">
        <v>3821.8</v>
      </c>
      <c r="AH33" s="213">
        <v>8286.1</v>
      </c>
      <c r="AI33" s="213">
        <v>1279.6000000000001</v>
      </c>
      <c r="AJ33" s="213">
        <v>6151.9000000000005</v>
      </c>
      <c r="AK33" s="213">
        <v>2783.32</v>
      </c>
      <c r="AL33" s="213">
        <v>14697.900000000005</v>
      </c>
      <c r="AM33" s="213">
        <f>SUM(P33:T33)+SUM(W33:AL33)</f>
        <v>68729.52</v>
      </c>
      <c r="AN33" s="213">
        <f>O33+AM33</f>
        <v>70844.820000000007</v>
      </c>
      <c r="AO33" s="213">
        <f t="shared" si="18"/>
        <v>-27496.838200000006</v>
      </c>
      <c r="AP33" s="1178" t="s">
        <v>566</v>
      </c>
      <c r="AQ33" s="930"/>
      <c r="AR33" s="930"/>
      <c r="AS33" s="930"/>
      <c r="AT33" s="930"/>
      <c r="AU33" s="238"/>
      <c r="AV33" s="930"/>
      <c r="AW33" s="930"/>
      <c r="AX33" s="930"/>
      <c r="AY33" s="930"/>
      <c r="AZ33" s="930"/>
    </row>
    <row r="34" spans="1:57" s="243" customFormat="1" ht="11.45" customHeight="1">
      <c r="A34" s="1103" t="s">
        <v>557</v>
      </c>
      <c r="B34" s="252">
        <f>166.4732+0</f>
        <v>166.47319999999999</v>
      </c>
      <c r="C34" s="252">
        <f>605.8492+11.8998</f>
        <v>617.74900000000002</v>
      </c>
      <c r="D34" s="252">
        <f>1.6219+0</f>
        <v>1.6218999999999999</v>
      </c>
      <c r="E34" s="252">
        <f>915.6054+418.2677</f>
        <v>1333.8731</v>
      </c>
      <c r="F34" s="252">
        <f>97.9565+241.9573+0+0</f>
        <v>339.91380000000004</v>
      </c>
      <c r="G34" s="252">
        <f>31294.8383+3656.0312</f>
        <v>34950.869500000001</v>
      </c>
      <c r="H34" s="252">
        <v>0</v>
      </c>
      <c r="I34" s="252">
        <v>0</v>
      </c>
      <c r="J34" s="252">
        <v>0</v>
      </c>
      <c r="K34" s="252">
        <f t="shared" si="23"/>
        <v>3396.7638999999981</v>
      </c>
      <c r="L34" s="252">
        <f>36128.0201+4679.2443</f>
        <v>40807.2644</v>
      </c>
      <c r="M34" s="252">
        <v>529.29999999999995</v>
      </c>
      <c r="N34" s="252">
        <v>1606.1</v>
      </c>
      <c r="O34" s="252">
        <f t="shared" si="15"/>
        <v>2135.3999999999996</v>
      </c>
      <c r="P34" s="252">
        <v>608.40000000000009</v>
      </c>
      <c r="Q34" s="252">
        <v>433.2</v>
      </c>
      <c r="R34" s="252">
        <v>794.5</v>
      </c>
      <c r="S34" s="252">
        <v>2380.5</v>
      </c>
      <c r="T34" s="252">
        <v>256.7</v>
      </c>
      <c r="U34" s="1175" t="s">
        <v>557</v>
      </c>
      <c r="V34" s="1103" t="s">
        <v>557</v>
      </c>
      <c r="W34" s="252">
        <v>1190.4000000000001</v>
      </c>
      <c r="X34" s="252">
        <v>657.2</v>
      </c>
      <c r="Y34" s="252">
        <v>194</v>
      </c>
      <c r="Z34" s="252">
        <v>8686.7000000000007</v>
      </c>
      <c r="AA34" s="252">
        <v>3007.6</v>
      </c>
      <c r="AB34" s="252">
        <v>194.1</v>
      </c>
      <c r="AC34" s="252">
        <v>1818.2</v>
      </c>
      <c r="AD34" s="252">
        <v>833.09999999999991</v>
      </c>
      <c r="AE34" s="252">
        <v>2831.1000000000004</v>
      </c>
      <c r="AF34" s="252">
        <v>2687.7</v>
      </c>
      <c r="AG34" s="252">
        <v>3434.8</v>
      </c>
      <c r="AH34" s="252">
        <v>6551.9</v>
      </c>
      <c r="AI34" s="252">
        <v>1197.1000000000001</v>
      </c>
      <c r="AJ34" s="252">
        <v>4964.8</v>
      </c>
      <c r="AK34" s="252">
        <v>2690.03</v>
      </c>
      <c r="AL34" s="252">
        <v>12377.929999999997</v>
      </c>
      <c r="AM34" s="252">
        <f>SUM(P34:T34)+SUM(W34:AL34)</f>
        <v>57789.960000000006</v>
      </c>
      <c r="AN34" s="252">
        <f>O34+AM34</f>
        <v>59925.360000000008</v>
      </c>
      <c r="AO34" s="252">
        <f t="shared" si="18"/>
        <v>-19118.095600000008</v>
      </c>
      <c r="AP34" s="1175" t="s">
        <v>557</v>
      </c>
      <c r="AQ34" s="1512"/>
      <c r="AR34" s="930"/>
      <c r="AS34" s="930"/>
      <c r="AT34" s="930"/>
      <c r="AV34" s="930"/>
      <c r="AW34" s="930"/>
      <c r="AX34" s="930"/>
      <c r="AY34" s="930"/>
      <c r="AZ34" s="930"/>
    </row>
    <row r="35" spans="1:57" s="243" customFormat="1" ht="12.75" customHeight="1">
      <c r="A35" s="1332" t="s">
        <v>2663</v>
      </c>
      <c r="B35" s="761">
        <f>SUM(B36:B47)</f>
        <v>1394.0359999999998</v>
      </c>
      <c r="C35" s="761">
        <f t="shared" ref="C35:T35" si="25">SUM(C36:C47)</f>
        <v>9259.3010000000013</v>
      </c>
      <c r="D35" s="761">
        <f t="shared" si="25"/>
        <v>34.683800000000005</v>
      </c>
      <c r="E35" s="761">
        <f t="shared" si="25"/>
        <v>15328.734600000002</v>
      </c>
      <c r="F35" s="761">
        <f t="shared" si="25"/>
        <v>4747.7575999999999</v>
      </c>
      <c r="G35" s="761">
        <f t="shared" si="25"/>
        <v>446074.26059999992</v>
      </c>
      <c r="H35" s="761">
        <f t="shared" si="25"/>
        <v>0</v>
      </c>
      <c r="I35" s="761">
        <f t="shared" si="25"/>
        <v>5.1999999999999998E-2</v>
      </c>
      <c r="J35" s="761">
        <f t="shared" si="25"/>
        <v>6.6100000000000006E-2</v>
      </c>
      <c r="K35" s="761">
        <f t="shared" si="25"/>
        <v>49837.771499999799</v>
      </c>
      <c r="L35" s="761">
        <f t="shared" si="25"/>
        <v>526676.66319999984</v>
      </c>
      <c r="M35" s="761">
        <f t="shared" si="25"/>
        <v>6291.0568999999996</v>
      </c>
      <c r="N35" s="761">
        <f t="shared" si="25"/>
        <v>19883.341799999998</v>
      </c>
      <c r="O35" s="761">
        <f t="shared" si="25"/>
        <v>26174.398700000002</v>
      </c>
      <c r="P35" s="761">
        <f t="shared" si="25"/>
        <v>5456.8414000000002</v>
      </c>
      <c r="Q35" s="761">
        <f t="shared" si="25"/>
        <v>5399.7413999999999</v>
      </c>
      <c r="R35" s="761">
        <f t="shared" si="25"/>
        <v>15296.870800000001</v>
      </c>
      <c r="S35" s="761">
        <f t="shared" si="25"/>
        <v>29083.792999999998</v>
      </c>
      <c r="T35" s="761">
        <f t="shared" si="25"/>
        <v>8126.3828999999996</v>
      </c>
      <c r="U35" s="421" t="s">
        <v>2663</v>
      </c>
      <c r="V35" s="100" t="s">
        <v>2663</v>
      </c>
      <c r="W35" s="761">
        <f>SUM(W36:W54)</f>
        <v>11689.6363</v>
      </c>
      <c r="X35" s="761">
        <f>SUM(X36:X54)</f>
        <v>8016.9454999999998</v>
      </c>
      <c r="Y35" s="761">
        <f>SUM(Y36:Y47)</f>
        <v>15312.534100000001</v>
      </c>
      <c r="Z35" s="761">
        <f t="shared" ref="Z35:AM35" si="26">SUM(Z36:Z47)</f>
        <v>128924.47400000002</v>
      </c>
      <c r="AA35" s="761">
        <f t="shared" si="26"/>
        <v>43435.697500000002</v>
      </c>
      <c r="AB35" s="761">
        <f t="shared" si="26"/>
        <v>2818.9411</v>
      </c>
      <c r="AC35" s="761">
        <f t="shared" si="26"/>
        <v>28633.632400000002</v>
      </c>
      <c r="AD35" s="761">
        <f t="shared" si="26"/>
        <v>9719.0168000000012</v>
      </c>
      <c r="AE35" s="761">
        <f t="shared" si="26"/>
        <v>37516.124500000005</v>
      </c>
      <c r="AF35" s="761">
        <f t="shared" si="26"/>
        <v>37043.228800000004</v>
      </c>
      <c r="AG35" s="761">
        <f t="shared" si="26"/>
        <v>39355.517600000006</v>
      </c>
      <c r="AH35" s="761">
        <f t="shared" si="26"/>
        <v>93204.817399999985</v>
      </c>
      <c r="AI35" s="761">
        <f t="shared" si="26"/>
        <v>15341.077600000001</v>
      </c>
      <c r="AJ35" s="761">
        <f t="shared" si="26"/>
        <v>57269.787599999996</v>
      </c>
      <c r="AK35" s="761">
        <f t="shared" si="26"/>
        <v>36546.985576858955</v>
      </c>
      <c r="AL35" s="761">
        <f t="shared" si="26"/>
        <v>171841.65977501101</v>
      </c>
      <c r="AM35" s="761">
        <f t="shared" si="26"/>
        <v>798879.29085186997</v>
      </c>
      <c r="AN35" s="761">
        <f>SUM(AN36:AN47)</f>
        <v>825053.68955186987</v>
      </c>
      <c r="AO35" s="761">
        <f>SUM(AO36:AO47)</f>
        <v>-298377.02635187027</v>
      </c>
      <c r="AP35" s="421" t="s">
        <v>2663</v>
      </c>
      <c r="AR35" s="930"/>
      <c r="AS35" s="930"/>
    </row>
    <row r="36" spans="1:57" s="243" customFormat="1" ht="11.45" customHeight="1">
      <c r="A36" s="1103" t="s">
        <v>559</v>
      </c>
      <c r="B36" s="252">
        <f>101.8442+0</f>
        <v>101.8442</v>
      </c>
      <c r="C36" s="252">
        <f>722.5624+17.4346</f>
        <v>739.99700000000007</v>
      </c>
      <c r="D36" s="252">
        <f>3.5214+0</f>
        <v>3.5213999999999999</v>
      </c>
      <c r="E36" s="252">
        <f>852.398+379.174</f>
        <v>1231.5720000000001</v>
      </c>
      <c r="F36" s="252">
        <f>301.0734+158.6468+0+0</f>
        <v>459.72019999999998</v>
      </c>
      <c r="G36" s="252">
        <f>36912.4843+4957.885</f>
        <v>41870.369299999998</v>
      </c>
      <c r="H36" s="252">
        <v>0</v>
      </c>
      <c r="I36" s="252">
        <v>0</v>
      </c>
      <c r="J36" s="252">
        <v>0</v>
      </c>
      <c r="K36" s="252">
        <f>L36-SUM(B36:J36)</f>
        <v>4066.3267000000051</v>
      </c>
      <c r="L36" s="252">
        <f>42320.7174+6152.6334</f>
        <v>48473.3508</v>
      </c>
      <c r="M36" s="252">
        <v>317.8</v>
      </c>
      <c r="N36" s="252">
        <v>1195.4000000000001</v>
      </c>
      <c r="O36" s="252">
        <f t="shared" ref="O36:O43" si="27">M36+N36</f>
        <v>1513.2</v>
      </c>
      <c r="P36" s="252">
        <v>762.3</v>
      </c>
      <c r="Q36" s="252">
        <v>412.2</v>
      </c>
      <c r="R36" s="252">
        <v>897.7</v>
      </c>
      <c r="S36" s="252">
        <v>2247</v>
      </c>
      <c r="T36" s="252">
        <v>663.3</v>
      </c>
      <c r="U36" s="1175" t="s">
        <v>559</v>
      </c>
      <c r="V36" s="1103" t="s">
        <v>559</v>
      </c>
      <c r="W36" s="252">
        <v>664.3</v>
      </c>
      <c r="X36" s="252">
        <v>831.40000000000009</v>
      </c>
      <c r="Y36" s="252">
        <v>1623.7</v>
      </c>
      <c r="Z36" s="252">
        <v>9799.2999999999993</v>
      </c>
      <c r="AA36" s="252">
        <v>4218.8</v>
      </c>
      <c r="AB36" s="252">
        <v>289</v>
      </c>
      <c r="AC36" s="252">
        <v>1635</v>
      </c>
      <c r="AD36" s="252">
        <v>888.4</v>
      </c>
      <c r="AE36" s="252">
        <v>3487</v>
      </c>
      <c r="AF36" s="252">
        <v>3610.3</v>
      </c>
      <c r="AG36" s="252">
        <v>3859.6</v>
      </c>
      <c r="AH36" s="252">
        <v>8197.7999999999993</v>
      </c>
      <c r="AI36" s="252">
        <v>1259.3</v>
      </c>
      <c r="AJ36" s="252">
        <v>5728</v>
      </c>
      <c r="AK36" s="252">
        <v>5443.6719451307654</v>
      </c>
      <c r="AL36" s="252">
        <v>14502.560083577066</v>
      </c>
      <c r="AM36" s="252">
        <f>SUM(P36:T36)+SUM(W36:AL36)</f>
        <v>71020.632028707827</v>
      </c>
      <c r="AN36" s="252">
        <f>O36+AM36</f>
        <v>72533.832028707824</v>
      </c>
      <c r="AO36" s="252">
        <f t="shared" ref="AO36:AO43" si="28">L36-AN36</f>
        <v>-24060.481228707824</v>
      </c>
      <c r="AP36" s="1175" t="s">
        <v>559</v>
      </c>
      <c r="AQ36" s="930"/>
      <c r="AR36" s="930"/>
      <c r="AS36" s="930"/>
      <c r="AT36" s="930"/>
      <c r="AV36" s="930"/>
      <c r="AW36" s="930"/>
      <c r="AX36" s="930"/>
      <c r="AY36" s="930"/>
      <c r="AZ36" s="930"/>
    </row>
    <row r="37" spans="1:57" s="243" customFormat="1" ht="11.45" customHeight="1">
      <c r="A37" s="468" t="s">
        <v>112</v>
      </c>
      <c r="B37" s="213">
        <f>123.705+0</f>
        <v>123.705</v>
      </c>
      <c r="C37" s="213">
        <f>657.7631+19.4673</f>
        <v>677.23040000000003</v>
      </c>
      <c r="D37" s="213">
        <v>1.0553999999999999</v>
      </c>
      <c r="E37" s="213">
        <f>943.4499+384.06</f>
        <v>1327.5099</v>
      </c>
      <c r="F37" s="213">
        <f>162.5836+260.4098+0+0</f>
        <v>422.99340000000001</v>
      </c>
      <c r="G37" s="213">
        <f>35350.1834+4422.8029</f>
        <v>39772.986300000004</v>
      </c>
      <c r="H37" s="213">
        <v>0</v>
      </c>
      <c r="I37" s="213">
        <v>0</v>
      </c>
      <c r="J37" s="213">
        <v>0</v>
      </c>
      <c r="K37" s="213">
        <f>L37-SUM(B37:J37)</f>
        <v>3909.2163</v>
      </c>
      <c r="L37" s="213">
        <f>40662.5856+5572.1111</f>
        <v>46234.6967</v>
      </c>
      <c r="M37" s="213">
        <v>200.3</v>
      </c>
      <c r="N37" s="213">
        <v>800.40000000000009</v>
      </c>
      <c r="O37" s="213">
        <f t="shared" si="27"/>
        <v>1000.7</v>
      </c>
      <c r="P37" s="213">
        <v>360.20000000000005</v>
      </c>
      <c r="Q37" s="213">
        <v>366.40000000000003</v>
      </c>
      <c r="R37" s="213">
        <v>490.6</v>
      </c>
      <c r="S37" s="213">
        <v>2214.5</v>
      </c>
      <c r="T37" s="213">
        <v>277</v>
      </c>
      <c r="U37" s="1178" t="s">
        <v>112</v>
      </c>
      <c r="V37" s="468" t="s">
        <v>112</v>
      </c>
      <c r="W37" s="213">
        <v>1281.0999999999999</v>
      </c>
      <c r="X37" s="213">
        <v>499.3</v>
      </c>
      <c r="Y37" s="213">
        <v>1191.5999999999999</v>
      </c>
      <c r="Z37" s="213">
        <v>8118</v>
      </c>
      <c r="AA37" s="213">
        <v>3042.7</v>
      </c>
      <c r="AB37" s="213">
        <v>233.5</v>
      </c>
      <c r="AC37" s="213">
        <v>1775.4</v>
      </c>
      <c r="AD37" s="213">
        <v>726.9</v>
      </c>
      <c r="AE37" s="213">
        <v>2886.5</v>
      </c>
      <c r="AF37" s="213">
        <v>2842</v>
      </c>
      <c r="AG37" s="213">
        <v>3314.1</v>
      </c>
      <c r="AH37" s="213">
        <v>7268.7999999999993</v>
      </c>
      <c r="AI37" s="213">
        <v>1143.4000000000001</v>
      </c>
      <c r="AJ37" s="213">
        <v>4844.8</v>
      </c>
      <c r="AK37" s="213">
        <v>2593.6824149004315</v>
      </c>
      <c r="AL37" s="213">
        <v>11980.219154550337</v>
      </c>
      <c r="AM37" s="213">
        <f>SUM(P37:T37)+SUM(W37:AL37)</f>
        <v>57450.701569450765</v>
      </c>
      <c r="AN37" s="213">
        <f>O37+AM37</f>
        <v>58451.401569450762</v>
      </c>
      <c r="AO37" s="213">
        <f t="shared" si="28"/>
        <v>-12216.704869450761</v>
      </c>
      <c r="AP37" s="1178" t="s">
        <v>112</v>
      </c>
      <c r="AQ37" s="930"/>
      <c r="AR37" s="930"/>
      <c r="AS37" s="930"/>
      <c r="AT37" s="930"/>
      <c r="AV37" s="930"/>
      <c r="AW37" s="930"/>
      <c r="AX37" s="930"/>
      <c r="AY37" s="930"/>
      <c r="AZ37" s="930"/>
    </row>
    <row r="38" spans="1:57" s="243" customFormat="1" ht="11.45" customHeight="1">
      <c r="A38" s="1103" t="s">
        <v>554</v>
      </c>
      <c r="B38" s="252">
        <f>203.0964+0.3119</f>
        <v>203.4083</v>
      </c>
      <c r="C38" s="252">
        <f>666.9236+25.1864</f>
        <v>692.11</v>
      </c>
      <c r="D38" s="252">
        <f>2.375+0</f>
        <v>2.375</v>
      </c>
      <c r="E38" s="252">
        <f>920.1397+458.8919</f>
        <v>1379.0316</v>
      </c>
      <c r="F38" s="252">
        <f>295.0223+164.4473+0+0</f>
        <v>459.46960000000001</v>
      </c>
      <c r="G38" s="252">
        <f>33567.2198+4251.2548</f>
        <v>37818.474600000001</v>
      </c>
      <c r="H38" s="252">
        <v>0</v>
      </c>
      <c r="I38" s="252">
        <v>5.1999999999999998E-2</v>
      </c>
      <c r="J38" s="252">
        <v>0</v>
      </c>
      <c r="K38" s="252">
        <f>L38-SUM(B38:J38)</f>
        <v>4166.2296999999962</v>
      </c>
      <c r="L38" s="252">
        <f>39320.1226+5401.0282</f>
        <v>44721.150800000003</v>
      </c>
      <c r="M38" s="252">
        <v>981.8</v>
      </c>
      <c r="N38" s="252">
        <v>826.90000000000009</v>
      </c>
      <c r="O38" s="252">
        <f t="shared" si="27"/>
        <v>1808.7</v>
      </c>
      <c r="P38" s="252">
        <v>459.9</v>
      </c>
      <c r="Q38" s="252">
        <v>378.5</v>
      </c>
      <c r="R38" s="252">
        <v>1043.4000000000001</v>
      </c>
      <c r="S38" s="252">
        <v>1924</v>
      </c>
      <c r="T38" s="252">
        <v>282.10000000000002</v>
      </c>
      <c r="U38" s="1175" t="s">
        <v>554</v>
      </c>
      <c r="V38" s="1103" t="s">
        <v>554</v>
      </c>
      <c r="W38" s="252">
        <v>473.4</v>
      </c>
      <c r="X38" s="252">
        <v>612.70000000000005</v>
      </c>
      <c r="Y38" s="252">
        <v>1575.6999999999998</v>
      </c>
      <c r="Z38" s="252">
        <v>9231.8000000000011</v>
      </c>
      <c r="AA38" s="252">
        <v>3519.1000000000004</v>
      </c>
      <c r="AB38" s="252">
        <v>245.8</v>
      </c>
      <c r="AC38" s="252">
        <v>2928.7</v>
      </c>
      <c r="AD38" s="252">
        <v>820.69999999999993</v>
      </c>
      <c r="AE38" s="252">
        <v>3078.3999999999996</v>
      </c>
      <c r="AF38" s="252">
        <v>2844.8</v>
      </c>
      <c r="AG38" s="252">
        <v>3588.7</v>
      </c>
      <c r="AH38" s="252">
        <v>7658.4</v>
      </c>
      <c r="AI38" s="252">
        <v>1249.3999999999999</v>
      </c>
      <c r="AJ38" s="252">
        <v>5050.3999999999996</v>
      </c>
      <c r="AK38" s="252">
        <v>3032.0021093544201</v>
      </c>
      <c r="AL38" s="252">
        <v>14428.881801355401</v>
      </c>
      <c r="AM38" s="252">
        <f>SUM(P38:T38)+SUM(W38:AL38)</f>
        <v>64426.783910709833</v>
      </c>
      <c r="AN38" s="252">
        <f>O38+AM38</f>
        <v>66235.483910709838</v>
      </c>
      <c r="AO38" s="252">
        <f t="shared" si="28"/>
        <v>-21514.333110709835</v>
      </c>
      <c r="AP38" s="1175" t="s">
        <v>554</v>
      </c>
      <c r="AR38" s="930"/>
      <c r="AS38" s="930"/>
      <c r="AW38" s="930"/>
      <c r="AX38" s="930"/>
      <c r="AY38" s="930"/>
      <c r="AZ38" s="930"/>
    </row>
    <row r="39" spans="1:57" s="243" customFormat="1" ht="11.45" customHeight="1">
      <c r="A39" s="468" t="s">
        <v>561</v>
      </c>
      <c r="B39" s="213">
        <v>65.008300000000006</v>
      </c>
      <c r="C39" s="213">
        <v>671.11680000000001</v>
      </c>
      <c r="D39" s="213">
        <v>4.5335999999999999</v>
      </c>
      <c r="E39" s="213">
        <v>1225.1213</v>
      </c>
      <c r="F39" s="213">
        <v>399.82500000000005</v>
      </c>
      <c r="G39" s="213">
        <v>35585.334999999999</v>
      </c>
      <c r="H39" s="213">
        <v>0</v>
      </c>
      <c r="I39" s="213">
        <v>0</v>
      </c>
      <c r="J39" s="213">
        <v>0</v>
      </c>
      <c r="K39" s="213">
        <f t="shared" ref="K39:K41" si="29">L39-SUM(B39:J39)</f>
        <v>4086.0598000000027</v>
      </c>
      <c r="L39" s="213">
        <v>42036.999800000005</v>
      </c>
      <c r="M39" s="213">
        <v>743.9</v>
      </c>
      <c r="N39" s="213">
        <v>2223.1999999999998</v>
      </c>
      <c r="O39" s="213">
        <f t="shared" si="27"/>
        <v>2967.1</v>
      </c>
      <c r="P39" s="213">
        <v>311.2</v>
      </c>
      <c r="Q39" s="213">
        <v>352.59999999999997</v>
      </c>
      <c r="R39" s="213">
        <v>1322.1</v>
      </c>
      <c r="S39" s="213">
        <v>2389.5</v>
      </c>
      <c r="T39" s="213">
        <v>643.29999999999995</v>
      </c>
      <c r="U39" s="1178" t="s">
        <v>561</v>
      </c>
      <c r="V39" s="468" t="s">
        <v>561</v>
      </c>
      <c r="W39" s="213">
        <v>564.20000000000005</v>
      </c>
      <c r="X39" s="213">
        <v>496.2</v>
      </c>
      <c r="Y39" s="213">
        <v>1006.5999999999999</v>
      </c>
      <c r="Z39" s="213">
        <v>9366.4999999999982</v>
      </c>
      <c r="AA39" s="213">
        <v>3134.3999999999996</v>
      </c>
      <c r="AB39" s="213">
        <v>158.9</v>
      </c>
      <c r="AC39" s="213">
        <v>3100</v>
      </c>
      <c r="AD39" s="213">
        <v>771.2</v>
      </c>
      <c r="AE39" s="213">
        <v>2840.4999999999995</v>
      </c>
      <c r="AF39" s="213">
        <v>2672.6</v>
      </c>
      <c r="AG39" s="213">
        <v>3412.1000000000004</v>
      </c>
      <c r="AH39" s="213">
        <v>6894.1</v>
      </c>
      <c r="AI39" s="213">
        <v>1127.5</v>
      </c>
      <c r="AJ39" s="213">
        <v>4204.7</v>
      </c>
      <c r="AK39" s="213">
        <v>2687.8872543085085</v>
      </c>
      <c r="AL39" s="213">
        <v>14340.748290847867</v>
      </c>
      <c r="AM39" s="213">
        <f t="shared" ref="AM39:AM40" si="30">SUM(P39:T39)+SUM(W39:AL39)</f>
        <v>61796.835545156369</v>
      </c>
      <c r="AN39" s="213">
        <f t="shared" ref="AN39:AN43" si="31">O39+AM39</f>
        <v>64763.935545156368</v>
      </c>
      <c r="AO39" s="213">
        <f t="shared" si="28"/>
        <v>-22726.935745156363</v>
      </c>
      <c r="AP39" s="1178" t="s">
        <v>561</v>
      </c>
      <c r="AQ39" s="930"/>
      <c r="AR39" s="930"/>
      <c r="AS39" s="930"/>
      <c r="AT39" s="930"/>
      <c r="AV39" s="930"/>
      <c r="AW39" s="930"/>
      <c r="AX39" s="930"/>
      <c r="AY39" s="930"/>
      <c r="AZ39" s="930"/>
    </row>
    <row r="40" spans="1:57" s="35" customFormat="1" ht="11.25" customHeight="1">
      <c r="A40" s="1103" t="s">
        <v>562</v>
      </c>
      <c r="B40" s="252">
        <f>60.2485+0</f>
        <v>60.2485</v>
      </c>
      <c r="C40" s="252">
        <f>862.7409+17.9741</f>
        <v>880.71500000000003</v>
      </c>
      <c r="D40" s="252">
        <f>3.8956+0</f>
        <v>3.8956</v>
      </c>
      <c r="E40" s="252">
        <f>915.3418+354.0521</f>
        <v>1269.3939</v>
      </c>
      <c r="F40" s="252">
        <f>170.2541+297.304+0</f>
        <v>467.55809999999997</v>
      </c>
      <c r="G40" s="252">
        <f>31113.0843+3706.9254</f>
        <v>34820.009699999995</v>
      </c>
      <c r="H40" s="252">
        <v>0</v>
      </c>
      <c r="I40" s="252">
        <v>0</v>
      </c>
      <c r="J40" s="252">
        <v>6.6100000000000006E-2</v>
      </c>
      <c r="K40" s="252">
        <f t="shared" si="29"/>
        <v>4382.354900000013</v>
      </c>
      <c r="L40" s="252">
        <f>37147.5965+4736.6453</f>
        <v>41884.241800000003</v>
      </c>
      <c r="M40" s="252">
        <v>535</v>
      </c>
      <c r="N40" s="252">
        <v>2528</v>
      </c>
      <c r="O40" s="252">
        <f t="shared" si="27"/>
        <v>3063</v>
      </c>
      <c r="P40" s="252">
        <v>471.79999999999995</v>
      </c>
      <c r="Q40" s="252">
        <v>393.2</v>
      </c>
      <c r="R40" s="252">
        <v>1384.5</v>
      </c>
      <c r="S40" s="252">
        <v>2732.8999999999996</v>
      </c>
      <c r="T40" s="252">
        <v>476.6</v>
      </c>
      <c r="U40" s="1175" t="s">
        <v>562</v>
      </c>
      <c r="V40" s="1103" t="s">
        <v>562</v>
      </c>
      <c r="W40" s="252">
        <v>772.09999999999991</v>
      </c>
      <c r="X40" s="252">
        <v>459.8</v>
      </c>
      <c r="Y40" s="252">
        <v>777.09999999999991</v>
      </c>
      <c r="Z40" s="252">
        <v>7305.2</v>
      </c>
      <c r="AA40" s="252">
        <v>3758.2000000000003</v>
      </c>
      <c r="AB40" s="252">
        <v>190.7</v>
      </c>
      <c r="AC40" s="252">
        <v>7259.0999999999995</v>
      </c>
      <c r="AD40" s="252">
        <v>723.1</v>
      </c>
      <c r="AE40" s="252">
        <v>2698.1</v>
      </c>
      <c r="AF40" s="252">
        <v>2637.3</v>
      </c>
      <c r="AG40" s="252">
        <v>3110.1000000000004</v>
      </c>
      <c r="AH40" s="252">
        <v>6852.4</v>
      </c>
      <c r="AI40" s="252">
        <v>967.9</v>
      </c>
      <c r="AJ40" s="252">
        <v>3738.4</v>
      </c>
      <c r="AK40" s="252">
        <v>2638.7502910663916</v>
      </c>
      <c r="AL40" s="252">
        <v>13890.936986508699</v>
      </c>
      <c r="AM40" s="252">
        <f t="shared" si="30"/>
        <v>63238.187277575089</v>
      </c>
      <c r="AN40" s="252">
        <f t="shared" si="31"/>
        <v>66301.187277575082</v>
      </c>
      <c r="AO40" s="252">
        <f t="shared" si="28"/>
        <v>-24416.945477575078</v>
      </c>
      <c r="AP40" s="1175" t="s">
        <v>562</v>
      </c>
      <c r="AQ40" s="930"/>
      <c r="AR40" s="930"/>
      <c r="AS40" s="930"/>
      <c r="AT40" s="930"/>
      <c r="AU40" s="243"/>
      <c r="AV40" s="930"/>
      <c r="AW40" s="930"/>
      <c r="AX40" s="930"/>
      <c r="AY40" s="930"/>
      <c r="AZ40" s="930"/>
      <c r="BA40" s="243"/>
      <c r="BB40" s="243"/>
      <c r="BC40" s="243"/>
      <c r="BD40" s="243"/>
      <c r="BE40" s="243"/>
    </row>
    <row r="41" spans="1:57" s="243" customFormat="1" ht="11.45" customHeight="1">
      <c r="A41" s="468" t="s">
        <v>555</v>
      </c>
      <c r="B41" s="213">
        <f>45+0</f>
        <v>45</v>
      </c>
      <c r="C41" s="213">
        <f>890+15</f>
        <v>905</v>
      </c>
      <c r="D41" s="213">
        <f>0+2</f>
        <v>2</v>
      </c>
      <c r="E41" s="213">
        <f>522+898</f>
        <v>1420</v>
      </c>
      <c r="F41" s="213">
        <f>164+270+0+0</f>
        <v>434</v>
      </c>
      <c r="G41" s="213">
        <f>5468+31109</f>
        <v>36577</v>
      </c>
      <c r="H41" s="213">
        <v>0</v>
      </c>
      <c r="I41" s="213">
        <v>0</v>
      </c>
      <c r="J41" s="213">
        <v>0</v>
      </c>
      <c r="K41" s="213">
        <f t="shared" si="29"/>
        <v>4063</v>
      </c>
      <c r="L41" s="213">
        <f>6662+36784</f>
        <v>43446</v>
      </c>
      <c r="M41" s="213">
        <v>528</v>
      </c>
      <c r="N41" s="213">
        <v>1813.8</v>
      </c>
      <c r="O41" s="213">
        <f t="shared" si="27"/>
        <v>2341.8000000000002</v>
      </c>
      <c r="P41" s="213">
        <v>555.5</v>
      </c>
      <c r="Q41" s="213">
        <v>410.7</v>
      </c>
      <c r="R41" s="213">
        <v>2152.4</v>
      </c>
      <c r="S41" s="213">
        <v>2322.6999999999998</v>
      </c>
      <c r="T41" s="213">
        <v>738</v>
      </c>
      <c r="U41" s="1178" t="s">
        <v>555</v>
      </c>
      <c r="V41" s="468" t="s">
        <v>555</v>
      </c>
      <c r="W41" s="213">
        <v>1506.4</v>
      </c>
      <c r="X41" s="213">
        <v>578.20000000000005</v>
      </c>
      <c r="Y41" s="213">
        <v>785.10000000000014</v>
      </c>
      <c r="Z41" s="213">
        <v>7935.2</v>
      </c>
      <c r="AA41" s="213">
        <v>3747.3999999999996</v>
      </c>
      <c r="AB41" s="213">
        <v>253</v>
      </c>
      <c r="AC41" s="213">
        <v>5248.3</v>
      </c>
      <c r="AD41" s="213">
        <v>816.40000000000009</v>
      </c>
      <c r="AE41" s="213">
        <v>3033.3</v>
      </c>
      <c r="AF41" s="213">
        <v>3176.2</v>
      </c>
      <c r="AG41" s="213">
        <v>3242.7</v>
      </c>
      <c r="AH41" s="213">
        <v>8077.5</v>
      </c>
      <c r="AI41" s="213">
        <v>1048.0999999999999</v>
      </c>
      <c r="AJ41" s="213">
        <v>5789.49</v>
      </c>
      <c r="AK41" s="213">
        <v>2787.3397498170552</v>
      </c>
      <c r="AL41" s="213">
        <v>15285.047087522329</v>
      </c>
      <c r="AM41" s="213">
        <f t="shared" ref="AM41" si="32">SUM(P41:T41)+SUM(W41:AL41)</f>
        <v>69488.976837339389</v>
      </c>
      <c r="AN41" s="213">
        <f t="shared" si="31"/>
        <v>71830.776837339392</v>
      </c>
      <c r="AO41" s="213">
        <f t="shared" si="28"/>
        <v>-28384.776837339392</v>
      </c>
      <c r="AP41" s="1178" t="s">
        <v>555</v>
      </c>
      <c r="AQ41" s="930"/>
      <c r="AR41" s="930"/>
      <c r="AS41" s="930"/>
      <c r="AT41" s="930"/>
      <c r="AV41" s="930"/>
      <c r="AW41" s="930"/>
      <c r="AX41" s="930"/>
      <c r="AY41" s="930"/>
      <c r="AZ41" s="930"/>
    </row>
    <row r="42" spans="1:57" s="35" customFormat="1" ht="11.25" customHeight="1">
      <c r="A42" s="1103" t="s">
        <v>563</v>
      </c>
      <c r="B42" s="252">
        <f>35.25+0</f>
        <v>35.25</v>
      </c>
      <c r="C42" s="252">
        <f>808.72+21.66</f>
        <v>830.38</v>
      </c>
      <c r="D42" s="252">
        <f>3.38+0</f>
        <v>3.38</v>
      </c>
      <c r="E42" s="252">
        <f>863.42+318.7</f>
        <v>1182.1199999999999</v>
      </c>
      <c r="F42" s="252">
        <f>176.46+275.77+0+0</f>
        <v>452.23</v>
      </c>
      <c r="G42" s="252">
        <f>33254.87+4680.52</f>
        <v>37935.39</v>
      </c>
      <c r="H42" s="252">
        <v>0</v>
      </c>
      <c r="I42" s="252">
        <v>0</v>
      </c>
      <c r="J42" s="252">
        <v>0</v>
      </c>
      <c r="K42" s="252">
        <f t="shared" ref="K42:K49" si="33">L42-SUM(B42:J42)</f>
        <v>4064.2000000000044</v>
      </c>
      <c r="L42" s="252">
        <f>38642.3+5860.65</f>
        <v>44502.950000000004</v>
      </c>
      <c r="M42" s="252">
        <v>697.2</v>
      </c>
      <c r="N42" s="252">
        <v>1426.5</v>
      </c>
      <c r="O42" s="252">
        <f t="shared" si="27"/>
        <v>2123.6999999999998</v>
      </c>
      <c r="P42" s="252">
        <v>571.59999999999991</v>
      </c>
      <c r="Q42" s="252">
        <v>463.9</v>
      </c>
      <c r="R42" s="252">
        <v>950.1</v>
      </c>
      <c r="S42" s="252">
        <v>2824</v>
      </c>
      <c r="T42" s="252">
        <v>2001.2</v>
      </c>
      <c r="U42" s="1175" t="s">
        <v>563</v>
      </c>
      <c r="V42" s="1103" t="s">
        <v>563</v>
      </c>
      <c r="W42" s="252">
        <v>789.69999999999993</v>
      </c>
      <c r="X42" s="252">
        <v>671.5</v>
      </c>
      <c r="Y42" s="252">
        <v>1343.5</v>
      </c>
      <c r="Z42" s="252">
        <v>7265.8</v>
      </c>
      <c r="AA42" s="252">
        <v>3556.9</v>
      </c>
      <c r="AB42" s="252">
        <v>243.2</v>
      </c>
      <c r="AC42" s="252">
        <v>2673.2</v>
      </c>
      <c r="AD42" s="252">
        <v>954.90000000000009</v>
      </c>
      <c r="AE42" s="252">
        <v>3329.6000000000004</v>
      </c>
      <c r="AF42" s="252">
        <v>3367.7000000000003</v>
      </c>
      <c r="AG42" s="252">
        <v>3910.4</v>
      </c>
      <c r="AH42" s="252">
        <v>9309.9</v>
      </c>
      <c r="AI42" s="252">
        <v>1703.2</v>
      </c>
      <c r="AJ42" s="252">
        <v>4489.5</v>
      </c>
      <c r="AK42" s="252">
        <v>3092.3</v>
      </c>
      <c r="AL42" s="252">
        <v>16565.829999999998</v>
      </c>
      <c r="AM42" s="252">
        <f t="shared" ref="AM42" si="34">SUM(P42:T42)+SUM(W42:AL42)</f>
        <v>70077.930000000008</v>
      </c>
      <c r="AN42" s="252">
        <f t="shared" si="31"/>
        <v>72201.63</v>
      </c>
      <c r="AO42" s="252">
        <f t="shared" si="28"/>
        <v>-27698.68</v>
      </c>
      <c r="AP42" s="1175" t="s">
        <v>563</v>
      </c>
      <c r="AQ42" s="930"/>
      <c r="AR42" s="930"/>
      <c r="AS42" s="930"/>
      <c r="AT42" s="930"/>
      <c r="AU42" s="243"/>
      <c r="AV42" s="930"/>
      <c r="AW42" s="930"/>
      <c r="AX42" s="930"/>
      <c r="AY42" s="930"/>
      <c r="AZ42" s="930"/>
      <c r="BA42" s="243"/>
      <c r="BB42" s="243"/>
      <c r="BC42" s="243"/>
      <c r="BD42" s="243"/>
      <c r="BE42" s="243"/>
    </row>
    <row r="43" spans="1:57" s="243" customFormat="1" ht="11.45" customHeight="1">
      <c r="A43" s="468" t="s">
        <v>564</v>
      </c>
      <c r="B43" s="213">
        <f>61.9+0</f>
        <v>61.9</v>
      </c>
      <c r="C43" s="213">
        <f>685.71+10.58</f>
        <v>696.29000000000008</v>
      </c>
      <c r="D43" s="213">
        <f>2.48+0</f>
        <v>2.48</v>
      </c>
      <c r="E43" s="213">
        <f>734.21+252.55</f>
        <v>986.76</v>
      </c>
      <c r="F43" s="213">
        <f>143.6+0+260.75+0</f>
        <v>404.35</v>
      </c>
      <c r="G43" s="213">
        <f>29711.88+3085.35</f>
        <v>32797.230000000003</v>
      </c>
      <c r="H43" s="213">
        <v>0</v>
      </c>
      <c r="I43" s="213">
        <v>0</v>
      </c>
      <c r="J43" s="213">
        <v>0</v>
      </c>
      <c r="K43" s="213">
        <f t="shared" si="33"/>
        <v>3550.4799999999959</v>
      </c>
      <c r="L43" s="213">
        <f>34481.63+4017.86</f>
        <v>38499.49</v>
      </c>
      <c r="M43" s="213">
        <v>443.25940000000003</v>
      </c>
      <c r="N43" s="213">
        <v>2885.7426</v>
      </c>
      <c r="O43" s="213">
        <f t="shared" si="27"/>
        <v>3329.002</v>
      </c>
      <c r="P43" s="213">
        <v>330.19</v>
      </c>
      <c r="Q43" s="213">
        <v>424.1284</v>
      </c>
      <c r="R43" s="213">
        <v>550.17629999999997</v>
      </c>
      <c r="S43" s="213">
        <v>3576.4312</v>
      </c>
      <c r="T43" s="213">
        <v>991.56909999999993</v>
      </c>
      <c r="U43" s="1178" t="s">
        <v>564</v>
      </c>
      <c r="V43" s="468" t="s">
        <v>564</v>
      </c>
      <c r="W43" s="213">
        <v>1183.8535999999999</v>
      </c>
      <c r="X43" s="213">
        <v>685.13429999999994</v>
      </c>
      <c r="Y43" s="213">
        <v>246.23380000000003</v>
      </c>
      <c r="Z43" s="213">
        <v>5409.8222999999998</v>
      </c>
      <c r="AA43" s="213">
        <v>3129.0654</v>
      </c>
      <c r="AB43" s="213">
        <v>166.35079999999999</v>
      </c>
      <c r="AC43" s="213">
        <v>1213.8782999999999</v>
      </c>
      <c r="AD43" s="213">
        <v>686.06939999999997</v>
      </c>
      <c r="AE43" s="213">
        <v>2896.7105000000001</v>
      </c>
      <c r="AF43" s="213">
        <v>2356.7961</v>
      </c>
      <c r="AG43" s="213">
        <v>2567.5855000000001</v>
      </c>
      <c r="AH43" s="213">
        <v>7680.6404000000002</v>
      </c>
      <c r="AI43" s="213">
        <v>1224.2239</v>
      </c>
      <c r="AJ43" s="213">
        <v>3425.1849999999999</v>
      </c>
      <c r="AK43" s="213">
        <v>2297.567</v>
      </c>
      <c r="AL43" s="213">
        <v>13917.748813057751</v>
      </c>
      <c r="AM43" s="213">
        <f>SUM(P43:T43)+SUM(W43:AL43)</f>
        <v>54959.360113057752</v>
      </c>
      <c r="AN43" s="213">
        <f t="shared" si="31"/>
        <v>58288.362113057752</v>
      </c>
      <c r="AO43" s="213">
        <f t="shared" si="28"/>
        <v>-19788.872113057754</v>
      </c>
      <c r="AP43" s="1178" t="s">
        <v>564</v>
      </c>
      <c r="AQ43" s="930"/>
      <c r="AR43" s="930"/>
      <c r="AS43" s="930"/>
      <c r="AT43" s="930"/>
      <c r="AV43" s="930"/>
      <c r="AW43" s="930"/>
      <c r="AX43" s="930"/>
      <c r="AY43" s="930"/>
      <c r="AZ43" s="930"/>
    </row>
    <row r="44" spans="1:57" s="35" customFormat="1" ht="10.5" customHeight="1">
      <c r="A44" s="1103" t="s">
        <v>556</v>
      </c>
      <c r="B44" s="252">
        <f>76.8+0</f>
        <v>76.8</v>
      </c>
      <c r="C44" s="252">
        <f>727.14+16.44</f>
        <v>743.58</v>
      </c>
      <c r="D44" s="252">
        <f>4.5+0</f>
        <v>4.5</v>
      </c>
      <c r="E44" s="252">
        <f>811.8+375.32</f>
        <v>1187.1199999999999</v>
      </c>
      <c r="F44" s="252">
        <f>208.12+114.6</f>
        <v>322.72000000000003</v>
      </c>
      <c r="G44" s="252">
        <f>32756.41+4436.13</f>
        <v>37192.54</v>
      </c>
      <c r="H44" s="252">
        <v>0</v>
      </c>
      <c r="I44" s="252">
        <v>0</v>
      </c>
      <c r="J44" s="252">
        <v>0</v>
      </c>
      <c r="K44" s="252">
        <f t="shared" si="33"/>
        <v>4339.6299999999974</v>
      </c>
      <c r="L44" s="252">
        <f>38228.04+5638.85</f>
        <v>43866.89</v>
      </c>
      <c r="M44" s="252">
        <v>725.87689999999998</v>
      </c>
      <c r="N44" s="252">
        <v>2400.8984</v>
      </c>
      <c r="O44" s="252">
        <f>M44+N44</f>
        <v>3126.7753000000002</v>
      </c>
      <c r="P44" s="252">
        <v>250.2713</v>
      </c>
      <c r="Q44" s="252">
        <v>540.71029999999996</v>
      </c>
      <c r="R44" s="252">
        <v>622.38210000000004</v>
      </c>
      <c r="S44" s="252">
        <v>2652.9022</v>
      </c>
      <c r="T44" s="252">
        <v>483.59429999999998</v>
      </c>
      <c r="U44" s="1175" t="s">
        <v>556</v>
      </c>
      <c r="V44" s="1103" t="s">
        <v>556</v>
      </c>
      <c r="W44" s="252">
        <v>1209.4485</v>
      </c>
      <c r="X44" s="252">
        <v>570.72250000000008</v>
      </c>
      <c r="Y44" s="252">
        <v>1336.2494000000002</v>
      </c>
      <c r="Z44" s="252">
        <v>9395.1260999999995</v>
      </c>
      <c r="AA44" s="252">
        <v>3440.6124000000004</v>
      </c>
      <c r="AB44" s="252">
        <v>221.71360000000001</v>
      </c>
      <c r="AC44" s="252">
        <v>949.83730000000003</v>
      </c>
      <c r="AD44" s="252">
        <v>698.46979999999996</v>
      </c>
      <c r="AE44" s="252">
        <v>2992.9274</v>
      </c>
      <c r="AF44" s="252">
        <v>2534.2150000000001</v>
      </c>
      <c r="AG44" s="252">
        <v>2574.1035000000002</v>
      </c>
      <c r="AH44" s="252">
        <v>7531.7587999999996</v>
      </c>
      <c r="AI44" s="252">
        <v>1366.9621000000002</v>
      </c>
      <c r="AJ44" s="252">
        <v>3931.8062000000004</v>
      </c>
      <c r="AK44" s="252">
        <v>3931.8062000000004</v>
      </c>
      <c r="AL44" s="252">
        <v>14582.679269386765</v>
      </c>
      <c r="AM44" s="252">
        <f>SUM(P44:T44)+SUM(W44:AL44)</f>
        <v>61818.29826938676</v>
      </c>
      <c r="AN44" s="252">
        <f t="shared" ref="AN44" si="35">O44+AM44</f>
        <v>64945.073569386761</v>
      </c>
      <c r="AO44" s="252">
        <f t="shared" ref="AO44" si="36">L44-AN44</f>
        <v>-21078.183569386762</v>
      </c>
      <c r="AP44" s="1175" t="s">
        <v>556</v>
      </c>
    </row>
    <row r="45" spans="1:57" ht="10.5" customHeight="1">
      <c r="A45" s="468" t="s">
        <v>565</v>
      </c>
      <c r="B45" s="213">
        <f>136.09+0</f>
        <v>136.09</v>
      </c>
      <c r="C45" s="213">
        <f>811.9736+18.768</f>
        <v>830.74160000000006</v>
      </c>
      <c r="D45" s="213">
        <f>3.6221+0</f>
        <v>3.6221000000000001</v>
      </c>
      <c r="E45" s="213">
        <f>885.4765+470.9505</f>
        <v>1356.4269999999999</v>
      </c>
      <c r="F45" s="213">
        <f>172.4+123.1</f>
        <v>295.5</v>
      </c>
      <c r="G45" s="213">
        <f>34320.4504+4091.9326</f>
        <v>38412.383000000002</v>
      </c>
      <c r="H45" s="213">
        <v>0</v>
      </c>
      <c r="I45" s="213">
        <v>0</v>
      </c>
      <c r="J45" s="213">
        <v>0</v>
      </c>
      <c r="K45" s="213">
        <f t="shared" si="33"/>
        <v>4485.5420999998969</v>
      </c>
      <c r="L45" s="213">
        <f>40131.0158999999+5389.2899</f>
        <v>45520.3057999999</v>
      </c>
      <c r="M45" s="213">
        <v>678.43240000000003</v>
      </c>
      <c r="N45" s="213">
        <v>2332.0147999999999</v>
      </c>
      <c r="O45" s="213">
        <f>M45+N45</f>
        <v>3010.4472000000001</v>
      </c>
      <c r="P45" s="213">
        <v>599.05129999999997</v>
      </c>
      <c r="Q45" s="213">
        <v>546.56700000000001</v>
      </c>
      <c r="R45" s="213">
        <v>1905.2914000000001</v>
      </c>
      <c r="S45" s="213">
        <v>1687.1108000000002</v>
      </c>
      <c r="T45" s="213">
        <v>737.70049999999992</v>
      </c>
      <c r="U45" s="1178" t="s">
        <v>565</v>
      </c>
      <c r="V45" s="468" t="s">
        <v>565</v>
      </c>
      <c r="W45" s="213">
        <v>941.6081999999999</v>
      </c>
      <c r="X45" s="213">
        <v>1084.0018</v>
      </c>
      <c r="Y45" s="213">
        <v>1396.4666</v>
      </c>
      <c r="Z45" s="213">
        <v>15733.313199999999</v>
      </c>
      <c r="AA45" s="213">
        <v>3904.6596</v>
      </c>
      <c r="AB45" s="213">
        <v>334.7124</v>
      </c>
      <c r="AC45" s="213">
        <v>290.8698</v>
      </c>
      <c r="AD45" s="213">
        <v>902.08809999999994</v>
      </c>
      <c r="AE45" s="213">
        <v>3465.9814999999999</v>
      </c>
      <c r="AF45" s="213">
        <v>3750.1718999999998</v>
      </c>
      <c r="AG45" s="213">
        <v>3283.0787999999998</v>
      </c>
      <c r="AH45" s="213">
        <v>8454.1776000000009</v>
      </c>
      <c r="AI45" s="213">
        <v>1594.6018000000001</v>
      </c>
      <c r="AJ45" s="213">
        <v>5386.1135000000004</v>
      </c>
      <c r="AK45" s="213">
        <v>2479.2706420673076</v>
      </c>
      <c r="AL45" s="213">
        <v>17524.130413879822</v>
      </c>
      <c r="AM45" s="213">
        <f>SUM(P45:T45)+SUM(W45:AL45)</f>
        <v>76000.966855947132</v>
      </c>
      <c r="AN45" s="213">
        <f t="shared" ref="AN45" si="37">O45+AM45</f>
        <v>79011.414055947127</v>
      </c>
      <c r="AO45" s="213">
        <f t="shared" ref="AO45" si="38">L45-AN45</f>
        <v>-33491.108255947227</v>
      </c>
      <c r="AP45" s="1178" t="s">
        <v>565</v>
      </c>
      <c r="AR45" s="553"/>
    </row>
    <row r="46" spans="1:57" ht="9.75" customHeight="1">
      <c r="A46" s="1103" t="s">
        <v>566</v>
      </c>
      <c r="B46" s="252">
        <f>181.9971+0</f>
        <v>181.99709999999999</v>
      </c>
      <c r="C46" s="252">
        <f>639.2762+14.3502</f>
        <v>653.62639999999999</v>
      </c>
      <c r="D46" s="252">
        <f>1.5702</f>
        <v>1.5702</v>
      </c>
      <c r="E46" s="252">
        <f>888.1183+372.393</f>
        <v>1260.5112999999999</v>
      </c>
      <c r="F46" s="252">
        <f>142.0017+135.6076</f>
        <v>277.60929999999996</v>
      </c>
      <c r="G46" s="252">
        <f>28651.7112+3699.1233</f>
        <v>32350.834500000001</v>
      </c>
      <c r="H46" s="252">
        <v>0</v>
      </c>
      <c r="I46" s="252">
        <v>0</v>
      </c>
      <c r="J46" s="252">
        <v>0</v>
      </c>
      <c r="K46" s="252">
        <f t="shared" si="33"/>
        <v>3750.3384999999907</v>
      </c>
      <c r="L46" s="252">
        <f>33654.1375+4822.3498</f>
        <v>38476.487299999993</v>
      </c>
      <c r="M46" s="252">
        <v>161.8877</v>
      </c>
      <c r="N46" s="252">
        <v>706.42650000000003</v>
      </c>
      <c r="O46" s="252">
        <f>M46+N46</f>
        <v>868.31420000000003</v>
      </c>
      <c r="P46" s="252">
        <v>493.85520000000002</v>
      </c>
      <c r="Q46" s="252">
        <v>534.33259999999996</v>
      </c>
      <c r="R46" s="252">
        <v>1505.8117999999999</v>
      </c>
      <c r="S46" s="252">
        <v>2288.3950999999997</v>
      </c>
      <c r="T46" s="252">
        <v>336.08370000000002</v>
      </c>
      <c r="U46" s="1175" t="s">
        <v>566</v>
      </c>
      <c r="V46" s="1103" t="s">
        <v>566</v>
      </c>
      <c r="W46" s="252">
        <v>262.06259999999997</v>
      </c>
      <c r="X46" s="252">
        <v>599.97769999999991</v>
      </c>
      <c r="Y46" s="252">
        <v>1519.2237</v>
      </c>
      <c r="Z46" s="252">
        <v>19169.889600000002</v>
      </c>
      <c r="AA46" s="252">
        <v>3415.4295000000002</v>
      </c>
      <c r="AB46" s="252">
        <v>210.33340000000001</v>
      </c>
      <c r="AC46" s="252">
        <v>563.59820000000002</v>
      </c>
      <c r="AD46" s="252">
        <v>779.70450000000005</v>
      </c>
      <c r="AE46" s="252">
        <v>2859.9438</v>
      </c>
      <c r="AF46" s="252">
        <v>3243.7553000000003</v>
      </c>
      <c r="AG46" s="252">
        <v>2880.9233999999997</v>
      </c>
      <c r="AH46" s="252">
        <v>6960.1835000000001</v>
      </c>
      <c r="AI46" s="252">
        <v>1185.1206999999999</v>
      </c>
      <c r="AJ46" s="252">
        <v>4613.3599000000004</v>
      </c>
      <c r="AK46" s="252">
        <v>2315.9691145749998</v>
      </c>
      <c r="AL46" s="252">
        <v>13320.677874324992</v>
      </c>
      <c r="AM46" s="252">
        <f>SUM(P46:T46)+SUM(W46:AL46)</f>
        <v>69058.631188900006</v>
      </c>
      <c r="AN46" s="252">
        <f t="shared" ref="AN46" si="39">O46+AM46</f>
        <v>69926.9453889</v>
      </c>
      <c r="AO46" s="252">
        <f t="shared" ref="AO46" si="40">L46-AN46</f>
        <v>-31450.458088900006</v>
      </c>
      <c r="AP46" s="1175" t="s">
        <v>566</v>
      </c>
    </row>
    <row r="47" spans="1:57" ht="11.25" customHeight="1">
      <c r="A47" s="468" t="s">
        <v>557</v>
      </c>
      <c r="B47" s="213">
        <f>302.7846+0</f>
        <v>302.78460000000001</v>
      </c>
      <c r="C47" s="213">
        <f>925.7224+12.7914</f>
        <v>938.51379999999995</v>
      </c>
      <c r="D47" s="213">
        <f>1.7505</f>
        <v>1.7504999999999999</v>
      </c>
      <c r="E47" s="213">
        <f>1054.7158+448.4518</f>
        <v>1503.1676</v>
      </c>
      <c r="F47" s="213">
        <f>166.9007+184.8813</f>
        <v>351.78200000000004</v>
      </c>
      <c r="G47" s="213">
        <f>36576.8871+4364.8211</f>
        <v>40941.708200000001</v>
      </c>
      <c r="H47" s="213">
        <v>0</v>
      </c>
      <c r="I47" s="213">
        <v>0</v>
      </c>
      <c r="J47" s="213">
        <v>0</v>
      </c>
      <c r="K47" s="213">
        <f t="shared" si="33"/>
        <v>4974.3934999998964</v>
      </c>
      <c r="L47" s="213">
        <f>43143.3638999999+5870.7363</f>
        <v>49014.100199999899</v>
      </c>
      <c r="M47" s="213">
        <v>277.60050000000001</v>
      </c>
      <c r="N47" s="213">
        <v>744.05949999999996</v>
      </c>
      <c r="O47" s="213">
        <f>M47+N47</f>
        <v>1021.66</v>
      </c>
      <c r="P47" s="213">
        <v>290.97359999999998</v>
      </c>
      <c r="Q47" s="213">
        <v>576.5030999999999</v>
      </c>
      <c r="R47" s="213">
        <v>2472.4092000000001</v>
      </c>
      <c r="S47" s="213">
        <v>2224.3537000000001</v>
      </c>
      <c r="T47" s="213">
        <v>495.93529999999998</v>
      </c>
      <c r="U47" s="1178" t="s">
        <v>557</v>
      </c>
      <c r="V47" s="468" t="s">
        <v>557</v>
      </c>
      <c r="W47" s="213">
        <v>1341.4799</v>
      </c>
      <c r="X47" s="213">
        <v>473.57749999999999</v>
      </c>
      <c r="Y47" s="213">
        <v>2511.0605999999998</v>
      </c>
      <c r="Z47" s="213">
        <v>20194.522799999999</v>
      </c>
      <c r="AA47" s="213">
        <v>4568.4305999999997</v>
      </c>
      <c r="AB47" s="213">
        <v>271.73090000000002</v>
      </c>
      <c r="AC47" s="213">
        <v>995.74879999999996</v>
      </c>
      <c r="AD47" s="213">
        <v>951.08500000000004</v>
      </c>
      <c r="AE47" s="213">
        <v>3947.1612999999998</v>
      </c>
      <c r="AF47" s="213">
        <v>4007.3904999999995</v>
      </c>
      <c r="AG47" s="213">
        <v>3612.1264000000001</v>
      </c>
      <c r="AH47" s="213">
        <v>8319.1571000000004</v>
      </c>
      <c r="AI47" s="213">
        <v>1471.3691000000001</v>
      </c>
      <c r="AJ47" s="213">
        <v>6068.0329999999994</v>
      </c>
      <c r="AK47" s="213">
        <v>3246.7388556390797</v>
      </c>
      <c r="AL47" s="213">
        <v>11502.199999999997</v>
      </c>
      <c r="AM47" s="213">
        <f>SUM(P47:T47)+SUM(W47:AL47)</f>
        <v>79541.987255639076</v>
      </c>
      <c r="AN47" s="213">
        <f t="shared" ref="AN47:AN49" si="41">O47+AM47</f>
        <v>80563.64725563908</v>
      </c>
      <c r="AO47" s="213">
        <f t="shared" ref="AO47:AO49" si="42">L47-AN47</f>
        <v>-31549.547055639181</v>
      </c>
      <c r="AP47" s="1178" t="s">
        <v>557</v>
      </c>
    </row>
    <row r="48" spans="1:57" ht="11.25">
      <c r="A48" s="274" t="s">
        <v>2929</v>
      </c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1360" t="s">
        <v>2929</v>
      </c>
      <c r="V48" s="274" t="s">
        <v>2929</v>
      </c>
      <c r="W48" s="252"/>
      <c r="X48" s="252"/>
      <c r="Y48" s="252"/>
      <c r="Z48" s="252"/>
      <c r="AA48" s="252"/>
      <c r="AB48" s="252"/>
      <c r="AC48" s="252"/>
      <c r="AD48" s="252"/>
      <c r="AE48" s="252"/>
      <c r="AF48" s="252"/>
      <c r="AG48" s="252"/>
      <c r="AH48" s="252"/>
      <c r="AI48" s="252"/>
      <c r="AJ48" s="252"/>
      <c r="AK48" s="252"/>
      <c r="AL48" s="252"/>
      <c r="AM48" s="252"/>
      <c r="AN48" s="252"/>
      <c r="AO48" s="252"/>
      <c r="AP48" s="1360" t="s">
        <v>2929</v>
      </c>
    </row>
    <row r="49" spans="1:42" ht="12" thickBot="1">
      <c r="A49" s="1707" t="s">
        <v>559</v>
      </c>
      <c r="B49" s="1708">
        <f>328.9041+0</f>
        <v>328.90410000000003</v>
      </c>
      <c r="C49" s="1708">
        <f>743.3395+15.3297</f>
        <v>758.66920000000005</v>
      </c>
      <c r="D49" s="1708">
        <v>0.64739999999999998</v>
      </c>
      <c r="E49" s="1708">
        <f>938.5524+434.8464</f>
        <v>1373.3987999999999</v>
      </c>
      <c r="F49" s="1708">
        <f>160.0223+208.8663</f>
        <v>368.8886</v>
      </c>
      <c r="G49" s="1708">
        <f>34918.0071+4081.6429</f>
        <v>38999.65</v>
      </c>
      <c r="H49" s="1708">
        <v>0</v>
      </c>
      <c r="I49" s="1708">
        <v>0</v>
      </c>
      <c r="J49" s="1708">
        <v>0</v>
      </c>
      <c r="K49" s="1708">
        <f t="shared" si="33"/>
        <v>4128.4676999999938</v>
      </c>
      <c r="L49" s="1708">
        <f>40693.0347+5265.5911</f>
        <v>45958.625799999994</v>
      </c>
      <c r="M49" s="1708">
        <v>449.45</v>
      </c>
      <c r="N49" s="1708">
        <v>1072.0199</v>
      </c>
      <c r="O49" s="1708">
        <f>M49+N49</f>
        <v>1521.4699000000001</v>
      </c>
      <c r="P49" s="1708">
        <v>444.2201</v>
      </c>
      <c r="Q49" s="1708">
        <v>408.0437</v>
      </c>
      <c r="R49" s="1708">
        <v>1526.3892000000001</v>
      </c>
      <c r="S49" s="1708">
        <v>3463.9498000000003</v>
      </c>
      <c r="T49" s="1708">
        <v>499.68549999999999</v>
      </c>
      <c r="U49" s="1709" t="s">
        <v>559</v>
      </c>
      <c r="V49" s="1707" t="s">
        <v>559</v>
      </c>
      <c r="W49" s="1708">
        <v>699.98350000000005</v>
      </c>
      <c r="X49" s="1708">
        <v>454.43169999999998</v>
      </c>
      <c r="Y49" s="1708">
        <v>254.63530000000003</v>
      </c>
      <c r="Z49" s="1708">
        <v>11833.695399999999</v>
      </c>
      <c r="AA49" s="1708">
        <v>4256.3949000000002</v>
      </c>
      <c r="AB49" s="1708">
        <v>281.92689999999999</v>
      </c>
      <c r="AC49" s="1708">
        <v>2113.2478000000001</v>
      </c>
      <c r="AD49" s="1708">
        <v>894.64390000000003</v>
      </c>
      <c r="AE49" s="1708">
        <v>3550.7545999999998</v>
      </c>
      <c r="AF49" s="1708">
        <v>2941.1700999999998</v>
      </c>
      <c r="AG49" s="1708">
        <v>3461.6172000000001</v>
      </c>
      <c r="AH49" s="1708">
        <v>7789.1998999999996</v>
      </c>
      <c r="AI49" s="1708">
        <v>1156.8225</v>
      </c>
      <c r="AJ49" s="1708">
        <v>5871.4960999999994</v>
      </c>
      <c r="AK49" s="1708">
        <v>2757.7624473935998</v>
      </c>
      <c r="AL49" s="1708">
        <v>16287.735157991045</v>
      </c>
      <c r="AM49" s="1708">
        <f>SUM(P49:T49)+SUM(W49:AL49)</f>
        <v>70947.805705384642</v>
      </c>
      <c r="AN49" s="1708">
        <f t="shared" si="41"/>
        <v>72469.275605384639</v>
      </c>
      <c r="AO49" s="1708">
        <f t="shared" si="42"/>
        <v>-26510.649805384644</v>
      </c>
      <c r="AP49" s="1709" t="s">
        <v>559</v>
      </c>
    </row>
    <row r="50" spans="1:42" ht="11.25">
      <c r="A50" s="1187" t="s">
        <v>700</v>
      </c>
      <c r="B50" s="2352" t="s">
        <v>2635</v>
      </c>
      <c r="C50" s="2352"/>
      <c r="D50" s="2352"/>
      <c r="E50" s="2352"/>
      <c r="F50" s="2352"/>
      <c r="G50" s="2352"/>
      <c r="H50" s="2352"/>
      <c r="I50" s="2352"/>
      <c r="J50" s="2352"/>
      <c r="K50" s="2352"/>
      <c r="L50" s="35"/>
      <c r="M50" s="1187" t="s">
        <v>1108</v>
      </c>
      <c r="N50" s="2352" t="s">
        <v>2267</v>
      </c>
      <c r="O50" s="2352"/>
      <c r="P50" s="2352"/>
      <c r="Q50" s="2352"/>
      <c r="R50" s="2352"/>
      <c r="S50" s="2352"/>
      <c r="T50" s="44"/>
      <c r="U50" s="44"/>
      <c r="V50" s="1187" t="s">
        <v>16</v>
      </c>
      <c r="W50" s="2352" t="s">
        <v>1210</v>
      </c>
      <c r="X50" s="2352"/>
      <c r="Y50" s="2352"/>
      <c r="Z50" s="2352"/>
      <c r="AA50" s="187"/>
      <c r="AB50" s="187"/>
      <c r="AC50" s="2353" t="s">
        <v>1296</v>
      </c>
      <c r="AD50" s="2353"/>
      <c r="AE50" s="39"/>
      <c r="AF50" s="186"/>
      <c r="AG50" s="186"/>
      <c r="AH50" s="131"/>
      <c r="AI50" s="131"/>
      <c r="AJ50" s="131"/>
      <c r="AK50" s="131"/>
      <c r="AL50" s="131"/>
      <c r="AM50" s="338"/>
      <c r="AN50" s="1062"/>
      <c r="AO50" s="186"/>
      <c r="AP50" s="189"/>
    </row>
    <row r="51" spans="1:42">
      <c r="A51" s="105"/>
      <c r="B51" s="2356" t="s">
        <v>2846</v>
      </c>
      <c r="C51" s="2356"/>
      <c r="D51" s="2356"/>
      <c r="E51" s="2356"/>
      <c r="F51" s="2356"/>
      <c r="G51" s="2356"/>
      <c r="H51" s="2356"/>
      <c r="I51" s="2356"/>
      <c r="J51" s="2356"/>
      <c r="K51" s="2356"/>
      <c r="L51" s="2356"/>
      <c r="M51" s="1189"/>
      <c r="N51" s="2352" t="s">
        <v>2268</v>
      </c>
      <c r="O51" s="2352"/>
      <c r="P51" s="2352"/>
      <c r="Q51" s="2352"/>
      <c r="R51" s="2352"/>
      <c r="S51" s="2352"/>
      <c r="T51" s="2352"/>
      <c r="U51" s="1188"/>
      <c r="V51" s="1188"/>
      <c r="W51" s="1188"/>
      <c r="X51" s="1188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794"/>
      <c r="AM51" s="794"/>
      <c r="AN51" s="794"/>
      <c r="AO51" s="794"/>
      <c r="AP51" s="189"/>
    </row>
    <row r="52" spans="1:42">
      <c r="A52" s="1187" t="s">
        <v>1108</v>
      </c>
      <c r="B52" s="2357" t="s">
        <v>2269</v>
      </c>
      <c r="C52" s="2357"/>
      <c r="D52" s="2357"/>
      <c r="E52" s="2357"/>
      <c r="F52" s="2357"/>
      <c r="G52" s="2357"/>
      <c r="H52" s="2357"/>
      <c r="I52" s="1346"/>
      <c r="J52" s="1346"/>
      <c r="K52" s="1346"/>
      <c r="L52" s="1346"/>
      <c r="M52" s="1190"/>
      <c r="N52" s="2352"/>
      <c r="O52" s="2352"/>
      <c r="P52" s="2352"/>
      <c r="Q52" s="2352"/>
      <c r="R52" s="2352"/>
      <c r="S52" s="2352"/>
      <c r="T52" s="2352"/>
      <c r="U52" s="1188"/>
      <c r="V52" s="1188"/>
      <c r="W52" s="1188"/>
      <c r="X52" s="1188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189"/>
    </row>
    <row r="53" spans="1:42">
      <c r="I53" s="553"/>
      <c r="K53" s="1068"/>
      <c r="M53" s="188"/>
      <c r="N53" s="1191"/>
      <c r="O53" s="1191"/>
      <c r="P53" s="1565"/>
      <c r="Q53" s="1192"/>
      <c r="R53" s="1192"/>
      <c r="S53" s="1192"/>
      <c r="T53" s="1193"/>
      <c r="U53" s="1192"/>
      <c r="V53" s="1565"/>
      <c r="W53" s="1194"/>
      <c r="X53" s="1195"/>
      <c r="AN53" s="553"/>
      <c r="AO53" s="553"/>
    </row>
    <row r="54" spans="1:42">
      <c r="B54" s="62"/>
      <c r="C54" s="62"/>
      <c r="D54" s="62"/>
      <c r="E54" s="942"/>
      <c r="F54" s="62"/>
      <c r="G54" s="942"/>
      <c r="H54" s="942"/>
      <c r="I54" s="62"/>
      <c r="J54" s="62"/>
      <c r="K54" s="62"/>
      <c r="O54" s="1196"/>
      <c r="P54" s="188"/>
      <c r="Q54" s="188"/>
      <c r="R54" s="188"/>
      <c r="S54" s="188"/>
      <c r="T54" s="188"/>
      <c r="U54" s="188"/>
      <c r="V54" s="188"/>
      <c r="W54" s="188"/>
      <c r="X54" s="188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</row>
    <row r="55" spans="1:42">
      <c r="C55" s="553"/>
      <c r="E55" s="553"/>
      <c r="F55" s="708"/>
      <c r="G55" s="553"/>
      <c r="H55" s="553"/>
      <c r="I55" s="846"/>
      <c r="L55" s="62"/>
      <c r="O55" s="553"/>
      <c r="W55" s="553"/>
      <c r="X55" s="553"/>
      <c r="Y55" s="553"/>
      <c r="Z55" s="553"/>
      <c r="AA55" s="553"/>
      <c r="AB55" s="553"/>
      <c r="AC55" s="553"/>
      <c r="AD55" s="553"/>
      <c r="AE55" s="553"/>
      <c r="AF55" s="553"/>
      <c r="AG55" s="553"/>
      <c r="AH55" s="553"/>
      <c r="AI55" s="553"/>
      <c r="AJ55" s="553"/>
    </row>
    <row r="56" spans="1:42">
      <c r="B56" s="553"/>
      <c r="C56" s="553"/>
      <c r="D56" s="553"/>
      <c r="E56" s="553"/>
      <c r="F56" s="553"/>
      <c r="G56" s="553"/>
      <c r="H56" s="553"/>
      <c r="I56" s="553"/>
      <c r="J56" s="553"/>
      <c r="K56" s="553"/>
      <c r="L56" s="553"/>
      <c r="M56" s="1196"/>
      <c r="N56" s="188"/>
      <c r="O56" s="553"/>
      <c r="P56" s="553"/>
      <c r="Q56" s="553"/>
      <c r="R56" s="553"/>
      <c r="S56" s="553"/>
      <c r="T56" s="553"/>
      <c r="U56" s="553"/>
      <c r="V56" s="553"/>
      <c r="W56" s="553"/>
      <c r="X56" s="553"/>
      <c r="Y56" s="553"/>
      <c r="Z56" s="553"/>
      <c r="AA56" s="553"/>
      <c r="AB56" s="553"/>
      <c r="AC56" s="553"/>
      <c r="AD56" s="553"/>
      <c r="AE56" s="553"/>
      <c r="AF56" s="553"/>
      <c r="AG56" s="553"/>
      <c r="AH56" s="553"/>
      <c r="AI56" s="553"/>
      <c r="AJ56" s="553"/>
      <c r="AK56" s="553"/>
      <c r="AL56" s="553"/>
      <c r="AM56" s="553"/>
      <c r="AN56" s="553"/>
      <c r="AO56" s="553"/>
      <c r="AP56" s="553"/>
    </row>
    <row r="57" spans="1:42">
      <c r="C57" s="553"/>
      <c r="G57" s="553"/>
      <c r="H57" s="553"/>
      <c r="J57" s="553"/>
      <c r="K57" s="553"/>
      <c r="L57" s="801"/>
      <c r="W57" s="553"/>
    </row>
    <row r="58" spans="1:42">
      <c r="J58" s="553"/>
      <c r="K58" s="553"/>
      <c r="M58" s="553"/>
      <c r="N58" s="553"/>
      <c r="O58" s="553"/>
      <c r="P58" s="553"/>
      <c r="Q58" s="553"/>
      <c r="R58" s="553"/>
      <c r="S58" s="553"/>
      <c r="T58" s="553"/>
      <c r="U58" s="942"/>
      <c r="V58" s="942"/>
      <c r="W58" s="942"/>
      <c r="X58" s="942"/>
      <c r="Y58" s="942"/>
      <c r="Z58" s="942"/>
      <c r="AA58" s="942"/>
      <c r="AB58" s="942"/>
      <c r="AC58" s="942"/>
      <c r="AD58" s="942"/>
      <c r="AE58" s="942"/>
      <c r="AF58" s="942"/>
      <c r="AG58" s="942"/>
      <c r="AH58" s="942"/>
      <c r="AI58" s="942"/>
      <c r="AJ58" s="942"/>
      <c r="AK58" s="942"/>
    </row>
    <row r="59" spans="1:42">
      <c r="G59" s="553"/>
      <c r="J59" s="553"/>
      <c r="N59" s="553"/>
      <c r="O59" s="553"/>
      <c r="P59" s="553"/>
      <c r="Q59" s="553"/>
      <c r="R59" s="553"/>
      <c r="S59" s="553"/>
      <c r="T59" s="553"/>
      <c r="U59" s="942"/>
      <c r="V59" s="942"/>
      <c r="W59" s="942"/>
      <c r="X59" s="942"/>
      <c r="Y59" s="942"/>
      <c r="Z59" s="942"/>
      <c r="AA59" s="942"/>
      <c r="AB59" s="942"/>
      <c r="AC59" s="942"/>
      <c r="AD59" s="942"/>
      <c r="AE59" s="942"/>
      <c r="AF59" s="942"/>
      <c r="AG59" s="942"/>
      <c r="AH59" s="942"/>
      <c r="AI59" s="942"/>
      <c r="AJ59" s="942"/>
    </row>
    <row r="60" spans="1:42">
      <c r="J60" s="553"/>
      <c r="W60" s="553"/>
    </row>
    <row r="61" spans="1:42">
      <c r="J61" s="553"/>
    </row>
    <row r="62" spans="1:42">
      <c r="M62" s="553"/>
      <c r="N62" s="553"/>
      <c r="O62" s="553"/>
      <c r="P62" s="553"/>
      <c r="Q62" s="553"/>
      <c r="R62" s="553"/>
      <c r="S62" s="553"/>
      <c r="T62" s="553"/>
      <c r="W62" s="553"/>
      <c r="X62" s="553"/>
      <c r="Y62" s="553"/>
      <c r="Z62" s="553"/>
      <c r="AA62" s="553"/>
      <c r="AB62" s="553"/>
      <c r="AC62" s="553"/>
      <c r="AD62" s="553"/>
      <c r="AE62" s="553"/>
      <c r="AF62" s="553"/>
      <c r="AG62" s="553"/>
      <c r="AH62" s="553"/>
      <c r="AI62" s="553"/>
      <c r="AJ62" s="553"/>
      <c r="AK62" s="553"/>
      <c r="AL62" s="553"/>
      <c r="AM62" s="553"/>
      <c r="AN62" s="553"/>
      <c r="AO62" s="553"/>
    </row>
    <row r="63" spans="1:42">
      <c r="B63" s="553"/>
      <c r="C63" s="553"/>
      <c r="D63" s="553"/>
      <c r="E63" s="553"/>
      <c r="F63" s="553"/>
      <c r="G63" s="553"/>
      <c r="H63" s="553"/>
      <c r="I63" s="553"/>
      <c r="J63" s="553"/>
      <c r="K63" s="553"/>
      <c r="M63" s="553"/>
      <c r="N63" s="553"/>
      <c r="O63" s="553"/>
      <c r="P63" s="553"/>
      <c r="Q63" s="553"/>
      <c r="R63" s="553"/>
      <c r="S63" s="553"/>
      <c r="T63" s="553"/>
      <c r="W63" s="553"/>
      <c r="X63" s="553"/>
      <c r="Y63" s="553"/>
      <c r="Z63" s="553"/>
      <c r="AA63" s="553"/>
      <c r="AB63" s="553"/>
      <c r="AC63" s="553"/>
      <c r="AD63" s="553"/>
      <c r="AE63" s="553"/>
      <c r="AF63" s="553"/>
      <c r="AG63" s="553"/>
      <c r="AH63" s="553"/>
      <c r="AI63" s="553"/>
      <c r="AJ63" s="553"/>
      <c r="AK63" s="553"/>
      <c r="AL63" s="553"/>
      <c r="AM63" s="553"/>
      <c r="AN63" s="553"/>
      <c r="AO63" s="553"/>
    </row>
    <row r="64" spans="1:42">
      <c r="B64" s="553"/>
      <c r="C64" s="553"/>
      <c r="D64" s="553"/>
      <c r="E64" s="553"/>
      <c r="F64" s="553"/>
      <c r="G64" s="553"/>
      <c r="H64" s="553"/>
      <c r="I64" s="553"/>
      <c r="J64" s="553"/>
      <c r="K64" s="553"/>
      <c r="M64" s="553"/>
      <c r="N64" s="553"/>
      <c r="O64" s="553"/>
      <c r="P64" s="553"/>
      <c r="Q64" s="553"/>
      <c r="R64" s="553"/>
      <c r="S64" s="553"/>
      <c r="T64" s="553"/>
      <c r="W64" s="553"/>
      <c r="X64" s="553"/>
      <c r="Y64" s="553"/>
      <c r="Z64" s="553"/>
      <c r="AA64" s="553"/>
      <c r="AB64" s="553"/>
      <c r="AC64" s="553"/>
      <c r="AD64" s="553"/>
      <c r="AE64" s="553"/>
      <c r="AF64" s="553"/>
      <c r="AG64" s="553"/>
      <c r="AH64" s="553"/>
      <c r="AI64" s="553"/>
      <c r="AJ64" s="553"/>
      <c r="AK64" s="553"/>
      <c r="AL64" s="553"/>
      <c r="AM64" s="553"/>
      <c r="AN64" s="553"/>
      <c r="AO64" s="553"/>
    </row>
    <row r="65" spans="2:41">
      <c r="B65" s="553"/>
      <c r="C65" s="553"/>
      <c r="D65" s="553"/>
      <c r="E65" s="553"/>
      <c r="F65" s="553"/>
      <c r="G65" s="553"/>
      <c r="H65" s="553"/>
      <c r="I65" s="553"/>
      <c r="J65" s="553"/>
      <c r="K65" s="553"/>
      <c r="M65" s="553"/>
      <c r="N65" s="553"/>
      <c r="O65" s="553"/>
      <c r="P65" s="553"/>
      <c r="Q65" s="553"/>
      <c r="R65" s="553"/>
      <c r="S65" s="553"/>
      <c r="T65" s="553"/>
      <c r="W65" s="553"/>
      <c r="X65" s="553"/>
      <c r="Y65" s="553"/>
      <c r="Z65" s="553"/>
      <c r="AA65" s="553"/>
      <c r="AB65" s="553"/>
      <c r="AC65" s="553"/>
      <c r="AD65" s="553"/>
      <c r="AE65" s="553"/>
      <c r="AF65" s="553"/>
      <c r="AG65" s="553"/>
      <c r="AH65" s="553"/>
      <c r="AI65" s="553"/>
      <c r="AJ65" s="553"/>
      <c r="AK65" s="553"/>
      <c r="AL65" s="553"/>
      <c r="AM65" s="553"/>
      <c r="AN65" s="553"/>
      <c r="AO65" s="553"/>
    </row>
    <row r="66" spans="2:41">
      <c r="B66" s="553"/>
      <c r="C66" s="553"/>
      <c r="D66" s="553"/>
      <c r="E66" s="553"/>
      <c r="F66" s="553"/>
      <c r="G66" s="553"/>
      <c r="H66" s="553"/>
      <c r="I66" s="553"/>
      <c r="J66" s="553"/>
      <c r="K66" s="553"/>
      <c r="M66" s="553"/>
      <c r="N66" s="553"/>
      <c r="O66" s="553"/>
      <c r="P66" s="553"/>
      <c r="Q66" s="553"/>
      <c r="R66" s="553"/>
      <c r="S66" s="553"/>
      <c r="T66" s="553"/>
      <c r="W66" s="553"/>
      <c r="X66" s="553"/>
      <c r="Y66" s="553"/>
      <c r="Z66" s="553"/>
      <c r="AA66" s="553"/>
      <c r="AB66" s="553"/>
      <c r="AC66" s="553"/>
      <c r="AD66" s="553"/>
      <c r="AE66" s="553"/>
      <c r="AF66" s="553"/>
      <c r="AG66" s="553"/>
      <c r="AH66" s="553"/>
      <c r="AI66" s="553"/>
      <c r="AJ66" s="553"/>
      <c r="AK66" s="553"/>
      <c r="AL66" s="553"/>
      <c r="AM66" s="553"/>
      <c r="AN66" s="553"/>
      <c r="AO66" s="553"/>
    </row>
    <row r="67" spans="2:41">
      <c r="B67" s="553"/>
      <c r="C67" s="553"/>
      <c r="D67" s="553"/>
      <c r="E67" s="553"/>
      <c r="F67" s="553"/>
      <c r="G67" s="553"/>
      <c r="H67" s="553"/>
      <c r="I67" s="553"/>
      <c r="J67" s="553"/>
      <c r="K67" s="553"/>
      <c r="M67" s="553"/>
      <c r="N67" s="553"/>
      <c r="O67" s="553"/>
      <c r="P67" s="553"/>
      <c r="Q67" s="553"/>
      <c r="R67" s="553"/>
      <c r="S67" s="553"/>
      <c r="T67" s="553"/>
      <c r="W67" s="553"/>
      <c r="X67" s="553"/>
      <c r="Y67" s="553"/>
      <c r="Z67" s="553"/>
      <c r="AA67" s="553"/>
      <c r="AB67" s="553"/>
      <c r="AC67" s="553"/>
      <c r="AD67" s="553"/>
      <c r="AE67" s="553"/>
      <c r="AF67" s="553"/>
      <c r="AG67" s="553"/>
      <c r="AH67" s="553"/>
      <c r="AI67" s="553"/>
      <c r="AJ67" s="553"/>
      <c r="AK67" s="553"/>
      <c r="AL67" s="553"/>
      <c r="AM67" s="553"/>
      <c r="AN67" s="553"/>
      <c r="AO67" s="553"/>
    </row>
    <row r="68" spans="2:41">
      <c r="B68" s="553"/>
      <c r="C68" s="553"/>
      <c r="D68" s="553"/>
      <c r="E68" s="553"/>
      <c r="F68" s="553"/>
      <c r="G68" s="553"/>
      <c r="H68" s="553"/>
      <c r="I68" s="553"/>
      <c r="J68" s="553"/>
      <c r="K68" s="553"/>
      <c r="W68" s="553"/>
    </row>
    <row r="69" spans="2:41">
      <c r="B69" s="553"/>
      <c r="C69" s="553"/>
      <c r="D69" s="553"/>
      <c r="E69" s="553"/>
      <c r="F69" s="553"/>
      <c r="G69" s="553"/>
      <c r="H69" s="553"/>
      <c r="I69" s="553"/>
      <c r="J69" s="553"/>
      <c r="K69" s="553"/>
      <c r="W69" s="553"/>
    </row>
  </sheetData>
  <customSheetViews>
    <customSheetView guid="{A374FC54-96E3-45F0-9C12-8450400C12DF}" scale="140">
      <pane xSplit="1" ySplit="6" topLeftCell="AC39" activePane="bottomRight" state="frozen"/>
      <selection pane="bottomRight" activeCell="AH52" sqref="AH52"/>
      <pageMargins left="0.62992125984252001" right="0.511811023622047" top="0.511811023622047" bottom="0.511811023622047" header="0" footer="0.39370078740157499"/>
      <pageSetup paperSize="132" firstPageNumber="32" orientation="portrait" useFirstPageNumber="1" r:id="rId1"/>
      <headerFooter alignWithMargins="0">
        <oddFooter>&amp;C&amp;"Times New Roman,Regular"&amp;8&amp;P</oddFooter>
      </headerFooter>
    </customSheetView>
  </customSheetViews>
  <mergeCells count="40">
    <mergeCell ref="B51:L51"/>
    <mergeCell ref="N51:T52"/>
    <mergeCell ref="B52:H52"/>
    <mergeCell ref="F4:F5"/>
    <mergeCell ref="B50:K50"/>
    <mergeCell ref="N50:S50"/>
    <mergeCell ref="E4:E5"/>
    <mergeCell ref="I4:I5"/>
    <mergeCell ref="W50:Z50"/>
    <mergeCell ref="AC50:AD50"/>
    <mergeCell ref="AH3:AM3"/>
    <mergeCell ref="AE1:AF1"/>
    <mergeCell ref="B4:B5"/>
    <mergeCell ref="C4:C5"/>
    <mergeCell ref="A1:D1"/>
    <mergeCell ref="T2:U2"/>
    <mergeCell ref="D4:D5"/>
    <mergeCell ref="M3:T3"/>
    <mergeCell ref="U3:U6"/>
    <mergeCell ref="P4:T4"/>
    <mergeCell ref="A3:A6"/>
    <mergeCell ref="W4:AM4"/>
    <mergeCell ref="H4:H5"/>
    <mergeCell ref="B3:L3"/>
    <mergeCell ref="AN3:AN5"/>
    <mergeCell ref="G4:G5"/>
    <mergeCell ref="AP3:AP6"/>
    <mergeCell ref="AN1:AP1"/>
    <mergeCell ref="S1:U1"/>
    <mergeCell ref="J1:L1"/>
    <mergeCell ref="M4:O4"/>
    <mergeCell ref="AO3:AO5"/>
    <mergeCell ref="L4:L5"/>
    <mergeCell ref="J4:J5"/>
    <mergeCell ref="K4:K5"/>
    <mergeCell ref="M1:N1"/>
    <mergeCell ref="AO2:AP2"/>
    <mergeCell ref="V3:V6"/>
    <mergeCell ref="W3:AG3"/>
    <mergeCell ref="AG1:AI1"/>
  </mergeCells>
  <phoneticPr fontId="0" type="noConversion"/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Sheet16"/>
  <dimension ref="A1:AD53"/>
  <sheetViews>
    <sheetView zoomScale="140" zoomScaleNormal="140" workbookViewId="0">
      <pane xSplit="1" ySplit="6" topLeftCell="B25" activePane="bottomRight" state="frozen"/>
      <selection activeCell="X47" sqref="X47:X50"/>
      <selection pane="topRight" activeCell="X47" sqref="X47:X50"/>
      <selection pane="bottomLeft" activeCell="X47" sqref="X47:X50"/>
      <selection pane="bottomRight" activeCell="E52" sqref="E52"/>
    </sheetView>
  </sheetViews>
  <sheetFormatPr defaultRowHeight="12.75"/>
  <cols>
    <col min="1" max="1" width="9.85546875" style="2" customWidth="1"/>
    <col min="2" max="2" width="10.7109375" style="2" customWidth="1"/>
    <col min="3" max="3" width="10.28515625" style="2" customWidth="1"/>
    <col min="4" max="5" width="11" style="2" customWidth="1"/>
    <col min="6" max="6" width="11.140625" style="2" customWidth="1"/>
    <col min="7" max="7" width="10.85546875" style="2" customWidth="1"/>
    <col min="8" max="8" width="12.7109375" style="2" customWidth="1"/>
    <col min="9" max="10" width="10.7109375" style="2" customWidth="1"/>
    <col min="11" max="11" width="10.28515625" style="2" customWidth="1"/>
    <col min="12" max="12" width="11.140625" style="2" customWidth="1"/>
    <col min="13" max="13" width="11" style="2" customWidth="1"/>
    <col min="14" max="14" width="9.85546875" style="2" customWidth="1"/>
    <col min="15" max="15" width="9.7109375" style="2" customWidth="1"/>
    <col min="16" max="16" width="11.7109375" style="2" customWidth="1"/>
    <col min="17" max="17" width="10.85546875" style="2" customWidth="1"/>
    <col min="18" max="18" width="11.140625" style="2" customWidth="1"/>
    <col min="19" max="19" width="10.85546875" style="2" customWidth="1"/>
    <col min="20" max="20" width="11.140625" style="2" customWidth="1"/>
    <col min="21" max="21" width="10.85546875" style="2" customWidth="1"/>
    <col min="22" max="22" width="11.42578125" style="2" customWidth="1"/>
    <col min="23" max="23" width="11" style="2" customWidth="1"/>
    <col min="24" max="24" width="11.42578125" style="2" customWidth="1"/>
    <col min="25" max="25" width="10.85546875" style="2" customWidth="1"/>
    <col min="26" max="26" width="11.5703125" style="2" customWidth="1"/>
    <col min="27" max="27" width="11" style="2" customWidth="1"/>
    <col min="28" max="28" width="12" style="2" customWidth="1"/>
    <col min="29" max="29" width="9.28515625" style="2" bestFit="1" customWidth="1"/>
    <col min="30" max="16384" width="9.140625" style="2"/>
  </cols>
  <sheetData>
    <row r="1" spans="1:29" s="21" customFormat="1" ht="15.75" customHeight="1">
      <c r="A1" s="2362" t="s">
        <v>118</v>
      </c>
      <c r="B1" s="2362"/>
      <c r="C1" s="2362"/>
      <c r="D1" s="2362"/>
      <c r="E1" s="2362"/>
      <c r="F1" s="2362"/>
      <c r="G1" s="2362"/>
      <c r="H1" s="2359" t="s">
        <v>119</v>
      </c>
      <c r="I1" s="2359"/>
      <c r="J1" s="2359"/>
      <c r="K1" s="2359"/>
      <c r="M1" s="2362" t="s">
        <v>228</v>
      </c>
      <c r="N1" s="2362"/>
      <c r="O1" s="2362" t="s">
        <v>118</v>
      </c>
      <c r="P1" s="2362"/>
      <c r="Q1" s="2362"/>
      <c r="R1" s="2362"/>
      <c r="S1" s="2362"/>
      <c r="T1" s="2362"/>
      <c r="U1" s="2362"/>
      <c r="V1" s="2359" t="s">
        <v>119</v>
      </c>
      <c r="W1" s="2359"/>
      <c r="X1" s="2359"/>
      <c r="Y1" s="2359"/>
      <c r="Z1" s="22"/>
      <c r="AA1" s="2366" t="s">
        <v>287</v>
      </c>
      <c r="AB1" s="2366"/>
      <c r="AC1" s="22"/>
    </row>
    <row r="2" spans="1:29" s="19" customFormat="1" ht="13.5" customHeight="1">
      <c r="A2" s="71"/>
      <c r="P2" s="72"/>
      <c r="Q2" s="72"/>
      <c r="R2" s="72"/>
      <c r="S2" s="72"/>
      <c r="T2" s="73"/>
      <c r="U2" s="73"/>
      <c r="V2" s="73"/>
      <c r="W2" s="73"/>
      <c r="X2" s="73"/>
      <c r="Y2" s="73"/>
      <c r="Z2" s="73"/>
      <c r="AA2" s="73"/>
      <c r="AB2" s="73"/>
      <c r="AC2" s="73"/>
    </row>
    <row r="3" spans="1:29" s="107" customFormat="1" ht="20.25" customHeight="1">
      <c r="A3" s="2363" t="s">
        <v>481</v>
      </c>
      <c r="B3" s="2360" t="s">
        <v>172</v>
      </c>
      <c r="C3" s="2361"/>
      <c r="D3" s="2360" t="s">
        <v>173</v>
      </c>
      <c r="E3" s="2361"/>
      <c r="F3" s="2360" t="s">
        <v>174</v>
      </c>
      <c r="G3" s="2361"/>
      <c r="H3" s="2360" t="s">
        <v>493</v>
      </c>
      <c r="I3" s="2361"/>
      <c r="J3" s="2360" t="s">
        <v>285</v>
      </c>
      <c r="K3" s="2361"/>
      <c r="L3" s="2360" t="s">
        <v>286</v>
      </c>
      <c r="M3" s="2361"/>
      <c r="N3" s="2363" t="s">
        <v>481</v>
      </c>
      <c r="O3" s="2363" t="s">
        <v>481</v>
      </c>
      <c r="P3" s="2360" t="s">
        <v>288</v>
      </c>
      <c r="Q3" s="2361"/>
      <c r="R3" s="2360" t="s">
        <v>289</v>
      </c>
      <c r="S3" s="2361"/>
      <c r="T3" s="2360" t="s">
        <v>290</v>
      </c>
      <c r="U3" s="2361"/>
      <c r="V3" s="2360" t="s">
        <v>111</v>
      </c>
      <c r="W3" s="2361"/>
      <c r="X3" s="2360" t="s">
        <v>291</v>
      </c>
      <c r="Y3" s="2361"/>
      <c r="Z3" s="2360" t="s">
        <v>114</v>
      </c>
      <c r="AA3" s="2361"/>
      <c r="AB3" s="2363" t="s">
        <v>481</v>
      </c>
    </row>
    <row r="4" spans="1:29" s="560" customFormat="1" ht="23.25" customHeight="1">
      <c r="A4" s="2364"/>
      <c r="B4" s="2358" t="s">
        <v>1516</v>
      </c>
      <c r="C4" s="2358" t="s">
        <v>1519</v>
      </c>
      <c r="D4" s="2358" t="s">
        <v>1516</v>
      </c>
      <c r="E4" s="2358" t="s">
        <v>1773</v>
      </c>
      <c r="F4" s="2358" t="s">
        <v>1516</v>
      </c>
      <c r="G4" s="2358" t="s">
        <v>1773</v>
      </c>
      <c r="H4" s="2358" t="s">
        <v>1791</v>
      </c>
      <c r="I4" s="2358" t="s">
        <v>778</v>
      </c>
      <c r="J4" s="2358" t="s">
        <v>1790</v>
      </c>
      <c r="K4" s="2358" t="s">
        <v>778</v>
      </c>
      <c r="L4" s="2358" t="s">
        <v>1516</v>
      </c>
      <c r="M4" s="2358" t="s">
        <v>1518</v>
      </c>
      <c r="N4" s="2364"/>
      <c r="O4" s="2364"/>
      <c r="P4" s="2358" t="s">
        <v>1516</v>
      </c>
      <c r="Q4" s="2358" t="s">
        <v>778</v>
      </c>
      <c r="R4" s="2358" t="s">
        <v>1516</v>
      </c>
      <c r="S4" s="2358" t="s">
        <v>778</v>
      </c>
      <c r="T4" s="2358" t="s">
        <v>1516</v>
      </c>
      <c r="U4" s="2358" t="s">
        <v>778</v>
      </c>
      <c r="V4" s="2358" t="s">
        <v>1516</v>
      </c>
      <c r="W4" s="2358" t="s">
        <v>778</v>
      </c>
      <c r="X4" s="2358" t="s">
        <v>1517</v>
      </c>
      <c r="Y4" s="2358" t="s">
        <v>778</v>
      </c>
      <c r="Z4" s="2358" t="s">
        <v>1516</v>
      </c>
      <c r="AA4" s="2358" t="s">
        <v>778</v>
      </c>
      <c r="AB4" s="2364"/>
    </row>
    <row r="5" spans="1:29" s="560" customFormat="1" ht="21" customHeight="1">
      <c r="A5" s="2365"/>
      <c r="B5" s="2180"/>
      <c r="C5" s="2180"/>
      <c r="D5" s="2180"/>
      <c r="E5" s="2180"/>
      <c r="F5" s="2180"/>
      <c r="G5" s="2180"/>
      <c r="H5" s="2180"/>
      <c r="I5" s="2180"/>
      <c r="J5" s="2180"/>
      <c r="K5" s="2180"/>
      <c r="L5" s="2180"/>
      <c r="M5" s="2180"/>
      <c r="N5" s="2365"/>
      <c r="O5" s="2365"/>
      <c r="P5" s="2180"/>
      <c r="Q5" s="2180"/>
      <c r="R5" s="2180"/>
      <c r="S5" s="2180"/>
      <c r="T5" s="2180"/>
      <c r="U5" s="2180"/>
      <c r="V5" s="2180"/>
      <c r="W5" s="2180"/>
      <c r="X5" s="2180"/>
      <c r="Y5" s="2180"/>
      <c r="Z5" s="2180"/>
      <c r="AA5" s="2180"/>
      <c r="AB5" s="2365"/>
    </row>
    <row r="6" spans="1:29">
      <c r="A6" s="64"/>
      <c r="B6" s="65"/>
      <c r="C6" s="66"/>
      <c r="D6" s="65"/>
      <c r="E6" s="65"/>
      <c r="F6" s="65"/>
      <c r="G6" s="65"/>
      <c r="H6" s="65"/>
      <c r="I6" s="65"/>
      <c r="J6" s="65"/>
      <c r="K6" s="65"/>
      <c r="L6" s="65"/>
      <c r="M6" s="68"/>
      <c r="N6" s="65"/>
      <c r="O6" s="66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8"/>
    </row>
    <row r="7" spans="1:29" s="8" customFormat="1" ht="16.5" customHeight="1">
      <c r="A7" s="520" t="s">
        <v>543</v>
      </c>
      <c r="B7" s="632">
        <v>1791</v>
      </c>
      <c r="C7" s="632">
        <v>4111</v>
      </c>
      <c r="D7" s="632">
        <v>8509</v>
      </c>
      <c r="E7" s="632">
        <v>13824</v>
      </c>
      <c r="F7" s="632">
        <v>6538</v>
      </c>
      <c r="G7" s="632">
        <v>6582</v>
      </c>
      <c r="H7" s="632">
        <v>1245</v>
      </c>
      <c r="I7" s="632">
        <v>1580</v>
      </c>
      <c r="J7" s="632">
        <v>7446</v>
      </c>
      <c r="K7" s="632">
        <v>445</v>
      </c>
      <c r="L7" s="632">
        <v>245</v>
      </c>
      <c r="M7" s="632">
        <v>833</v>
      </c>
      <c r="N7" s="494" t="s">
        <v>543</v>
      </c>
      <c r="O7" s="954" t="s">
        <v>543</v>
      </c>
      <c r="P7" s="632">
        <v>32</v>
      </c>
      <c r="Q7" s="632">
        <v>133</v>
      </c>
      <c r="R7" s="632">
        <v>168</v>
      </c>
      <c r="S7" s="632">
        <v>512</v>
      </c>
      <c r="T7" s="632">
        <v>38</v>
      </c>
      <c r="U7" s="632">
        <v>89</v>
      </c>
      <c r="V7" s="632">
        <v>52</v>
      </c>
      <c r="W7" s="632">
        <v>118</v>
      </c>
      <c r="X7" s="632">
        <v>964</v>
      </c>
      <c r="Y7" s="632">
        <v>1383</v>
      </c>
      <c r="Z7" s="632">
        <v>13</v>
      </c>
      <c r="AA7" s="632">
        <v>86</v>
      </c>
      <c r="AB7" s="282" t="s">
        <v>543</v>
      </c>
    </row>
    <row r="8" spans="1:29" s="8" customFormat="1" ht="16.5" customHeight="1">
      <c r="A8" s="222" t="s">
        <v>544</v>
      </c>
      <c r="B8" s="66">
        <v>1676</v>
      </c>
      <c r="C8" s="66">
        <v>3840</v>
      </c>
      <c r="D8" s="66">
        <v>8790</v>
      </c>
      <c r="E8" s="66">
        <v>13953</v>
      </c>
      <c r="F8" s="66">
        <v>7221</v>
      </c>
      <c r="G8" s="66">
        <v>6804</v>
      </c>
      <c r="H8" s="66">
        <v>1369</v>
      </c>
      <c r="I8" s="66">
        <v>1732</v>
      </c>
      <c r="J8" s="66">
        <v>7165</v>
      </c>
      <c r="K8" s="66">
        <v>431</v>
      </c>
      <c r="L8" s="66">
        <v>246</v>
      </c>
      <c r="M8" s="66">
        <v>830</v>
      </c>
      <c r="N8" s="552" t="s">
        <v>544</v>
      </c>
      <c r="O8" s="222" t="s">
        <v>544</v>
      </c>
      <c r="P8" s="66">
        <v>32</v>
      </c>
      <c r="Q8" s="66">
        <v>136</v>
      </c>
      <c r="R8" s="66">
        <v>170</v>
      </c>
      <c r="S8" s="66">
        <v>509</v>
      </c>
      <c r="T8" s="66">
        <v>39</v>
      </c>
      <c r="U8" s="66">
        <v>90</v>
      </c>
      <c r="V8" s="66">
        <v>48</v>
      </c>
      <c r="W8" s="66">
        <v>119</v>
      </c>
      <c r="X8" s="66">
        <v>739</v>
      </c>
      <c r="Y8" s="66">
        <v>1133</v>
      </c>
      <c r="Z8" s="66">
        <v>13</v>
      </c>
      <c r="AA8" s="66">
        <v>86</v>
      </c>
      <c r="AB8" s="552" t="s">
        <v>544</v>
      </c>
    </row>
    <row r="9" spans="1:29" s="8" customFormat="1" ht="16.5" customHeight="1">
      <c r="A9" s="954" t="s">
        <v>545</v>
      </c>
      <c r="B9" s="632">
        <v>1871</v>
      </c>
      <c r="C9" s="632">
        <v>3935</v>
      </c>
      <c r="D9" s="632">
        <v>9552</v>
      </c>
      <c r="E9" s="632">
        <v>14399</v>
      </c>
      <c r="F9" s="632">
        <v>7460</v>
      </c>
      <c r="G9" s="632">
        <v>6876</v>
      </c>
      <c r="H9" s="632">
        <v>1454</v>
      </c>
      <c r="I9" s="632">
        <v>1749</v>
      </c>
      <c r="J9" s="632">
        <v>7520</v>
      </c>
      <c r="K9" s="632">
        <v>434</v>
      </c>
      <c r="L9" s="632">
        <v>249</v>
      </c>
      <c r="M9" s="632">
        <v>831</v>
      </c>
      <c r="N9" s="282" t="s">
        <v>545</v>
      </c>
      <c r="O9" s="954" t="s">
        <v>545</v>
      </c>
      <c r="P9" s="632">
        <v>34</v>
      </c>
      <c r="Q9" s="632">
        <v>136</v>
      </c>
      <c r="R9" s="632">
        <v>171</v>
      </c>
      <c r="S9" s="632">
        <v>510</v>
      </c>
      <c r="T9" s="632">
        <v>38</v>
      </c>
      <c r="U9" s="632">
        <v>86</v>
      </c>
      <c r="V9" s="632">
        <v>53</v>
      </c>
      <c r="W9" s="632">
        <v>119</v>
      </c>
      <c r="X9" s="632">
        <v>883</v>
      </c>
      <c r="Y9" s="632">
        <v>1253</v>
      </c>
      <c r="Z9" s="632">
        <v>14</v>
      </c>
      <c r="AA9" s="632">
        <v>91</v>
      </c>
      <c r="AB9" s="282" t="s">
        <v>545</v>
      </c>
    </row>
    <row r="10" spans="1:29" s="8" customFormat="1" ht="16.5" customHeight="1">
      <c r="A10" s="222" t="s">
        <v>546</v>
      </c>
      <c r="B10" s="66">
        <v>1875</v>
      </c>
      <c r="C10" s="66">
        <v>3868</v>
      </c>
      <c r="D10" s="66">
        <v>8850</v>
      </c>
      <c r="E10" s="66">
        <v>14353</v>
      </c>
      <c r="F10" s="66">
        <v>8137</v>
      </c>
      <c r="G10" s="66">
        <v>7138</v>
      </c>
      <c r="H10" s="66">
        <v>1803</v>
      </c>
      <c r="I10" s="66">
        <v>1988</v>
      </c>
      <c r="J10" s="66">
        <v>7379</v>
      </c>
      <c r="K10" s="66">
        <v>433</v>
      </c>
      <c r="L10" s="66">
        <v>254</v>
      </c>
      <c r="M10" s="66">
        <v>849</v>
      </c>
      <c r="N10" s="552" t="s">
        <v>546</v>
      </c>
      <c r="O10" s="222" t="s">
        <v>546</v>
      </c>
      <c r="P10" s="66">
        <v>34</v>
      </c>
      <c r="Q10" s="66">
        <v>135</v>
      </c>
      <c r="R10" s="66">
        <v>163</v>
      </c>
      <c r="S10" s="66">
        <v>508</v>
      </c>
      <c r="T10" s="66">
        <v>37</v>
      </c>
      <c r="U10" s="66">
        <v>81</v>
      </c>
      <c r="V10" s="66">
        <v>51</v>
      </c>
      <c r="W10" s="66">
        <v>120</v>
      </c>
      <c r="X10" s="66">
        <v>1057</v>
      </c>
      <c r="Y10" s="66">
        <v>1427</v>
      </c>
      <c r="Z10" s="66">
        <v>14</v>
      </c>
      <c r="AA10" s="66">
        <v>86</v>
      </c>
      <c r="AB10" s="552" t="s">
        <v>546</v>
      </c>
    </row>
    <row r="11" spans="1:29" s="8" customFormat="1" ht="16.5" customHeight="1">
      <c r="A11" s="954" t="s">
        <v>547</v>
      </c>
      <c r="B11" s="632">
        <v>1617</v>
      </c>
      <c r="C11" s="632">
        <v>3519</v>
      </c>
      <c r="D11" s="632">
        <v>7736</v>
      </c>
      <c r="E11" s="632">
        <v>12762</v>
      </c>
      <c r="F11" s="632">
        <v>10552</v>
      </c>
      <c r="G11" s="632">
        <v>8715</v>
      </c>
      <c r="H11" s="632">
        <v>1988</v>
      </c>
      <c r="I11" s="632">
        <v>2180</v>
      </c>
      <c r="J11" s="632">
        <v>6951</v>
      </c>
      <c r="K11" s="632">
        <v>430</v>
      </c>
      <c r="L11" s="632">
        <v>253</v>
      </c>
      <c r="M11" s="632">
        <v>850</v>
      </c>
      <c r="N11" s="282" t="s">
        <v>547</v>
      </c>
      <c r="O11" s="954" t="s">
        <v>547</v>
      </c>
      <c r="P11" s="632">
        <v>34</v>
      </c>
      <c r="Q11" s="632">
        <v>137</v>
      </c>
      <c r="R11" s="632">
        <v>165</v>
      </c>
      <c r="S11" s="632">
        <v>508</v>
      </c>
      <c r="T11" s="632">
        <v>29</v>
      </c>
      <c r="U11" s="632">
        <v>78</v>
      </c>
      <c r="V11" s="632">
        <v>56</v>
      </c>
      <c r="W11" s="632">
        <v>120</v>
      </c>
      <c r="X11" s="632">
        <v>812</v>
      </c>
      <c r="Y11" s="632">
        <v>1181</v>
      </c>
      <c r="Z11" s="632" t="s">
        <v>580</v>
      </c>
      <c r="AA11" s="632" t="s">
        <v>580</v>
      </c>
      <c r="AB11" s="282" t="s">
        <v>547</v>
      </c>
    </row>
    <row r="12" spans="1:29" s="8" customFormat="1" ht="16.5" customHeight="1">
      <c r="A12" s="222" t="s">
        <v>548</v>
      </c>
      <c r="B12" s="66">
        <v>1734</v>
      </c>
      <c r="C12" s="66">
        <v>3339</v>
      </c>
      <c r="D12" s="66">
        <v>10305</v>
      </c>
      <c r="E12" s="66">
        <v>14097</v>
      </c>
      <c r="F12" s="66">
        <v>11027</v>
      </c>
      <c r="G12" s="66">
        <v>9024</v>
      </c>
      <c r="H12" s="66">
        <v>1840</v>
      </c>
      <c r="I12" s="66">
        <v>2057</v>
      </c>
      <c r="J12" s="66">
        <v>6910</v>
      </c>
      <c r="K12" s="66">
        <v>421</v>
      </c>
      <c r="L12" s="66">
        <v>249</v>
      </c>
      <c r="M12" s="66">
        <v>812</v>
      </c>
      <c r="N12" s="552" t="s">
        <v>548</v>
      </c>
      <c r="O12" s="222" t="s">
        <v>548</v>
      </c>
      <c r="P12" s="66">
        <v>36</v>
      </c>
      <c r="Q12" s="66">
        <v>136</v>
      </c>
      <c r="R12" s="66">
        <v>128</v>
      </c>
      <c r="S12" s="66">
        <v>412</v>
      </c>
      <c r="T12" s="66">
        <v>35</v>
      </c>
      <c r="U12" s="66">
        <v>88</v>
      </c>
      <c r="V12" s="66">
        <v>46</v>
      </c>
      <c r="W12" s="66">
        <v>120</v>
      </c>
      <c r="X12" s="66">
        <v>711</v>
      </c>
      <c r="Y12" s="66">
        <v>1008</v>
      </c>
      <c r="Z12" s="66" t="s">
        <v>580</v>
      </c>
      <c r="AA12" s="66" t="s">
        <v>580</v>
      </c>
      <c r="AB12" s="552" t="s">
        <v>548</v>
      </c>
    </row>
    <row r="13" spans="1:29" s="8" customFormat="1" ht="16.5" customHeight="1">
      <c r="A13" s="954" t="s">
        <v>549</v>
      </c>
      <c r="B13" s="632">
        <v>1916</v>
      </c>
      <c r="C13" s="632">
        <v>3275</v>
      </c>
      <c r="D13" s="632">
        <v>11249</v>
      </c>
      <c r="E13" s="632">
        <v>14110</v>
      </c>
      <c r="F13" s="632">
        <v>11921</v>
      </c>
      <c r="G13" s="632">
        <v>9296</v>
      </c>
      <c r="H13" s="632">
        <v>1673</v>
      </c>
      <c r="I13" s="632">
        <v>1909</v>
      </c>
      <c r="J13" s="632">
        <v>6742</v>
      </c>
      <c r="K13" s="632">
        <v>417</v>
      </c>
      <c r="L13" s="632">
        <v>238</v>
      </c>
      <c r="M13" s="632">
        <v>785</v>
      </c>
      <c r="N13" s="282" t="s">
        <v>549</v>
      </c>
      <c r="O13" s="954" t="s">
        <v>549</v>
      </c>
      <c r="P13" s="632">
        <v>34</v>
      </c>
      <c r="Q13" s="632">
        <v>130</v>
      </c>
      <c r="R13" s="632">
        <v>126</v>
      </c>
      <c r="S13" s="632">
        <v>406</v>
      </c>
      <c r="T13" s="632">
        <v>37</v>
      </c>
      <c r="U13" s="632">
        <v>74</v>
      </c>
      <c r="V13" s="632">
        <v>52</v>
      </c>
      <c r="W13" s="632">
        <v>120</v>
      </c>
      <c r="X13" s="632">
        <v>821</v>
      </c>
      <c r="Y13" s="632">
        <v>1107</v>
      </c>
      <c r="Z13" s="632">
        <v>27</v>
      </c>
      <c r="AA13" s="632">
        <v>40</v>
      </c>
      <c r="AB13" s="282" t="s">
        <v>549</v>
      </c>
    </row>
    <row r="14" spans="1:29" s="8" customFormat="1" ht="16.5" customHeight="1">
      <c r="A14" s="222" t="s">
        <v>550</v>
      </c>
      <c r="B14" s="66">
        <v>1808</v>
      </c>
      <c r="C14" s="66">
        <v>3069</v>
      </c>
      <c r="D14" s="66">
        <v>10726</v>
      </c>
      <c r="E14" s="66">
        <v>13955</v>
      </c>
      <c r="F14" s="66">
        <v>11766</v>
      </c>
      <c r="G14" s="66">
        <v>9319</v>
      </c>
      <c r="H14" s="66">
        <v>1606</v>
      </c>
      <c r="I14" s="66">
        <v>1833</v>
      </c>
      <c r="J14" s="66">
        <v>6502</v>
      </c>
      <c r="K14" s="66">
        <v>402</v>
      </c>
      <c r="L14" s="66">
        <v>233</v>
      </c>
      <c r="M14" s="66">
        <v>749</v>
      </c>
      <c r="N14" s="552" t="s">
        <v>550</v>
      </c>
      <c r="O14" s="222" t="s">
        <v>550</v>
      </c>
      <c r="P14" s="66">
        <v>34</v>
      </c>
      <c r="Q14" s="66">
        <v>112</v>
      </c>
      <c r="R14" s="66">
        <v>115</v>
      </c>
      <c r="S14" s="66">
        <v>388</v>
      </c>
      <c r="T14" s="66">
        <v>38</v>
      </c>
      <c r="U14" s="66">
        <v>75</v>
      </c>
      <c r="V14" s="66">
        <v>52</v>
      </c>
      <c r="W14" s="66">
        <v>122</v>
      </c>
      <c r="X14" s="66">
        <v>859</v>
      </c>
      <c r="Y14" s="66">
        <v>1128</v>
      </c>
      <c r="Z14" s="66">
        <v>30</v>
      </c>
      <c r="AA14" s="66">
        <v>42</v>
      </c>
      <c r="AB14" s="552" t="s">
        <v>550</v>
      </c>
    </row>
    <row r="15" spans="1:29" s="8" customFormat="1" ht="16.5" customHeight="1">
      <c r="A15" s="954" t="s">
        <v>551</v>
      </c>
      <c r="B15" s="632">
        <v>1850</v>
      </c>
      <c r="C15" s="632">
        <v>3073</v>
      </c>
      <c r="D15" s="632">
        <v>11115</v>
      </c>
      <c r="E15" s="632">
        <v>14041</v>
      </c>
      <c r="F15" s="632">
        <v>12222</v>
      </c>
      <c r="G15" s="632">
        <v>9501</v>
      </c>
      <c r="H15" s="632">
        <v>1507</v>
      </c>
      <c r="I15" s="632">
        <v>1746</v>
      </c>
      <c r="J15" s="632">
        <v>6838</v>
      </c>
      <c r="K15" s="632">
        <v>410</v>
      </c>
      <c r="L15" s="632">
        <v>218</v>
      </c>
      <c r="M15" s="632">
        <v>735</v>
      </c>
      <c r="N15" s="282" t="s">
        <v>551</v>
      </c>
      <c r="O15" s="954" t="s">
        <v>551</v>
      </c>
      <c r="P15" s="632">
        <v>30</v>
      </c>
      <c r="Q15" s="632">
        <v>109</v>
      </c>
      <c r="R15" s="632">
        <v>116</v>
      </c>
      <c r="S15" s="632">
        <v>381</v>
      </c>
      <c r="T15" s="632">
        <v>38</v>
      </c>
      <c r="U15" s="632">
        <v>75</v>
      </c>
      <c r="V15" s="632">
        <v>58</v>
      </c>
      <c r="W15" s="632">
        <v>126</v>
      </c>
      <c r="X15" s="632">
        <v>800</v>
      </c>
      <c r="Y15" s="632">
        <v>1079</v>
      </c>
      <c r="Z15" s="632">
        <v>24</v>
      </c>
      <c r="AA15" s="632">
        <v>38</v>
      </c>
      <c r="AB15" s="282" t="s">
        <v>551</v>
      </c>
    </row>
    <row r="16" spans="1:29" s="8" customFormat="1" ht="16.5" customHeight="1">
      <c r="A16" s="222" t="s">
        <v>552</v>
      </c>
      <c r="B16" s="66">
        <v>1832</v>
      </c>
      <c r="C16" s="66">
        <v>2971</v>
      </c>
      <c r="D16" s="66">
        <v>11521</v>
      </c>
      <c r="E16" s="66">
        <v>14030</v>
      </c>
      <c r="F16" s="66">
        <v>12837</v>
      </c>
      <c r="G16" s="66">
        <v>9745</v>
      </c>
      <c r="H16" s="66">
        <v>1253</v>
      </c>
      <c r="I16" s="66">
        <v>1586</v>
      </c>
      <c r="J16" s="66">
        <v>6484</v>
      </c>
      <c r="K16" s="66">
        <v>404</v>
      </c>
      <c r="L16" s="66">
        <v>211</v>
      </c>
      <c r="M16" s="66">
        <v>690</v>
      </c>
      <c r="N16" s="552" t="s">
        <v>552</v>
      </c>
      <c r="O16" s="222" t="s">
        <v>552</v>
      </c>
      <c r="P16" s="66">
        <v>30</v>
      </c>
      <c r="Q16" s="66">
        <v>108</v>
      </c>
      <c r="R16" s="66">
        <v>122</v>
      </c>
      <c r="S16" s="66">
        <v>382</v>
      </c>
      <c r="T16" s="66">
        <v>39</v>
      </c>
      <c r="U16" s="66">
        <v>75</v>
      </c>
      <c r="V16" s="66">
        <v>57</v>
      </c>
      <c r="W16" s="66">
        <v>126</v>
      </c>
      <c r="X16" s="66">
        <v>794</v>
      </c>
      <c r="Y16" s="66">
        <v>1008</v>
      </c>
      <c r="Z16" s="66">
        <v>78</v>
      </c>
      <c r="AA16" s="66">
        <v>38</v>
      </c>
      <c r="AB16" s="552" t="s">
        <v>552</v>
      </c>
    </row>
    <row r="17" spans="1:30" s="8" customFormat="1" ht="16.5" customHeight="1">
      <c r="A17" s="954" t="s">
        <v>553</v>
      </c>
      <c r="B17" s="632">
        <v>1500</v>
      </c>
      <c r="C17" s="632">
        <v>2532</v>
      </c>
      <c r="D17" s="632">
        <v>9820</v>
      </c>
      <c r="E17" s="632">
        <v>13047</v>
      </c>
      <c r="F17" s="632">
        <v>13837</v>
      </c>
      <c r="G17" s="632">
        <v>10042</v>
      </c>
      <c r="H17" s="632">
        <v>976</v>
      </c>
      <c r="I17" s="632">
        <v>1380</v>
      </c>
      <c r="J17" s="632">
        <v>6423</v>
      </c>
      <c r="K17" s="632">
        <v>388</v>
      </c>
      <c r="L17" s="632">
        <v>191</v>
      </c>
      <c r="M17" s="632">
        <v>597</v>
      </c>
      <c r="N17" s="282" t="s">
        <v>553</v>
      </c>
      <c r="O17" s="954" t="s">
        <v>553</v>
      </c>
      <c r="P17" s="632">
        <v>18</v>
      </c>
      <c r="Q17" s="632">
        <v>60</v>
      </c>
      <c r="R17" s="632">
        <v>121</v>
      </c>
      <c r="S17" s="632">
        <v>380</v>
      </c>
      <c r="T17" s="632">
        <v>38</v>
      </c>
      <c r="U17" s="632">
        <v>78</v>
      </c>
      <c r="V17" s="632">
        <v>58</v>
      </c>
      <c r="W17" s="632">
        <v>132</v>
      </c>
      <c r="X17" s="632">
        <v>1035</v>
      </c>
      <c r="Y17" s="632">
        <v>965</v>
      </c>
      <c r="Z17" s="632">
        <v>3</v>
      </c>
      <c r="AA17" s="632">
        <v>4</v>
      </c>
      <c r="AB17" s="282" t="s">
        <v>553</v>
      </c>
    </row>
    <row r="18" spans="1:30" s="8" customFormat="1" ht="16.5" customHeight="1">
      <c r="A18" s="222" t="s">
        <v>558</v>
      </c>
      <c r="B18" s="66">
        <v>1754</v>
      </c>
      <c r="C18" s="66">
        <v>2556</v>
      </c>
      <c r="D18" s="66">
        <v>10810</v>
      </c>
      <c r="E18" s="66">
        <v>13416</v>
      </c>
      <c r="F18" s="66">
        <v>13975</v>
      </c>
      <c r="G18" s="66">
        <v>10047</v>
      </c>
      <c r="H18" s="66">
        <v>735</v>
      </c>
      <c r="I18" s="66">
        <v>1184</v>
      </c>
      <c r="J18" s="66">
        <v>5511</v>
      </c>
      <c r="K18" s="66">
        <v>377</v>
      </c>
      <c r="L18" s="66">
        <v>183</v>
      </c>
      <c r="M18" s="66">
        <v>536</v>
      </c>
      <c r="N18" s="552" t="s">
        <v>558</v>
      </c>
      <c r="O18" s="953" t="s">
        <v>558</v>
      </c>
      <c r="P18" s="200">
        <v>17</v>
      </c>
      <c r="Q18" s="200">
        <v>55</v>
      </c>
      <c r="R18" s="200">
        <v>115</v>
      </c>
      <c r="S18" s="200">
        <v>333</v>
      </c>
      <c r="T18" s="200">
        <v>43</v>
      </c>
      <c r="U18" s="200">
        <v>78</v>
      </c>
      <c r="V18" s="200">
        <v>58</v>
      </c>
      <c r="W18" s="200">
        <v>130</v>
      </c>
      <c r="X18" s="201">
        <v>838</v>
      </c>
      <c r="Y18" s="201">
        <v>993</v>
      </c>
      <c r="Z18" s="200">
        <v>18</v>
      </c>
      <c r="AA18" s="200">
        <v>26</v>
      </c>
      <c r="AB18" s="233" t="s">
        <v>558</v>
      </c>
    </row>
    <row r="19" spans="1:30" s="8" customFormat="1" ht="16.5" customHeight="1">
      <c r="A19" s="954" t="s">
        <v>567</v>
      </c>
      <c r="B19" s="632">
        <v>1512</v>
      </c>
      <c r="C19" s="632">
        <v>2238</v>
      </c>
      <c r="D19" s="632">
        <v>10841</v>
      </c>
      <c r="E19" s="632">
        <v>13382</v>
      </c>
      <c r="F19" s="632">
        <v>14965</v>
      </c>
      <c r="G19" s="632">
        <v>10522</v>
      </c>
      <c r="H19" s="632">
        <v>737</v>
      </c>
      <c r="I19" s="632">
        <v>988</v>
      </c>
      <c r="J19" s="632">
        <v>5770</v>
      </c>
      <c r="K19" s="632">
        <v>371</v>
      </c>
      <c r="L19" s="632">
        <v>189</v>
      </c>
      <c r="M19" s="632">
        <v>520</v>
      </c>
      <c r="N19" s="282" t="s">
        <v>567</v>
      </c>
      <c r="O19" s="954" t="s">
        <v>567</v>
      </c>
      <c r="P19" s="632">
        <v>19</v>
      </c>
      <c r="Q19" s="632">
        <v>60</v>
      </c>
      <c r="R19" s="632">
        <v>117</v>
      </c>
      <c r="S19" s="632">
        <v>340</v>
      </c>
      <c r="T19" s="632">
        <v>39</v>
      </c>
      <c r="U19" s="632">
        <v>76</v>
      </c>
      <c r="V19" s="255">
        <v>58</v>
      </c>
      <c r="W19" s="255">
        <v>129</v>
      </c>
      <c r="X19" s="632">
        <v>879</v>
      </c>
      <c r="Y19" s="632">
        <v>1034</v>
      </c>
      <c r="Z19" s="632">
        <v>18</v>
      </c>
      <c r="AA19" s="632">
        <v>25</v>
      </c>
      <c r="AB19" s="282" t="s">
        <v>567</v>
      </c>
    </row>
    <row r="20" spans="1:30" s="9" customFormat="1" ht="16.5" customHeight="1">
      <c r="A20" s="953" t="s">
        <v>330</v>
      </c>
      <c r="B20" s="200">
        <v>1507</v>
      </c>
      <c r="C20" s="200">
        <v>2270</v>
      </c>
      <c r="D20" s="200">
        <v>9662</v>
      </c>
      <c r="E20" s="200">
        <v>12474</v>
      </c>
      <c r="F20" s="200">
        <v>17762</v>
      </c>
      <c r="G20" s="200">
        <v>11386</v>
      </c>
      <c r="H20" s="200">
        <v>844</v>
      </c>
      <c r="I20" s="200">
        <v>958</v>
      </c>
      <c r="J20" s="200">
        <v>4984</v>
      </c>
      <c r="K20" s="200">
        <v>320</v>
      </c>
      <c r="L20" s="201">
        <v>228</v>
      </c>
      <c r="M20" s="201">
        <v>577</v>
      </c>
      <c r="N20" s="233" t="s">
        <v>330</v>
      </c>
      <c r="O20" s="953" t="s">
        <v>330</v>
      </c>
      <c r="P20" s="200">
        <v>21</v>
      </c>
      <c r="Q20" s="200">
        <v>60</v>
      </c>
      <c r="R20" s="201">
        <v>72</v>
      </c>
      <c r="S20" s="201">
        <v>179</v>
      </c>
      <c r="T20" s="200">
        <v>40</v>
      </c>
      <c r="U20" s="200">
        <v>72</v>
      </c>
      <c r="V20" s="201">
        <v>59</v>
      </c>
      <c r="W20" s="201">
        <v>133</v>
      </c>
      <c r="X20" s="200">
        <v>832</v>
      </c>
      <c r="Y20" s="200">
        <v>1089</v>
      </c>
      <c r="Z20" s="201">
        <v>15</v>
      </c>
      <c r="AA20" s="201">
        <v>22</v>
      </c>
      <c r="AB20" s="233" t="s">
        <v>330</v>
      </c>
    </row>
    <row r="21" spans="1:30" s="9" customFormat="1" ht="16.5" customHeight="1">
      <c r="A21" s="954" t="s">
        <v>85</v>
      </c>
      <c r="B21" s="632">
        <v>1895</v>
      </c>
      <c r="C21" s="632">
        <v>2633</v>
      </c>
      <c r="D21" s="632">
        <v>11613</v>
      </c>
      <c r="E21" s="632">
        <v>13585</v>
      </c>
      <c r="F21" s="632">
        <v>17809</v>
      </c>
      <c r="G21" s="632">
        <v>11654</v>
      </c>
      <c r="H21" s="632">
        <v>849</v>
      </c>
      <c r="I21" s="632">
        <v>975</v>
      </c>
      <c r="J21" s="632">
        <v>5232</v>
      </c>
      <c r="K21" s="632">
        <v>312</v>
      </c>
      <c r="L21" s="632">
        <v>228</v>
      </c>
      <c r="M21" s="632">
        <v>578</v>
      </c>
      <c r="N21" s="282" t="s">
        <v>85</v>
      </c>
      <c r="O21" s="954" t="s">
        <v>85</v>
      </c>
      <c r="P21" s="632">
        <v>18</v>
      </c>
      <c r="Q21" s="632">
        <v>54</v>
      </c>
      <c r="R21" s="632">
        <v>61</v>
      </c>
      <c r="S21" s="632">
        <v>175</v>
      </c>
      <c r="T21" s="632">
        <v>40</v>
      </c>
      <c r="U21" s="632">
        <v>74</v>
      </c>
      <c r="V21" s="632">
        <v>59</v>
      </c>
      <c r="W21" s="632">
        <v>134</v>
      </c>
      <c r="X21" s="632">
        <v>842</v>
      </c>
      <c r="Y21" s="632">
        <v>1039</v>
      </c>
      <c r="Z21" s="632">
        <v>12</v>
      </c>
      <c r="AA21" s="632">
        <v>18</v>
      </c>
      <c r="AB21" s="282" t="s">
        <v>85</v>
      </c>
    </row>
    <row r="22" spans="1:30" s="9" customFormat="1" ht="16.5" customHeight="1">
      <c r="A22" s="953" t="s">
        <v>81</v>
      </c>
      <c r="B22" s="200">
        <v>1709</v>
      </c>
      <c r="C22" s="200">
        <v>2431</v>
      </c>
      <c r="D22" s="200">
        <v>12207</v>
      </c>
      <c r="E22" s="200">
        <v>13993</v>
      </c>
      <c r="F22" s="200">
        <v>18059</v>
      </c>
      <c r="G22" s="200">
        <v>11631</v>
      </c>
      <c r="H22" s="200">
        <v>901</v>
      </c>
      <c r="I22" s="200">
        <v>930</v>
      </c>
      <c r="J22" s="200">
        <v>4491</v>
      </c>
      <c r="K22" s="200">
        <v>290</v>
      </c>
      <c r="L22" s="200">
        <v>222</v>
      </c>
      <c r="M22" s="200">
        <v>608</v>
      </c>
      <c r="N22" s="233" t="s">
        <v>81</v>
      </c>
      <c r="O22" s="953" t="s">
        <v>81</v>
      </c>
      <c r="P22" s="200">
        <v>20</v>
      </c>
      <c r="Q22" s="200">
        <v>57</v>
      </c>
      <c r="R22" s="200">
        <v>71</v>
      </c>
      <c r="S22" s="200">
        <v>191</v>
      </c>
      <c r="T22" s="200">
        <v>55</v>
      </c>
      <c r="U22" s="200">
        <v>95</v>
      </c>
      <c r="V22" s="200">
        <v>68</v>
      </c>
      <c r="W22" s="200">
        <v>136</v>
      </c>
      <c r="X22" s="200">
        <v>916</v>
      </c>
      <c r="Y22" s="200">
        <v>1029</v>
      </c>
      <c r="Z22" s="200">
        <v>20</v>
      </c>
      <c r="AA22" s="200">
        <v>24</v>
      </c>
      <c r="AB22" s="233" t="s">
        <v>81</v>
      </c>
    </row>
    <row r="23" spans="1:30" s="8" customFormat="1" ht="16.5" customHeight="1">
      <c r="A23" s="954" t="s">
        <v>189</v>
      </c>
      <c r="B23" s="632">
        <v>2133</v>
      </c>
      <c r="C23" s="632">
        <v>2750</v>
      </c>
      <c r="D23" s="255">
        <v>12792</v>
      </c>
      <c r="E23" s="255">
        <v>13951</v>
      </c>
      <c r="F23" s="255">
        <v>18617</v>
      </c>
      <c r="G23" s="255">
        <v>11788</v>
      </c>
      <c r="H23" s="255">
        <v>972</v>
      </c>
      <c r="I23" s="255">
        <v>923</v>
      </c>
      <c r="J23" s="255">
        <v>4671</v>
      </c>
      <c r="K23" s="255">
        <v>287</v>
      </c>
      <c r="L23" s="255">
        <v>246</v>
      </c>
      <c r="M23" s="255">
        <v>623</v>
      </c>
      <c r="N23" s="312" t="s">
        <v>189</v>
      </c>
      <c r="O23" s="283" t="s">
        <v>189</v>
      </c>
      <c r="P23" s="255">
        <v>19</v>
      </c>
      <c r="Q23" s="255">
        <v>68</v>
      </c>
      <c r="R23" s="255">
        <v>80</v>
      </c>
      <c r="S23" s="255">
        <v>205</v>
      </c>
      <c r="T23" s="255">
        <v>79</v>
      </c>
      <c r="U23" s="255">
        <v>121</v>
      </c>
      <c r="V23" s="255">
        <v>61</v>
      </c>
      <c r="W23" s="255">
        <v>140</v>
      </c>
      <c r="X23" s="255">
        <v>1511</v>
      </c>
      <c r="Y23" s="255">
        <v>1751</v>
      </c>
      <c r="Z23" s="255">
        <v>14</v>
      </c>
      <c r="AA23" s="255">
        <v>24</v>
      </c>
      <c r="AB23" s="312" t="s">
        <v>189</v>
      </c>
    </row>
    <row r="24" spans="1:30" s="8" customFormat="1" ht="16.5" customHeight="1">
      <c r="A24" s="953" t="s">
        <v>701</v>
      </c>
      <c r="B24" s="200">
        <v>2332</v>
      </c>
      <c r="C24" s="200">
        <v>2812</v>
      </c>
      <c r="D24" s="230">
        <v>12798</v>
      </c>
      <c r="E24" s="230">
        <v>13789</v>
      </c>
      <c r="F24" s="230">
        <v>18759</v>
      </c>
      <c r="G24" s="230">
        <v>11886</v>
      </c>
      <c r="H24" s="230">
        <v>995</v>
      </c>
      <c r="I24" s="230">
        <v>885</v>
      </c>
      <c r="J24" s="230">
        <v>4603</v>
      </c>
      <c r="K24" s="230">
        <v>279</v>
      </c>
      <c r="L24" s="230">
        <v>262</v>
      </c>
      <c r="M24" s="230">
        <v>682</v>
      </c>
      <c r="N24" s="336" t="s">
        <v>701</v>
      </c>
      <c r="O24" s="229" t="s">
        <v>701</v>
      </c>
      <c r="P24" s="230">
        <v>26</v>
      </c>
      <c r="Q24" s="230">
        <v>91</v>
      </c>
      <c r="R24" s="230">
        <v>80</v>
      </c>
      <c r="S24" s="230">
        <v>213</v>
      </c>
      <c r="T24" s="230">
        <v>85</v>
      </c>
      <c r="U24" s="230">
        <v>126</v>
      </c>
      <c r="V24" s="230">
        <v>61</v>
      </c>
      <c r="W24" s="230">
        <v>143</v>
      </c>
      <c r="X24" s="230">
        <v>1441</v>
      </c>
      <c r="Y24" s="230">
        <v>1878</v>
      </c>
      <c r="Z24" s="230">
        <v>16</v>
      </c>
      <c r="AA24" s="230">
        <v>25</v>
      </c>
      <c r="AB24" s="336" t="s">
        <v>701</v>
      </c>
    </row>
    <row r="25" spans="1:30" s="8" customFormat="1" ht="16.5" customHeight="1">
      <c r="A25" s="954" t="s">
        <v>809</v>
      </c>
      <c r="B25" s="632">
        <v>2158</v>
      </c>
      <c r="C25" s="632">
        <v>2602</v>
      </c>
      <c r="D25" s="255">
        <v>12897</v>
      </c>
      <c r="E25" s="255">
        <v>13863</v>
      </c>
      <c r="F25" s="255">
        <v>18778</v>
      </c>
      <c r="G25" s="255">
        <v>11763</v>
      </c>
      <c r="H25" s="255">
        <v>1255</v>
      </c>
      <c r="I25" s="255">
        <v>1029</v>
      </c>
      <c r="J25" s="255">
        <v>4469</v>
      </c>
      <c r="K25" s="255">
        <v>270</v>
      </c>
      <c r="L25" s="255">
        <v>294</v>
      </c>
      <c r="M25" s="255">
        <v>728</v>
      </c>
      <c r="N25" s="312" t="s">
        <v>809</v>
      </c>
      <c r="O25" s="283" t="s">
        <v>809</v>
      </c>
      <c r="P25" s="255">
        <v>25</v>
      </c>
      <c r="Q25" s="255">
        <v>87</v>
      </c>
      <c r="R25" s="255">
        <v>93</v>
      </c>
      <c r="S25" s="255">
        <v>222</v>
      </c>
      <c r="T25" s="255">
        <v>79</v>
      </c>
      <c r="U25" s="255">
        <v>119</v>
      </c>
      <c r="V25" s="255">
        <v>63</v>
      </c>
      <c r="W25" s="255">
        <v>144</v>
      </c>
      <c r="X25" s="255">
        <v>1370</v>
      </c>
      <c r="Y25" s="255">
        <v>1683</v>
      </c>
      <c r="Z25" s="255">
        <v>20</v>
      </c>
      <c r="AA25" s="255">
        <v>31</v>
      </c>
      <c r="AB25" s="312" t="s">
        <v>809</v>
      </c>
    </row>
    <row r="26" spans="1:30" s="8" customFormat="1" ht="16.5" customHeight="1">
      <c r="A26" s="953" t="s">
        <v>982</v>
      </c>
      <c r="B26" s="200">
        <v>2326</v>
      </c>
      <c r="C26" s="200">
        <v>2598</v>
      </c>
      <c r="D26" s="230">
        <v>13023</v>
      </c>
      <c r="E26" s="230">
        <v>13666</v>
      </c>
      <c r="F26" s="230">
        <v>19007</v>
      </c>
      <c r="G26" s="230">
        <v>11837</v>
      </c>
      <c r="H26" s="230">
        <v>1303</v>
      </c>
      <c r="I26" s="230">
        <v>1062</v>
      </c>
      <c r="J26" s="230">
        <v>4508</v>
      </c>
      <c r="K26" s="230">
        <v>265</v>
      </c>
      <c r="L26" s="230">
        <v>296</v>
      </c>
      <c r="M26" s="230">
        <v>724</v>
      </c>
      <c r="N26" s="336" t="s">
        <v>982</v>
      </c>
      <c r="O26" s="229" t="s">
        <v>982</v>
      </c>
      <c r="P26" s="230">
        <v>32</v>
      </c>
      <c r="Q26" s="230">
        <v>97</v>
      </c>
      <c r="R26" s="230">
        <v>157</v>
      </c>
      <c r="S26" s="230">
        <v>308</v>
      </c>
      <c r="T26" s="230">
        <v>85</v>
      </c>
      <c r="U26" s="230">
        <v>124</v>
      </c>
      <c r="V26" s="230">
        <v>67</v>
      </c>
      <c r="W26" s="230">
        <v>148</v>
      </c>
      <c r="X26" s="230">
        <v>1338</v>
      </c>
      <c r="Y26" s="230">
        <v>1645</v>
      </c>
      <c r="Z26" s="230">
        <v>19</v>
      </c>
      <c r="AA26" s="230">
        <v>28</v>
      </c>
      <c r="AB26" s="336" t="s">
        <v>982</v>
      </c>
    </row>
    <row r="27" spans="1:30" s="8" customFormat="1" ht="16.5" customHeight="1">
      <c r="A27" s="954" t="s">
        <v>1033</v>
      </c>
      <c r="B27" s="632">
        <v>2328</v>
      </c>
      <c r="C27" s="632">
        <v>2583</v>
      </c>
      <c r="D27" s="255">
        <v>13190</v>
      </c>
      <c r="E27" s="255">
        <v>13665</v>
      </c>
      <c r="F27" s="255">
        <v>19192</v>
      </c>
      <c r="G27" s="255">
        <v>11961</v>
      </c>
      <c r="H27" s="255">
        <v>1348</v>
      </c>
      <c r="I27" s="255">
        <v>1079</v>
      </c>
      <c r="J27" s="255">
        <v>4434</v>
      </c>
      <c r="K27" s="255">
        <v>257</v>
      </c>
      <c r="L27" s="255">
        <v>359</v>
      </c>
      <c r="M27" s="255">
        <v>803</v>
      </c>
      <c r="N27" s="282" t="s">
        <v>1033</v>
      </c>
      <c r="O27" s="954" t="s">
        <v>1033</v>
      </c>
      <c r="P27" s="255">
        <v>33</v>
      </c>
      <c r="Q27" s="255">
        <v>96</v>
      </c>
      <c r="R27" s="255">
        <v>167</v>
      </c>
      <c r="S27" s="255">
        <v>359</v>
      </c>
      <c r="T27" s="255">
        <v>94</v>
      </c>
      <c r="U27" s="255">
        <v>127</v>
      </c>
      <c r="V27" s="255">
        <v>66</v>
      </c>
      <c r="W27" s="255">
        <v>149</v>
      </c>
      <c r="X27" s="255">
        <v>1350</v>
      </c>
      <c r="Y27" s="255">
        <v>1662</v>
      </c>
      <c r="Z27" s="255">
        <v>30</v>
      </c>
      <c r="AA27" s="255">
        <v>33</v>
      </c>
      <c r="AB27" s="282" t="s">
        <v>1033</v>
      </c>
    </row>
    <row r="28" spans="1:30" s="8" customFormat="1" ht="16.5" customHeight="1">
      <c r="A28" s="953" t="s">
        <v>1154</v>
      </c>
      <c r="B28" s="200">
        <v>2289</v>
      </c>
      <c r="C28" s="200">
        <v>2516</v>
      </c>
      <c r="D28" s="230">
        <v>13483</v>
      </c>
      <c r="E28" s="230">
        <v>13814</v>
      </c>
      <c r="F28" s="230">
        <v>18938</v>
      </c>
      <c r="G28" s="230">
        <v>11794</v>
      </c>
      <c r="H28" s="230">
        <v>1348</v>
      </c>
      <c r="I28" s="230">
        <v>1099</v>
      </c>
      <c r="J28" s="200">
        <v>4207</v>
      </c>
      <c r="K28" s="200">
        <v>243</v>
      </c>
      <c r="L28" s="200">
        <v>362</v>
      </c>
      <c r="M28" s="200">
        <v>787</v>
      </c>
      <c r="N28" s="233" t="s">
        <v>1154</v>
      </c>
      <c r="O28" s="953" t="s">
        <v>1154</v>
      </c>
      <c r="P28" s="200">
        <v>37</v>
      </c>
      <c r="Q28" s="200">
        <v>101</v>
      </c>
      <c r="R28" s="200">
        <v>158</v>
      </c>
      <c r="S28" s="200">
        <v>382</v>
      </c>
      <c r="T28" s="200">
        <v>88</v>
      </c>
      <c r="U28" s="200">
        <v>115</v>
      </c>
      <c r="V28" s="200">
        <v>64</v>
      </c>
      <c r="W28" s="200">
        <v>148</v>
      </c>
      <c r="X28" s="230">
        <v>1361</v>
      </c>
      <c r="Y28" s="230">
        <v>1675</v>
      </c>
      <c r="Z28" s="200">
        <v>33</v>
      </c>
      <c r="AA28" s="200">
        <v>34</v>
      </c>
      <c r="AB28" s="233" t="s">
        <v>1154</v>
      </c>
    </row>
    <row r="29" spans="1:30" s="8" customFormat="1" ht="16.5" customHeight="1">
      <c r="A29" s="954" t="s">
        <v>1178</v>
      </c>
      <c r="B29" s="632">
        <v>2134</v>
      </c>
      <c r="C29" s="632">
        <v>2327</v>
      </c>
      <c r="D29" s="255">
        <v>13656</v>
      </c>
      <c r="E29" s="255">
        <v>13797</v>
      </c>
      <c r="F29" s="255">
        <v>18014</v>
      </c>
      <c r="G29" s="255">
        <v>11060</v>
      </c>
      <c r="H29" s="255">
        <v>1311</v>
      </c>
      <c r="I29" s="255">
        <v>1026</v>
      </c>
      <c r="J29" s="632">
        <v>3862</v>
      </c>
      <c r="K29" s="632">
        <v>227</v>
      </c>
      <c r="L29" s="632">
        <v>363</v>
      </c>
      <c r="M29" s="632">
        <v>831</v>
      </c>
      <c r="N29" s="282" t="s">
        <v>1178</v>
      </c>
      <c r="O29" s="954" t="s">
        <v>1178</v>
      </c>
      <c r="P29" s="632">
        <v>35</v>
      </c>
      <c r="Q29" s="632">
        <v>102</v>
      </c>
      <c r="R29" s="632">
        <v>169</v>
      </c>
      <c r="S29" s="632">
        <v>382</v>
      </c>
      <c r="T29" s="632">
        <v>91</v>
      </c>
      <c r="U29" s="632">
        <v>113</v>
      </c>
      <c r="V29" s="632">
        <v>82</v>
      </c>
      <c r="W29" s="632">
        <v>133</v>
      </c>
      <c r="X29" s="255">
        <v>1484</v>
      </c>
      <c r="Y29" s="255">
        <v>1823</v>
      </c>
      <c r="Z29" s="632">
        <v>31</v>
      </c>
      <c r="AA29" s="632">
        <v>32</v>
      </c>
      <c r="AB29" s="282" t="s">
        <v>1178</v>
      </c>
    </row>
    <row r="30" spans="1:30" s="153" customFormat="1" ht="16.5" customHeight="1">
      <c r="A30" s="953" t="s">
        <v>1298</v>
      </c>
      <c r="B30" s="200">
        <v>2710</v>
      </c>
      <c r="C30" s="200">
        <v>2657</v>
      </c>
      <c r="D30" s="230">
        <v>13993</v>
      </c>
      <c r="E30" s="230">
        <v>14035</v>
      </c>
      <c r="F30" s="230">
        <v>19576</v>
      </c>
      <c r="G30" s="230">
        <v>12008</v>
      </c>
      <c r="H30" s="230">
        <v>1099</v>
      </c>
      <c r="I30" s="230">
        <v>868</v>
      </c>
      <c r="J30" s="200">
        <v>3639</v>
      </c>
      <c r="K30" s="200">
        <v>223</v>
      </c>
      <c r="L30" s="200">
        <v>352</v>
      </c>
      <c r="M30" s="200">
        <v>760</v>
      </c>
      <c r="N30" s="233" t="s">
        <v>1298</v>
      </c>
      <c r="O30" s="953" t="s">
        <v>1298</v>
      </c>
      <c r="P30" s="200">
        <v>34</v>
      </c>
      <c r="Q30" s="200">
        <v>93</v>
      </c>
      <c r="R30" s="200">
        <v>177</v>
      </c>
      <c r="S30" s="200">
        <v>386</v>
      </c>
      <c r="T30" s="200">
        <v>89</v>
      </c>
      <c r="U30" s="200">
        <v>105</v>
      </c>
      <c r="V30" s="200">
        <v>78</v>
      </c>
      <c r="W30" s="200">
        <v>133</v>
      </c>
      <c r="X30" s="230">
        <v>1601</v>
      </c>
      <c r="Y30" s="230">
        <v>1874</v>
      </c>
      <c r="Z30" s="200">
        <v>31</v>
      </c>
      <c r="AA30" s="200">
        <v>32</v>
      </c>
      <c r="AB30" s="233" t="s">
        <v>1298</v>
      </c>
    </row>
    <row r="31" spans="1:30" s="153" customFormat="1" ht="16.5" customHeight="1">
      <c r="A31" s="954" t="s">
        <v>1407</v>
      </c>
      <c r="B31" s="632">
        <v>2775</v>
      </c>
      <c r="C31" s="632">
        <v>2731</v>
      </c>
      <c r="D31" s="255">
        <v>14055</v>
      </c>
      <c r="E31" s="255">
        <v>13892</v>
      </c>
      <c r="F31" s="255">
        <v>19561</v>
      </c>
      <c r="G31" s="255">
        <v>11832</v>
      </c>
      <c r="H31" s="255">
        <v>1017</v>
      </c>
      <c r="I31" s="255">
        <v>816</v>
      </c>
      <c r="J31" s="632">
        <v>3142</v>
      </c>
      <c r="K31" s="632">
        <v>200</v>
      </c>
      <c r="L31" s="632">
        <v>312</v>
      </c>
      <c r="M31" s="632">
        <v>667</v>
      </c>
      <c r="N31" s="282" t="s">
        <v>1407</v>
      </c>
      <c r="O31" s="954" t="s">
        <v>1407</v>
      </c>
      <c r="P31" s="632">
        <v>34</v>
      </c>
      <c r="Q31" s="632">
        <v>102</v>
      </c>
      <c r="R31" s="632">
        <v>175</v>
      </c>
      <c r="S31" s="632">
        <v>352</v>
      </c>
      <c r="T31" s="632">
        <v>129</v>
      </c>
      <c r="U31" s="632">
        <v>147</v>
      </c>
      <c r="V31" s="632">
        <v>91</v>
      </c>
      <c r="W31" s="632">
        <v>133</v>
      </c>
      <c r="X31" s="255">
        <v>1544</v>
      </c>
      <c r="Y31" s="255">
        <v>1852</v>
      </c>
      <c r="Z31" s="632">
        <v>100</v>
      </c>
      <c r="AA31" s="632">
        <v>31</v>
      </c>
      <c r="AB31" s="282" t="s">
        <v>1407</v>
      </c>
    </row>
    <row r="32" spans="1:30" s="153" customFormat="1" ht="16.5" customHeight="1">
      <c r="A32" s="953" t="s">
        <v>1487</v>
      </c>
      <c r="B32" s="200">
        <v>2755</v>
      </c>
      <c r="C32" s="200">
        <v>2706</v>
      </c>
      <c r="D32" s="230">
        <v>14203</v>
      </c>
      <c r="E32" s="230">
        <v>13739</v>
      </c>
      <c r="F32" s="230">
        <v>19646</v>
      </c>
      <c r="G32" s="230">
        <v>11767</v>
      </c>
      <c r="H32" s="230">
        <v>1029</v>
      </c>
      <c r="I32" s="230">
        <v>821</v>
      </c>
      <c r="J32" s="200">
        <v>3683</v>
      </c>
      <c r="K32" s="200">
        <v>213</v>
      </c>
      <c r="L32" s="200">
        <v>358</v>
      </c>
      <c r="M32" s="200">
        <v>763</v>
      </c>
      <c r="N32" s="233" t="s">
        <v>1487</v>
      </c>
      <c r="O32" s="953" t="s">
        <v>1487</v>
      </c>
      <c r="P32" s="200">
        <v>37</v>
      </c>
      <c r="Q32" s="200">
        <v>109</v>
      </c>
      <c r="R32" s="200">
        <v>177</v>
      </c>
      <c r="S32" s="200">
        <v>349</v>
      </c>
      <c r="T32" s="200">
        <v>86</v>
      </c>
      <c r="U32" s="200">
        <v>100</v>
      </c>
      <c r="V32" s="200">
        <v>90</v>
      </c>
      <c r="W32" s="200">
        <v>147</v>
      </c>
      <c r="X32" s="230">
        <v>1448</v>
      </c>
      <c r="Y32" s="230">
        <v>1679</v>
      </c>
      <c r="Z32" s="200">
        <v>98</v>
      </c>
      <c r="AA32" s="200">
        <v>30</v>
      </c>
      <c r="AB32" s="233" t="s">
        <v>1487</v>
      </c>
      <c r="AD32" s="709"/>
    </row>
    <row r="33" spans="1:30" s="153" customFormat="1" ht="16.5" customHeight="1">
      <c r="A33" s="957" t="s">
        <v>1539</v>
      </c>
      <c r="B33" s="632">
        <v>3285</v>
      </c>
      <c r="C33" s="632">
        <v>3225</v>
      </c>
      <c r="D33" s="255">
        <v>14438</v>
      </c>
      <c r="E33" s="255">
        <v>13854</v>
      </c>
      <c r="F33" s="255">
        <v>19885</v>
      </c>
      <c r="G33" s="255">
        <v>11828</v>
      </c>
      <c r="H33" s="255">
        <v>1085</v>
      </c>
      <c r="I33" s="255">
        <v>813</v>
      </c>
      <c r="J33" s="632">
        <v>3333</v>
      </c>
      <c r="K33" s="632">
        <v>192</v>
      </c>
      <c r="L33" s="632">
        <v>397</v>
      </c>
      <c r="M33" s="632">
        <v>814</v>
      </c>
      <c r="N33" s="282" t="s">
        <v>1539</v>
      </c>
      <c r="O33" s="957" t="s">
        <v>1539</v>
      </c>
      <c r="P33" s="632">
        <v>41</v>
      </c>
      <c r="Q33" s="632">
        <v>109</v>
      </c>
      <c r="R33" s="632">
        <v>186</v>
      </c>
      <c r="S33" s="632">
        <v>361</v>
      </c>
      <c r="T33" s="632">
        <v>89</v>
      </c>
      <c r="U33" s="632">
        <v>100</v>
      </c>
      <c r="V33" s="632">
        <v>90</v>
      </c>
      <c r="W33" s="632">
        <v>136</v>
      </c>
      <c r="X33" s="255">
        <v>1391</v>
      </c>
      <c r="Y33" s="255">
        <v>1686</v>
      </c>
      <c r="Z33" s="632">
        <v>72</v>
      </c>
      <c r="AA33" s="632">
        <v>31</v>
      </c>
      <c r="AB33" s="282" t="s">
        <v>1539</v>
      </c>
      <c r="AC33" s="709"/>
    </row>
    <row r="34" spans="1:30" s="153" customFormat="1" ht="16.5" customHeight="1">
      <c r="A34" s="1179" t="s">
        <v>1810</v>
      </c>
      <c r="B34" s="200">
        <v>3001</v>
      </c>
      <c r="C34" s="200">
        <v>2864</v>
      </c>
      <c r="D34" s="230">
        <v>14958</v>
      </c>
      <c r="E34" s="230">
        <v>14132</v>
      </c>
      <c r="F34" s="230">
        <v>20186</v>
      </c>
      <c r="G34" s="230">
        <v>11896</v>
      </c>
      <c r="H34" s="230">
        <v>1086</v>
      </c>
      <c r="I34" s="230">
        <v>778</v>
      </c>
      <c r="J34" s="200">
        <v>3087</v>
      </c>
      <c r="K34" s="200">
        <v>179</v>
      </c>
      <c r="L34" s="200">
        <v>410</v>
      </c>
      <c r="M34" s="200">
        <v>817</v>
      </c>
      <c r="N34" s="233" t="s">
        <v>1810</v>
      </c>
      <c r="O34" s="1179" t="s">
        <v>1810</v>
      </c>
      <c r="P34" s="200">
        <v>42</v>
      </c>
      <c r="Q34" s="200">
        <v>114</v>
      </c>
      <c r="R34" s="200">
        <v>191</v>
      </c>
      <c r="S34" s="200">
        <v>357</v>
      </c>
      <c r="T34" s="200">
        <v>92</v>
      </c>
      <c r="U34" s="200">
        <v>100</v>
      </c>
      <c r="V34" s="200">
        <v>98</v>
      </c>
      <c r="W34" s="200">
        <v>140</v>
      </c>
      <c r="X34" s="230">
        <v>1518</v>
      </c>
      <c r="Y34" s="230">
        <v>1783</v>
      </c>
      <c r="Z34" s="200">
        <v>71</v>
      </c>
      <c r="AA34" s="200">
        <v>30</v>
      </c>
      <c r="AB34" s="233" t="s">
        <v>1810</v>
      </c>
      <c r="AC34" s="709"/>
    </row>
    <row r="35" spans="1:30" s="153" customFormat="1" ht="16.5" customHeight="1">
      <c r="A35" s="1258" t="s">
        <v>2056</v>
      </c>
      <c r="B35" s="632">
        <v>2901</v>
      </c>
      <c r="C35" s="632">
        <v>2622</v>
      </c>
      <c r="D35" s="255">
        <v>15426</v>
      </c>
      <c r="E35" s="255">
        <v>14143</v>
      </c>
      <c r="F35" s="255">
        <v>20768</v>
      </c>
      <c r="G35" s="255">
        <v>11989</v>
      </c>
      <c r="H35" s="255">
        <v>1170</v>
      </c>
      <c r="I35" s="255">
        <v>783</v>
      </c>
      <c r="J35" s="632">
        <v>2983</v>
      </c>
      <c r="K35" s="632">
        <v>172</v>
      </c>
      <c r="L35" s="632">
        <v>547</v>
      </c>
      <c r="M35" s="632">
        <v>947</v>
      </c>
      <c r="N35" s="282" t="s">
        <v>2056</v>
      </c>
      <c r="O35" s="1258" t="s">
        <v>2056</v>
      </c>
      <c r="P35" s="632">
        <v>46</v>
      </c>
      <c r="Q35" s="632">
        <v>113</v>
      </c>
      <c r="R35" s="632">
        <v>197</v>
      </c>
      <c r="S35" s="632">
        <v>334</v>
      </c>
      <c r="T35" s="632">
        <v>87</v>
      </c>
      <c r="U35" s="632">
        <v>93</v>
      </c>
      <c r="V35" s="632">
        <v>93</v>
      </c>
      <c r="W35" s="632">
        <v>141</v>
      </c>
      <c r="X35" s="255">
        <v>1522</v>
      </c>
      <c r="Y35" s="255">
        <v>1804</v>
      </c>
      <c r="Z35" s="632">
        <v>66</v>
      </c>
      <c r="AA35" s="632">
        <v>29</v>
      </c>
      <c r="AB35" s="282" t="s">
        <v>2056</v>
      </c>
      <c r="AC35" s="709"/>
    </row>
    <row r="36" spans="1:30" s="153" customFormat="1" ht="16.5" customHeight="1">
      <c r="A36" s="1504" t="s">
        <v>2188</v>
      </c>
      <c r="B36" s="200">
        <v>2973</v>
      </c>
      <c r="C36" s="200">
        <v>2557</v>
      </c>
      <c r="D36" s="230">
        <v>16656</v>
      </c>
      <c r="E36" s="230">
        <v>14210</v>
      </c>
      <c r="F36" s="230">
        <v>21068</v>
      </c>
      <c r="G36" s="230">
        <v>12053</v>
      </c>
      <c r="H36" s="230">
        <v>1172</v>
      </c>
      <c r="I36" s="230">
        <v>770</v>
      </c>
      <c r="J36" s="200">
        <v>2934</v>
      </c>
      <c r="K36" s="200">
        <v>167</v>
      </c>
      <c r="L36" s="200">
        <v>638</v>
      </c>
      <c r="M36" s="200">
        <v>1144</v>
      </c>
      <c r="N36" s="233" t="s">
        <v>2188</v>
      </c>
      <c r="O36" s="1504" t="s">
        <v>2188</v>
      </c>
      <c r="P36" s="200">
        <v>45</v>
      </c>
      <c r="Q36" s="200">
        <v>121</v>
      </c>
      <c r="R36" s="200">
        <v>185</v>
      </c>
      <c r="S36" s="200">
        <v>309</v>
      </c>
      <c r="T36" s="200">
        <v>98</v>
      </c>
      <c r="U36" s="200">
        <v>101</v>
      </c>
      <c r="V36" s="200">
        <v>101</v>
      </c>
      <c r="W36" s="200">
        <v>145</v>
      </c>
      <c r="X36" s="230">
        <v>1725</v>
      </c>
      <c r="Y36" s="230">
        <v>1788</v>
      </c>
      <c r="Z36" s="200">
        <v>67</v>
      </c>
      <c r="AA36" s="200">
        <v>29</v>
      </c>
      <c r="AB36" s="233" t="s">
        <v>2188</v>
      </c>
      <c r="AC36" s="709"/>
    </row>
    <row r="37" spans="1:30" ht="12.75" customHeight="1">
      <c r="A37" s="1870" t="s">
        <v>2439</v>
      </c>
      <c r="B37" s="1869">
        <v>2794</v>
      </c>
      <c r="C37" s="1869">
        <v>2370</v>
      </c>
      <c r="D37" s="1866">
        <v>16514</v>
      </c>
      <c r="E37" s="1866">
        <v>13867</v>
      </c>
      <c r="F37" s="1866">
        <v>21322</v>
      </c>
      <c r="G37" s="1866">
        <v>12081</v>
      </c>
      <c r="H37" s="1866">
        <v>1041</v>
      </c>
      <c r="I37" s="1866">
        <v>694</v>
      </c>
      <c r="J37" s="1869">
        <v>2923</v>
      </c>
      <c r="K37" s="1869">
        <v>165</v>
      </c>
      <c r="L37" s="1869">
        <v>644</v>
      </c>
      <c r="M37" s="1869">
        <v>1126</v>
      </c>
      <c r="N37" s="1867" t="s">
        <v>2439</v>
      </c>
      <c r="O37" s="1870" t="s">
        <v>2439</v>
      </c>
      <c r="P37" s="1869">
        <v>138</v>
      </c>
      <c r="Q37" s="1869">
        <v>311</v>
      </c>
      <c r="R37" s="1869">
        <v>168</v>
      </c>
      <c r="S37" s="1869">
        <v>299</v>
      </c>
      <c r="T37" s="1869">
        <v>104</v>
      </c>
      <c r="U37" s="1869">
        <v>107</v>
      </c>
      <c r="V37" s="1869">
        <v>91</v>
      </c>
      <c r="W37" s="1869">
        <v>148</v>
      </c>
      <c r="X37" s="1866">
        <v>1612</v>
      </c>
      <c r="Y37" s="1866">
        <v>1715</v>
      </c>
      <c r="Z37" s="1869">
        <v>72</v>
      </c>
      <c r="AA37" s="1869">
        <v>27</v>
      </c>
      <c r="AB37" s="1867" t="s">
        <v>2439</v>
      </c>
      <c r="AD37" s="788"/>
    </row>
    <row r="38" spans="1:30" ht="13.5" thickBot="1">
      <c r="A38" s="1868" t="s">
        <v>2962</v>
      </c>
      <c r="B38" s="1873">
        <v>2708</v>
      </c>
      <c r="C38" s="1873">
        <v>2336</v>
      </c>
      <c r="D38" s="1874">
        <v>17359</v>
      </c>
      <c r="E38" s="1874">
        <v>14172</v>
      </c>
      <c r="F38" s="1874" t="s">
        <v>292</v>
      </c>
      <c r="G38" s="1874" t="s">
        <v>292</v>
      </c>
      <c r="H38" s="1874" t="s">
        <v>292</v>
      </c>
      <c r="I38" s="1874" t="s">
        <v>292</v>
      </c>
      <c r="J38" s="1874" t="s">
        <v>292</v>
      </c>
      <c r="K38" s="1874" t="s">
        <v>292</v>
      </c>
      <c r="L38" s="1874" t="s">
        <v>292</v>
      </c>
      <c r="M38" s="1874" t="s">
        <v>292</v>
      </c>
      <c r="N38" s="1875" t="s">
        <v>2962</v>
      </c>
      <c r="O38" s="1872" t="s">
        <v>2962</v>
      </c>
      <c r="P38" s="1876" t="s">
        <v>292</v>
      </c>
      <c r="Q38" s="1876" t="s">
        <v>292</v>
      </c>
      <c r="R38" s="1876" t="s">
        <v>292</v>
      </c>
      <c r="S38" s="1876" t="s">
        <v>292</v>
      </c>
      <c r="T38" s="1876" t="s">
        <v>292</v>
      </c>
      <c r="U38" s="1876" t="s">
        <v>292</v>
      </c>
      <c r="V38" s="1876" t="s">
        <v>292</v>
      </c>
      <c r="W38" s="1876" t="s">
        <v>292</v>
      </c>
      <c r="X38" s="1876">
        <v>1581</v>
      </c>
      <c r="Y38" s="1876">
        <v>1676</v>
      </c>
      <c r="Z38" s="1876" t="s">
        <v>292</v>
      </c>
      <c r="AA38" s="1876" t="s">
        <v>292</v>
      </c>
      <c r="AB38" s="1871" t="s">
        <v>2962</v>
      </c>
    </row>
    <row r="39" spans="1:30" ht="12.75" hidden="1" customHeight="1">
      <c r="A39" s="2368" t="s">
        <v>1211</v>
      </c>
      <c r="B39" s="2368"/>
      <c r="C39" s="2368"/>
      <c r="D39" s="2368"/>
      <c r="E39" s="2368"/>
      <c r="F39" s="2369"/>
      <c r="G39" s="2369"/>
      <c r="H39" s="2369" t="s">
        <v>1778</v>
      </c>
      <c r="I39" s="2369"/>
      <c r="J39" s="2369"/>
      <c r="K39" s="2369"/>
      <c r="L39" s="2369"/>
      <c r="M39" s="2369"/>
      <c r="O39" s="2367" t="s">
        <v>1212</v>
      </c>
      <c r="P39" s="2367"/>
      <c r="Q39" s="2367"/>
      <c r="R39" s="2367"/>
      <c r="S39" s="2367"/>
      <c r="T39" s="2367"/>
      <c r="U39" s="2367"/>
      <c r="V39" s="2367" t="s">
        <v>1778</v>
      </c>
      <c r="W39" s="2367"/>
      <c r="X39" s="2367"/>
      <c r="Y39" s="2367"/>
      <c r="Z39" s="2367"/>
      <c r="AA39" s="2367"/>
    </row>
    <row r="40" spans="1:30" ht="12.75" hidden="1" customHeight="1">
      <c r="A40" s="221"/>
      <c r="B40" s="7" t="s">
        <v>1543</v>
      </c>
      <c r="C40" s="7"/>
      <c r="E40" s="959"/>
      <c r="F40" s="788"/>
      <c r="H40" s="788"/>
      <c r="R40" s="788"/>
      <c r="S40" s="788"/>
      <c r="T40" s="788"/>
      <c r="U40" s="871"/>
      <c r="W40" s="788"/>
    </row>
    <row r="41" spans="1:30" ht="12.75" hidden="1" customHeight="1"/>
    <row r="42" spans="1:30" ht="12.75" hidden="1" customHeight="1">
      <c r="X42" s="2">
        <v>7501011</v>
      </c>
    </row>
    <row r="43" spans="1:30" ht="12.75" hidden="1" customHeight="1">
      <c r="X43" s="2">
        <v>7558934</v>
      </c>
    </row>
    <row r="44" spans="1:30" ht="12.75" hidden="1" customHeight="1"/>
    <row r="45" spans="1:30" ht="12.75" hidden="1" customHeight="1"/>
    <row r="46" spans="1:30" ht="12.75" hidden="1" customHeight="1"/>
    <row r="47" spans="1:30">
      <c r="A47" s="2371" t="s">
        <v>1211</v>
      </c>
      <c r="B47" s="2371"/>
      <c r="C47" s="2371"/>
      <c r="D47" s="2371"/>
      <c r="E47" s="2371"/>
      <c r="F47" s="2372"/>
      <c r="G47" s="2372"/>
      <c r="H47" s="2372" t="s">
        <v>1778</v>
      </c>
      <c r="I47" s="2372"/>
      <c r="J47" s="2372"/>
      <c r="K47" s="2372"/>
      <c r="L47" s="2372"/>
      <c r="M47" s="2372"/>
      <c r="N47" s="1877"/>
      <c r="O47" s="2370" t="s">
        <v>1212</v>
      </c>
      <c r="P47" s="2370"/>
      <c r="Q47" s="2370"/>
      <c r="R47" s="2370"/>
      <c r="S47" s="2370"/>
      <c r="T47" s="2370"/>
      <c r="U47" s="2370"/>
      <c r="V47" s="2370" t="s">
        <v>1778</v>
      </c>
      <c r="W47" s="2370"/>
      <c r="X47" s="2370"/>
      <c r="Y47" s="2370"/>
      <c r="Z47" s="2370"/>
      <c r="AA47" s="2370"/>
      <c r="AB47" s="1877"/>
    </row>
    <row r="49" spans="2:28">
      <c r="B49" s="51"/>
      <c r="F49" s="788"/>
      <c r="G49" s="788"/>
      <c r="P49" s="788"/>
      <c r="Q49" s="788"/>
      <c r="R49" s="788"/>
      <c r="S49" s="788"/>
      <c r="T49" s="788"/>
      <c r="U49" s="788"/>
      <c r="V49" s="788"/>
      <c r="W49" s="788"/>
      <c r="AA49" s="788"/>
      <c r="AB49" s="788"/>
    </row>
    <row r="50" spans="2:28">
      <c r="F50" s="788"/>
      <c r="H50" s="788"/>
      <c r="I50" s="788"/>
      <c r="K50" s="788"/>
      <c r="M50" s="788"/>
      <c r="P50" s="788"/>
      <c r="Q50" s="788"/>
      <c r="T50" s="788"/>
      <c r="W50" s="788"/>
      <c r="Y50" s="788"/>
    </row>
    <row r="51" spans="2:28">
      <c r="C51" s="788"/>
      <c r="E51" s="788"/>
    </row>
    <row r="53" spans="2:28">
      <c r="AB53" s="788"/>
    </row>
  </sheetData>
  <customSheetViews>
    <customSheetView guid="{A374FC54-96E3-45F0-9C12-8450400C12DF}" scale="140" hiddenRows="1">
      <pane xSplit="1" ySplit="6" topLeftCell="T28" activePane="bottomRight" state="frozen"/>
      <selection pane="bottomRight" activeCell="AA36" sqref="AA36"/>
      <pageMargins left="0.62992125984252001" right="0.511811023622047" top="0.511811023622047" bottom="0.511811023622047" header="0" footer="0.74803149606299202"/>
      <pageSetup paperSize="132" firstPageNumber="36" orientation="portrait" useFirstPageNumber="1" r:id="rId1"/>
      <headerFooter alignWithMargins="0">
        <oddFooter>&amp;C&amp;"Times New Roman,Regular"&amp;8&amp;P</oddFooter>
      </headerFooter>
    </customSheetView>
  </customSheetViews>
  <mergeCells count="58">
    <mergeCell ref="V47:AA47"/>
    <mergeCell ref="A47:E47"/>
    <mergeCell ref="F47:G47"/>
    <mergeCell ref="H47:J47"/>
    <mergeCell ref="K47:M47"/>
    <mergeCell ref="O47:U47"/>
    <mergeCell ref="V39:AA39"/>
    <mergeCell ref="A39:E39"/>
    <mergeCell ref="F39:G39"/>
    <mergeCell ref="H39:J39"/>
    <mergeCell ref="K39:M39"/>
    <mergeCell ref="O39:U39"/>
    <mergeCell ref="I4:I5"/>
    <mergeCell ref="X4:X5"/>
    <mergeCell ref="Y4:Y5"/>
    <mergeCell ref="Z4:Z5"/>
    <mergeCell ref="V4:V5"/>
    <mergeCell ref="R4:R5"/>
    <mergeCell ref="S4:S5"/>
    <mergeCell ref="T4:T5"/>
    <mergeCell ref="U4:U5"/>
    <mergeCell ref="K4:K5"/>
    <mergeCell ref="L4:L5"/>
    <mergeCell ref="M4:M5"/>
    <mergeCell ref="P4:P5"/>
    <mergeCell ref="J4:J5"/>
    <mergeCell ref="AA1:AB1"/>
    <mergeCell ref="O1:U1"/>
    <mergeCell ref="V1:Y1"/>
    <mergeCell ref="AB3:AB5"/>
    <mergeCell ref="T3:U3"/>
    <mergeCell ref="V3:W3"/>
    <mergeCell ref="X3:Y3"/>
    <mergeCell ref="Z3:AA3"/>
    <mergeCell ref="W4:W5"/>
    <mergeCell ref="H1:K1"/>
    <mergeCell ref="AA4:AA5"/>
    <mergeCell ref="Q4:Q5"/>
    <mergeCell ref="B3:C3"/>
    <mergeCell ref="D3:E3"/>
    <mergeCell ref="H3:I3"/>
    <mergeCell ref="J3:K3"/>
    <mergeCell ref="M1:N1"/>
    <mergeCell ref="A1:G1"/>
    <mergeCell ref="F3:G3"/>
    <mergeCell ref="N3:N5"/>
    <mergeCell ref="L3:M3"/>
    <mergeCell ref="R3:S3"/>
    <mergeCell ref="O3:O5"/>
    <mergeCell ref="A3:A5"/>
    <mergeCell ref="P3:Q3"/>
    <mergeCell ref="B4:B5"/>
    <mergeCell ref="H4:H5"/>
    <mergeCell ref="C4:C5"/>
    <mergeCell ref="D4:D5"/>
    <mergeCell ref="E4:E5"/>
    <mergeCell ref="F4:F5"/>
    <mergeCell ref="G4:G5"/>
  </mergeCells>
  <phoneticPr fontId="6" type="noConversion"/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7"/>
  <dimension ref="A1:O48"/>
  <sheetViews>
    <sheetView zoomScale="160" zoomScaleNormal="160" zoomScaleSheetLayoutView="200" workbookViewId="0">
      <pane xSplit="1" ySplit="4" topLeftCell="B29" activePane="bottomRight" state="frozen"/>
      <selection pane="topRight" activeCell="B1" sqref="B1"/>
      <selection pane="bottomLeft" activeCell="A5" sqref="A5"/>
      <selection pane="bottomRight" activeCell="O35" sqref="O35"/>
    </sheetView>
  </sheetViews>
  <sheetFormatPr defaultColWidth="5.85546875" defaultRowHeight="9"/>
  <cols>
    <col min="1" max="1" width="7" style="205" customWidth="1"/>
    <col min="2" max="2" width="8.5703125" style="205" customWidth="1"/>
    <col min="3" max="3" width="6.140625" style="205" customWidth="1"/>
    <col min="4" max="5" width="6.85546875" style="205" customWidth="1"/>
    <col min="6" max="6" width="7.42578125" style="205" customWidth="1"/>
    <col min="7" max="7" width="6.140625" style="205" customWidth="1"/>
    <col min="8" max="8" width="6.5703125" style="205" customWidth="1"/>
    <col min="9" max="9" width="6.85546875" style="205" customWidth="1"/>
    <col min="10" max="10" width="7.5703125" style="205" customWidth="1"/>
    <col min="11" max="11" width="7.42578125" style="205" customWidth="1"/>
    <col min="12" max="13" width="5.85546875" style="205"/>
    <col min="14" max="15" width="6.140625" style="205" bestFit="1" customWidth="1"/>
    <col min="16" max="17" width="5.85546875" style="205"/>
    <col min="18" max="18" width="6.140625" style="205" bestFit="1" customWidth="1"/>
    <col min="19" max="16384" width="5.85546875" style="205"/>
  </cols>
  <sheetData>
    <row r="1" spans="1:11" s="155" customFormat="1" ht="14.25" customHeight="1">
      <c r="A1" s="2374" t="s">
        <v>2157</v>
      </c>
      <c r="B1" s="2374"/>
      <c r="C1" s="2374"/>
      <c r="D1" s="2374"/>
      <c r="E1" s="2374"/>
      <c r="F1" s="2374"/>
      <c r="G1" s="2374"/>
      <c r="H1" s="2374"/>
      <c r="I1" s="2374"/>
      <c r="J1" s="2375" t="s">
        <v>2148</v>
      </c>
      <c r="K1" s="2375"/>
    </row>
    <row r="2" spans="1:11" s="158" customFormat="1" ht="12.75" customHeight="1">
      <c r="A2" s="1339"/>
      <c r="B2" s="1339"/>
      <c r="C2" s="2378" t="s">
        <v>2156</v>
      </c>
      <c r="D2" s="2378"/>
      <c r="E2" s="2378"/>
      <c r="F2" s="1452"/>
      <c r="G2" s="2376"/>
      <c r="H2" s="2376"/>
      <c r="I2" s="2376"/>
    </row>
    <row r="3" spans="1:11" s="160" customFormat="1" ht="26.25" customHeight="1">
      <c r="A3" s="2377" t="s">
        <v>481</v>
      </c>
      <c r="B3" s="1450" t="s">
        <v>573</v>
      </c>
      <c r="C3" s="1450" t="s">
        <v>574</v>
      </c>
      <c r="D3" s="1451" t="s">
        <v>496</v>
      </c>
      <c r="E3" s="1451" t="s">
        <v>497</v>
      </c>
      <c r="F3" s="1450" t="s">
        <v>244</v>
      </c>
      <c r="G3" s="1449" t="s">
        <v>243</v>
      </c>
      <c r="H3" s="1451" t="s">
        <v>585</v>
      </c>
      <c r="I3" s="1451" t="s">
        <v>575</v>
      </c>
      <c r="J3" s="1450" t="s">
        <v>2116</v>
      </c>
      <c r="K3" s="1451" t="s">
        <v>499</v>
      </c>
    </row>
    <row r="4" spans="1:11" s="160" customFormat="1" ht="25.5" customHeight="1">
      <c r="A4" s="2302"/>
      <c r="B4" s="1450" t="s">
        <v>910</v>
      </c>
      <c r="C4" s="1450" t="s">
        <v>909</v>
      </c>
      <c r="D4" s="1450" t="s">
        <v>911</v>
      </c>
      <c r="E4" s="1450" t="s">
        <v>912</v>
      </c>
      <c r="F4" s="1450" t="s">
        <v>913</v>
      </c>
      <c r="G4" s="1449" t="s">
        <v>915</v>
      </c>
      <c r="H4" s="1450" t="s">
        <v>913</v>
      </c>
      <c r="I4" s="1450" t="s">
        <v>913</v>
      </c>
      <c r="J4" s="420" t="s">
        <v>232</v>
      </c>
      <c r="K4" s="1450" t="s">
        <v>914</v>
      </c>
    </row>
    <row r="5" spans="1:11" s="153" customFormat="1" ht="11.45" customHeight="1">
      <c r="A5" s="152" t="s">
        <v>81</v>
      </c>
      <c r="B5" s="138">
        <v>1006.35</v>
      </c>
      <c r="C5" s="25">
        <v>52975</v>
      </c>
      <c r="D5" s="25">
        <v>18676</v>
      </c>
      <c r="E5" s="25">
        <v>236790</v>
      </c>
      <c r="F5" s="25">
        <v>76918</v>
      </c>
      <c r="G5" s="230">
        <v>156528</v>
      </c>
      <c r="H5" s="230">
        <v>62203</v>
      </c>
      <c r="I5" s="230">
        <v>1138644</v>
      </c>
      <c r="J5" s="230">
        <v>2021</v>
      </c>
      <c r="K5" s="230">
        <v>13330</v>
      </c>
    </row>
    <row r="6" spans="1:11" s="152" customFormat="1" ht="11.45" customHeight="1">
      <c r="A6" s="265" t="s">
        <v>189</v>
      </c>
      <c r="B6" s="262">
        <v>1030</v>
      </c>
      <c r="C6" s="262">
        <v>56181</v>
      </c>
      <c r="D6" s="262">
        <v>20241</v>
      </c>
      <c r="E6" s="262">
        <v>234510</v>
      </c>
      <c r="F6" s="262">
        <v>76970</v>
      </c>
      <c r="G6" s="257">
        <v>154384</v>
      </c>
      <c r="H6" s="257">
        <v>100963</v>
      </c>
      <c r="I6" s="257">
        <v>1011941</v>
      </c>
      <c r="J6" s="257">
        <v>1898</v>
      </c>
      <c r="K6" s="257">
        <v>14143</v>
      </c>
    </row>
    <row r="7" spans="1:11" s="152" customFormat="1" ht="11.45" customHeight="1">
      <c r="A7" s="152" t="s">
        <v>701</v>
      </c>
      <c r="B7" s="138">
        <v>955.09444444444443</v>
      </c>
      <c r="C7" s="138">
        <v>56546</v>
      </c>
      <c r="D7" s="138">
        <v>20740</v>
      </c>
      <c r="E7" s="138">
        <v>315050</v>
      </c>
      <c r="F7" s="138">
        <v>113765</v>
      </c>
      <c r="G7" s="338">
        <v>162407</v>
      </c>
      <c r="H7" s="338">
        <v>63309</v>
      </c>
      <c r="I7" s="338">
        <v>1036947</v>
      </c>
      <c r="J7" s="338">
        <v>1442</v>
      </c>
      <c r="K7" s="338">
        <v>18148</v>
      </c>
    </row>
    <row r="8" spans="1:11" s="152" customFormat="1" ht="11.45" customHeight="1">
      <c r="A8" s="265" t="s">
        <v>809</v>
      </c>
      <c r="B8" s="262">
        <v>970.12777777777774</v>
      </c>
      <c r="C8" s="262">
        <v>56949</v>
      </c>
      <c r="D8" s="262">
        <v>17774</v>
      </c>
      <c r="E8" s="262">
        <v>262620</v>
      </c>
      <c r="F8" s="262">
        <v>313265</v>
      </c>
      <c r="G8" s="257">
        <v>194048</v>
      </c>
      <c r="H8" s="257">
        <v>107133</v>
      </c>
      <c r="I8" s="257">
        <v>1074791</v>
      </c>
      <c r="J8" s="257">
        <v>2364</v>
      </c>
      <c r="K8" s="257">
        <v>20989</v>
      </c>
    </row>
    <row r="9" spans="1:11" s="152" customFormat="1" ht="11.45" customHeight="1">
      <c r="A9" s="152" t="s">
        <v>982</v>
      </c>
      <c r="B9" s="138">
        <v>974.33888888888885</v>
      </c>
      <c r="C9" s="138">
        <v>57386</v>
      </c>
      <c r="D9" s="138">
        <v>13098</v>
      </c>
      <c r="E9" s="138">
        <v>283130</v>
      </c>
      <c r="F9" s="138">
        <v>352115</v>
      </c>
      <c r="G9" s="338">
        <v>209106</v>
      </c>
      <c r="H9" s="338">
        <v>128268</v>
      </c>
      <c r="I9" s="338">
        <v>976691</v>
      </c>
      <c r="J9" s="338">
        <v>2009</v>
      </c>
      <c r="K9" s="338">
        <v>20813</v>
      </c>
    </row>
    <row r="10" spans="1:11" s="152" customFormat="1" ht="11.45" customHeight="1">
      <c r="A10" s="265" t="s">
        <v>1033</v>
      </c>
      <c r="B10" s="257">
        <v>780.2166666666667</v>
      </c>
      <c r="C10" s="257">
        <v>44692</v>
      </c>
      <c r="D10" s="257">
        <v>12660</v>
      </c>
      <c r="E10" s="257">
        <v>264850</v>
      </c>
      <c r="F10" s="257">
        <v>609045</v>
      </c>
      <c r="G10" s="257">
        <v>298939</v>
      </c>
      <c r="H10" s="257">
        <v>77450</v>
      </c>
      <c r="I10" s="257">
        <v>1028157</v>
      </c>
      <c r="J10" s="257">
        <v>1529</v>
      </c>
      <c r="K10" s="257">
        <v>18935</v>
      </c>
    </row>
    <row r="11" spans="1:11" s="152" customFormat="1" ht="11.45" customHeight="1">
      <c r="A11" s="152" t="s">
        <v>1154</v>
      </c>
      <c r="B11" s="338">
        <v>892</v>
      </c>
      <c r="C11" s="338">
        <v>47444</v>
      </c>
      <c r="D11" s="338">
        <v>10577</v>
      </c>
      <c r="E11" s="338">
        <v>224210</v>
      </c>
      <c r="F11" s="338">
        <v>728260</v>
      </c>
      <c r="G11" s="338">
        <v>278952</v>
      </c>
      <c r="H11" s="338">
        <v>58219.3</v>
      </c>
      <c r="I11" s="338">
        <v>1010446</v>
      </c>
      <c r="J11" s="338">
        <v>1363</v>
      </c>
      <c r="K11" s="338">
        <v>19506</v>
      </c>
    </row>
    <row r="12" spans="1:11" s="152" customFormat="1" ht="11.45" customHeight="1">
      <c r="A12" s="265" t="s">
        <v>1178</v>
      </c>
      <c r="B12" s="257">
        <v>898</v>
      </c>
      <c r="C12" s="257">
        <v>47060</v>
      </c>
      <c r="D12" s="257">
        <v>6777</v>
      </c>
      <c r="E12" s="257">
        <v>175730</v>
      </c>
      <c r="F12" s="257">
        <v>657966</v>
      </c>
      <c r="G12" s="257">
        <v>348931</v>
      </c>
      <c r="H12" s="257">
        <v>59984.55</v>
      </c>
      <c r="I12" s="257">
        <v>1089418.05</v>
      </c>
      <c r="J12" s="257">
        <v>1333</v>
      </c>
      <c r="K12" s="257">
        <v>22827</v>
      </c>
    </row>
    <row r="13" spans="1:11" s="152" customFormat="1" ht="11.45" customHeight="1">
      <c r="A13" s="152" t="s">
        <v>1298</v>
      </c>
      <c r="B13" s="338">
        <v>932</v>
      </c>
      <c r="C13" s="338">
        <v>42447</v>
      </c>
      <c r="D13" s="338">
        <v>3182</v>
      </c>
      <c r="E13" s="338">
        <v>156600</v>
      </c>
      <c r="F13" s="338">
        <v>1001358</v>
      </c>
      <c r="G13" s="338">
        <v>408516</v>
      </c>
      <c r="H13" s="338">
        <v>68602.5</v>
      </c>
      <c r="I13" s="338">
        <v>913965</v>
      </c>
      <c r="J13" s="338">
        <v>1629</v>
      </c>
      <c r="K13" s="338">
        <v>25124</v>
      </c>
    </row>
    <row r="14" spans="1:11" s="152" customFormat="1" ht="11.45" customHeight="1">
      <c r="A14" s="265" t="s">
        <v>1407</v>
      </c>
      <c r="B14" s="257">
        <v>1004</v>
      </c>
      <c r="C14" s="257">
        <v>41744</v>
      </c>
      <c r="D14" s="257">
        <v>5635</v>
      </c>
      <c r="E14" s="257">
        <v>152810</v>
      </c>
      <c r="F14" s="257">
        <v>1082720</v>
      </c>
      <c r="G14" s="257">
        <v>359883</v>
      </c>
      <c r="H14" s="257">
        <v>68953.100000000006</v>
      </c>
      <c r="I14" s="257">
        <v>923425</v>
      </c>
      <c r="J14" s="257">
        <v>1431</v>
      </c>
      <c r="K14" s="257">
        <v>34653</v>
      </c>
    </row>
    <row r="15" spans="1:11" s="152" customFormat="1" ht="11.45" customHeight="1">
      <c r="A15" s="152" t="s">
        <v>1487</v>
      </c>
      <c r="B15" s="338">
        <v>1241</v>
      </c>
      <c r="C15" s="338">
        <v>35782</v>
      </c>
      <c r="D15" s="338">
        <v>7220</v>
      </c>
      <c r="E15" s="338">
        <v>161860</v>
      </c>
      <c r="F15" s="338">
        <v>1088705</v>
      </c>
      <c r="G15" s="338">
        <v>430242</v>
      </c>
      <c r="H15" s="338">
        <v>82140.45</v>
      </c>
      <c r="I15" s="338">
        <v>1100799</v>
      </c>
      <c r="J15" s="338">
        <v>1021</v>
      </c>
      <c r="K15" s="338">
        <v>44264</v>
      </c>
    </row>
    <row r="16" spans="1:11" s="152" customFormat="1" ht="11.45" customHeight="1">
      <c r="A16" s="265" t="s">
        <v>1539</v>
      </c>
      <c r="B16" s="257">
        <v>1472</v>
      </c>
      <c r="C16" s="257">
        <v>39495</v>
      </c>
      <c r="D16" s="255">
        <v>6027</v>
      </c>
      <c r="E16" s="257">
        <v>154030</v>
      </c>
      <c r="F16" s="257">
        <v>987319</v>
      </c>
      <c r="G16" s="257">
        <v>332939</v>
      </c>
      <c r="H16" s="257">
        <v>48134</v>
      </c>
      <c r="I16" s="257">
        <v>1205833</v>
      </c>
      <c r="J16" s="255">
        <v>100</v>
      </c>
      <c r="K16" s="257">
        <v>45323</v>
      </c>
    </row>
    <row r="17" spans="1:15" s="152" customFormat="1" ht="11.45" customHeight="1">
      <c r="A17" s="152" t="s">
        <v>1810</v>
      </c>
      <c r="B17" s="338">
        <v>1479</v>
      </c>
      <c r="C17" s="338">
        <v>51854</v>
      </c>
      <c r="D17" s="230">
        <v>2277</v>
      </c>
      <c r="E17" s="338">
        <v>149500</v>
      </c>
      <c r="F17" s="338">
        <v>888610</v>
      </c>
      <c r="G17" s="338">
        <v>429542</v>
      </c>
      <c r="H17" s="338">
        <v>21486</v>
      </c>
      <c r="I17" s="338">
        <v>1197117</v>
      </c>
      <c r="J17" s="230">
        <v>1368</v>
      </c>
      <c r="K17" s="338">
        <v>41441</v>
      </c>
    </row>
    <row r="18" spans="1:15" s="152" customFormat="1" ht="11.45" customHeight="1">
      <c r="A18" s="267" t="s">
        <v>2056</v>
      </c>
      <c r="B18" s="437">
        <v>1449.1173547777778</v>
      </c>
      <c r="C18" s="437">
        <v>17419.431326802038</v>
      </c>
      <c r="D18" s="437">
        <v>1541</v>
      </c>
      <c r="E18" s="437">
        <v>6546866.4124000007</v>
      </c>
      <c r="F18" s="437">
        <v>4145117.8317926526</v>
      </c>
      <c r="G18" s="437">
        <v>113367.93831088001</v>
      </c>
      <c r="H18" s="437">
        <v>20753.25</v>
      </c>
      <c r="I18" s="437">
        <v>947827.05</v>
      </c>
      <c r="J18" s="437">
        <v>1257</v>
      </c>
      <c r="K18" s="437">
        <v>52526.531239999997</v>
      </c>
    </row>
    <row r="19" spans="1:15" s="152" customFormat="1" ht="11.45" customHeight="1">
      <c r="A19" s="178" t="s">
        <v>2188</v>
      </c>
      <c r="B19" s="303">
        <v>1450.0592955318409</v>
      </c>
      <c r="C19" s="303">
        <v>19194.115441284597</v>
      </c>
      <c r="D19" s="303">
        <v>2509.77</v>
      </c>
      <c r="E19" s="303">
        <v>7121421.9889320862</v>
      </c>
      <c r="F19" s="303">
        <v>3963435.8664715746</v>
      </c>
      <c r="G19" s="303">
        <v>92987.88413691087</v>
      </c>
      <c r="H19" s="303">
        <v>30819</v>
      </c>
      <c r="I19" s="303">
        <v>663247.75</v>
      </c>
      <c r="J19" s="440">
        <v>53</v>
      </c>
      <c r="K19" s="303">
        <v>56424.042765559592</v>
      </c>
    </row>
    <row r="20" spans="1:15" s="152" customFormat="1" ht="11.45" customHeight="1">
      <c r="A20" s="267" t="s">
        <v>2439</v>
      </c>
      <c r="B20" s="437">
        <f t="shared" ref="B20:J20" si="0">SUM(B21:B32)</f>
        <v>1480.8532775134818</v>
      </c>
      <c r="C20" s="437">
        <f t="shared" si="0"/>
        <v>18282.20293308602</v>
      </c>
      <c r="D20" s="437">
        <f t="shared" si="0"/>
        <v>1618.91</v>
      </c>
      <c r="E20" s="437">
        <f t="shared" si="0"/>
        <v>7407439.0144781107</v>
      </c>
      <c r="F20" s="437">
        <f t="shared" si="0"/>
        <v>3896942.0674752626</v>
      </c>
      <c r="G20" s="437">
        <f t="shared" si="0"/>
        <v>91562.280292991811</v>
      </c>
      <c r="H20" s="437">
        <f t="shared" si="0"/>
        <v>46195.05</v>
      </c>
      <c r="I20" s="437">
        <f t="shared" si="0"/>
        <v>1245456.6000000001</v>
      </c>
      <c r="J20" s="437">
        <f t="shared" si="0"/>
        <v>0</v>
      </c>
      <c r="K20" s="437">
        <f>SUM(K21:K32)</f>
        <v>55843.961452021395</v>
      </c>
      <c r="M20" s="740"/>
    </row>
    <row r="21" spans="1:15" s="152" customFormat="1" ht="11.45" customHeight="1">
      <c r="A21" s="229" t="s">
        <v>559</v>
      </c>
      <c r="B21" s="338">
        <v>110.67174495781263</v>
      </c>
      <c r="C21" s="338">
        <v>1348.3458316071699</v>
      </c>
      <c r="D21" s="338">
        <v>217.96</v>
      </c>
      <c r="E21" s="338">
        <v>661270.15354000009</v>
      </c>
      <c r="F21" s="338">
        <v>297797.21000000002</v>
      </c>
      <c r="G21" s="338">
        <v>7553.7992033700239</v>
      </c>
      <c r="H21" s="338">
        <v>0</v>
      </c>
      <c r="I21" s="338">
        <f>4275+75291+6602</f>
        <v>86168</v>
      </c>
      <c r="J21" s="338">
        <v>0</v>
      </c>
      <c r="K21" s="338">
        <v>4439.5331730247308</v>
      </c>
      <c r="M21" s="740"/>
      <c r="O21" s="740"/>
    </row>
    <row r="22" spans="1:15" s="152" customFormat="1" ht="11.45" customHeight="1">
      <c r="A22" s="283" t="s">
        <v>560</v>
      </c>
      <c r="B22" s="257">
        <v>112.49003567656091</v>
      </c>
      <c r="C22" s="257">
        <v>1334.8248090358413</v>
      </c>
      <c r="D22" s="257">
        <v>0</v>
      </c>
      <c r="E22" s="257">
        <v>652020.19212659495</v>
      </c>
      <c r="F22" s="257">
        <v>297532.0872092637</v>
      </c>
      <c r="G22" s="257">
        <v>7558.2896966705639</v>
      </c>
      <c r="H22" s="257">
        <v>0</v>
      </c>
      <c r="I22" s="257">
        <f>5990+111056+5702</f>
        <v>122748</v>
      </c>
      <c r="J22" s="257">
        <v>0</v>
      </c>
      <c r="K22" s="257">
        <v>4556.1442342581877</v>
      </c>
      <c r="M22" s="740"/>
      <c r="O22" s="740"/>
    </row>
    <row r="23" spans="1:15" s="152" customFormat="1" ht="11.45" customHeight="1">
      <c r="A23" s="229" t="s">
        <v>554</v>
      </c>
      <c r="B23" s="338">
        <v>123.08711155520949</v>
      </c>
      <c r="C23" s="338">
        <v>1361.1285127697322</v>
      </c>
      <c r="D23" s="338">
        <v>132.18</v>
      </c>
      <c r="E23" s="338">
        <v>662521.49857545644</v>
      </c>
      <c r="F23" s="338">
        <v>299014.20665886434</v>
      </c>
      <c r="G23" s="338">
        <v>7535.9070988355916</v>
      </c>
      <c r="H23" s="338">
        <v>0</v>
      </c>
      <c r="I23" s="338">
        <f>3335+93976+9574</f>
        <v>106885</v>
      </c>
      <c r="J23" s="338">
        <v>0</v>
      </c>
      <c r="K23" s="338">
        <v>4502.5063974117147</v>
      </c>
      <c r="M23" s="740"/>
      <c r="O23" s="740"/>
    </row>
    <row r="24" spans="1:15" s="152" customFormat="1" ht="11.45" customHeight="1">
      <c r="A24" s="283" t="s">
        <v>561</v>
      </c>
      <c r="B24" s="257">
        <v>117.39876215786359</v>
      </c>
      <c r="C24" s="257">
        <v>1763.9683763354828</v>
      </c>
      <c r="D24" s="257">
        <v>132.63999999999999</v>
      </c>
      <c r="E24" s="257">
        <v>586121.56944752915</v>
      </c>
      <c r="F24" s="257">
        <v>297774.506638753</v>
      </c>
      <c r="G24" s="257">
        <v>7788.6093357424643</v>
      </c>
      <c r="H24" s="257">
        <v>0</v>
      </c>
      <c r="I24" s="257">
        <f>3125+124132+2152</f>
        <v>129409</v>
      </c>
      <c r="J24" s="257">
        <v>0</v>
      </c>
      <c r="K24" s="257">
        <v>4560.3104573651462</v>
      </c>
      <c r="M24" s="740"/>
      <c r="O24" s="740"/>
    </row>
    <row r="25" spans="1:15" s="152" customFormat="1" ht="11.45" customHeight="1">
      <c r="A25" s="229" t="s">
        <v>562</v>
      </c>
      <c r="B25" s="338">
        <v>128.3237222017857</v>
      </c>
      <c r="C25" s="338">
        <v>1648.7710200459758</v>
      </c>
      <c r="D25" s="338">
        <v>0</v>
      </c>
      <c r="E25" s="338">
        <v>515022.9</v>
      </c>
      <c r="F25" s="338">
        <v>387043.70258493564</v>
      </c>
      <c r="G25" s="338">
        <v>8233.48</v>
      </c>
      <c r="H25" s="338">
        <v>1340</v>
      </c>
      <c r="I25" s="338">
        <f>2425+112632.5+4736</f>
        <v>119793.5</v>
      </c>
      <c r="J25" s="338">
        <v>0</v>
      </c>
      <c r="K25" s="338">
        <v>4684.1229329999996</v>
      </c>
      <c r="M25" s="740"/>
      <c r="O25" s="740"/>
    </row>
    <row r="26" spans="1:15" s="152" customFormat="1" ht="11.45" customHeight="1">
      <c r="A26" s="283" t="s">
        <v>555</v>
      </c>
      <c r="B26" s="257">
        <v>128.76861812859934</v>
      </c>
      <c r="C26" s="257">
        <v>1645.6335127537998</v>
      </c>
      <c r="D26" s="257">
        <v>0</v>
      </c>
      <c r="E26" s="257">
        <v>501132.20422221662</v>
      </c>
      <c r="F26" s="257">
        <v>321742.4649353</v>
      </c>
      <c r="G26" s="257">
        <v>8041.9801478134277</v>
      </c>
      <c r="H26" s="257">
        <v>12463</v>
      </c>
      <c r="I26" s="257">
        <f>1540+125955+1191</f>
        <v>128686</v>
      </c>
      <c r="J26" s="257">
        <v>0</v>
      </c>
      <c r="K26" s="257">
        <v>4792.3977575914796</v>
      </c>
      <c r="M26" s="740"/>
      <c r="O26" s="740"/>
    </row>
    <row r="27" spans="1:15" s="152" customFormat="1" ht="11.45" customHeight="1">
      <c r="A27" s="229" t="s">
        <v>563</v>
      </c>
      <c r="B27" s="338">
        <v>120.62182276315521</v>
      </c>
      <c r="C27" s="338">
        <v>1705.7715863038161</v>
      </c>
      <c r="D27" s="338">
        <v>203.13</v>
      </c>
      <c r="E27" s="338">
        <v>666838.48300000001</v>
      </c>
      <c r="F27" s="338">
        <v>364292.62</v>
      </c>
      <c r="G27" s="338">
        <v>7866</v>
      </c>
      <c r="H27" s="338">
        <v>19128.5</v>
      </c>
      <c r="I27" s="338">
        <f>9690+125901+0</f>
        <v>135591</v>
      </c>
      <c r="J27" s="338">
        <v>0</v>
      </c>
      <c r="K27" s="338">
        <v>4884.2784242410016</v>
      </c>
      <c r="M27" s="740"/>
      <c r="O27" s="740"/>
    </row>
    <row r="28" spans="1:15" s="152" customFormat="1" ht="11.45" customHeight="1">
      <c r="A28" s="283" t="s">
        <v>564</v>
      </c>
      <c r="B28" s="257">
        <v>127.4354415834085</v>
      </c>
      <c r="C28" s="257">
        <v>1814.9906271364498</v>
      </c>
      <c r="D28" s="257">
        <v>149.36000000000001</v>
      </c>
      <c r="E28" s="257">
        <v>666838.5830000001</v>
      </c>
      <c r="F28" s="257">
        <v>354274.93948155351</v>
      </c>
      <c r="G28" s="257">
        <v>7870.6943557575023</v>
      </c>
      <c r="H28" s="257">
        <v>10767.05</v>
      </c>
      <c r="I28" s="257">
        <f>0+5420+34886</f>
        <v>40306</v>
      </c>
      <c r="J28" s="257">
        <v>0</v>
      </c>
      <c r="K28" s="257">
        <v>4768.561424241002</v>
      </c>
      <c r="M28" s="740"/>
      <c r="O28" s="740"/>
    </row>
    <row r="29" spans="1:15" s="152" customFormat="1" ht="11.45" customHeight="1">
      <c r="A29" s="1102" t="s">
        <v>556</v>
      </c>
      <c r="B29" s="1176">
        <v>130.21590366096035</v>
      </c>
      <c r="C29" s="1176">
        <v>1609.5413431640277</v>
      </c>
      <c r="D29" s="1176">
        <v>221.21</v>
      </c>
      <c r="E29" s="1176">
        <v>661941.0678711012</v>
      </c>
      <c r="F29" s="1176">
        <v>338370.40209313919</v>
      </c>
      <c r="G29" s="1176">
        <v>7831.5204546261839</v>
      </c>
      <c r="H29" s="1176">
        <v>2496.5</v>
      </c>
      <c r="I29" s="1176">
        <f>0+7350+76182.8</f>
        <v>83532.800000000003</v>
      </c>
      <c r="J29" s="1176">
        <v>0</v>
      </c>
      <c r="K29" s="1176">
        <v>4869.2232456195579</v>
      </c>
      <c r="M29" s="740"/>
      <c r="O29" s="740"/>
    </row>
    <row r="30" spans="1:15" s="152" customFormat="1" ht="11.45" customHeight="1">
      <c r="A30" s="1177" t="s">
        <v>565</v>
      </c>
      <c r="B30" s="876">
        <v>128.14647286850598</v>
      </c>
      <c r="C30" s="876">
        <v>1449.8869629337273</v>
      </c>
      <c r="D30" s="876">
        <v>0</v>
      </c>
      <c r="E30" s="876">
        <v>676695.79139521276</v>
      </c>
      <c r="F30" s="876">
        <v>322988.33387345297</v>
      </c>
      <c r="G30" s="876">
        <v>7491.3514171760398</v>
      </c>
      <c r="H30" s="876">
        <v>0</v>
      </c>
      <c r="I30" s="876">
        <f>93231+9549+6005</f>
        <v>108785</v>
      </c>
      <c r="J30" s="876">
        <v>0</v>
      </c>
      <c r="K30" s="876">
        <v>4605.9133352685731</v>
      </c>
      <c r="M30" s="740"/>
      <c r="O30" s="740"/>
    </row>
    <row r="31" spans="1:15" s="152" customFormat="1" ht="11.45" customHeight="1">
      <c r="A31" s="1102" t="s">
        <v>566</v>
      </c>
      <c r="B31" s="1176">
        <v>127.60261393645342</v>
      </c>
      <c r="C31" s="1176">
        <v>1295.274588</v>
      </c>
      <c r="D31" s="1176">
        <v>478.48</v>
      </c>
      <c r="E31" s="1176">
        <v>675071.5</v>
      </c>
      <c r="F31" s="1176">
        <v>414855.36489999999</v>
      </c>
      <c r="G31" s="1176">
        <v>7812</v>
      </c>
      <c r="H31" s="1176">
        <v>0</v>
      </c>
      <c r="I31" s="1176">
        <f>70870+14775+9310</f>
        <v>94955</v>
      </c>
      <c r="J31" s="1176">
        <v>0</v>
      </c>
      <c r="K31" s="1176">
        <v>4680.8315229999998</v>
      </c>
      <c r="M31" s="740"/>
      <c r="O31" s="740"/>
    </row>
    <row r="32" spans="1:15" s="152" customFormat="1" ht="11.45" customHeight="1">
      <c r="A32" s="1177" t="s">
        <v>557</v>
      </c>
      <c r="B32" s="876">
        <v>126.09102802316653</v>
      </c>
      <c r="C32" s="876">
        <v>1304.0657630000001</v>
      </c>
      <c r="D32" s="876">
        <v>83.95</v>
      </c>
      <c r="E32" s="876">
        <v>481965.07130000001</v>
      </c>
      <c r="F32" s="876">
        <v>201256.2291</v>
      </c>
      <c r="G32" s="876">
        <v>5978.6485830000001</v>
      </c>
      <c r="H32" s="876">
        <v>0</v>
      </c>
      <c r="I32" s="876">
        <f>79807.3+4530+4260</f>
        <v>88597.3</v>
      </c>
      <c r="J32" s="876">
        <v>0</v>
      </c>
      <c r="K32" s="876">
        <v>4500.1385469999996</v>
      </c>
      <c r="M32" s="740"/>
      <c r="O32" s="740"/>
    </row>
    <row r="33" spans="1:15" s="152" customFormat="1" ht="11.45" customHeight="1">
      <c r="A33" s="1429" t="s">
        <v>2663</v>
      </c>
      <c r="B33" s="1176"/>
      <c r="C33" s="1176"/>
      <c r="D33" s="1176"/>
      <c r="E33" s="1176"/>
      <c r="F33" s="1176"/>
      <c r="G33" s="1176"/>
      <c r="H33" s="1176"/>
      <c r="I33" s="1176"/>
      <c r="J33" s="1176"/>
      <c r="K33" s="1176"/>
      <c r="M33" s="740"/>
    </row>
    <row r="34" spans="1:15" s="152" customFormat="1" ht="11.45" customHeight="1">
      <c r="A34" s="1177" t="s">
        <v>559</v>
      </c>
      <c r="B34" s="876">
        <v>112.38386795098259</v>
      </c>
      <c r="C34" s="876">
        <v>1067.7322716406693</v>
      </c>
      <c r="D34" s="876">
        <v>0</v>
      </c>
      <c r="E34" s="876">
        <v>359272.71389071271</v>
      </c>
      <c r="F34" s="876">
        <v>369577.00545705558</v>
      </c>
      <c r="G34" s="876">
        <v>4262.6595746290232</v>
      </c>
      <c r="H34" s="876">
        <v>0</v>
      </c>
      <c r="I34" s="876">
        <f>53448+2960+8421</f>
        <v>64829</v>
      </c>
      <c r="J34" s="876">
        <v>0</v>
      </c>
      <c r="K34" s="876">
        <v>4367.7310726606711</v>
      </c>
      <c r="M34" s="740"/>
      <c r="O34" s="740"/>
    </row>
    <row r="35" spans="1:15" s="152" customFormat="1" ht="11.45" customHeight="1">
      <c r="A35" s="1102" t="s">
        <v>560</v>
      </c>
      <c r="B35" s="1176">
        <v>120.4654682921157</v>
      </c>
      <c r="C35" s="1176">
        <v>1344.7890790043107</v>
      </c>
      <c r="D35" s="1176">
        <v>172.98</v>
      </c>
      <c r="E35" s="1176">
        <v>366396.78006262402</v>
      </c>
      <c r="F35" s="1176">
        <v>310782.47806843586</v>
      </c>
      <c r="G35" s="1176">
        <v>7927.3641225734664</v>
      </c>
      <c r="H35" s="1176">
        <v>0</v>
      </c>
      <c r="I35" s="1176">
        <f>0+8099+5124</f>
        <v>13223</v>
      </c>
      <c r="J35" s="1176">
        <v>0</v>
      </c>
      <c r="K35" s="1176">
        <v>4462.0527034370389</v>
      </c>
      <c r="M35" s="740"/>
      <c r="O35" s="740"/>
    </row>
    <row r="36" spans="1:15" s="152" customFormat="1" ht="11.45" customHeight="1">
      <c r="A36" s="1177" t="s">
        <v>554</v>
      </c>
      <c r="B36" s="876">
        <v>124.38221761463768</v>
      </c>
      <c r="C36" s="876">
        <v>1263.8151984024003</v>
      </c>
      <c r="D36" s="876">
        <v>348.76</v>
      </c>
      <c r="E36" s="876">
        <v>430694.48321854114</v>
      </c>
      <c r="F36" s="876">
        <v>330957.36802690249</v>
      </c>
      <c r="G36" s="876">
        <v>8162.7121473431962</v>
      </c>
      <c r="H36" s="876">
        <v>0</v>
      </c>
      <c r="I36" s="876">
        <f>80829+11269.9+720</f>
        <v>92818.9</v>
      </c>
      <c r="J36" s="876">
        <v>0</v>
      </c>
      <c r="K36" s="876">
        <v>4385.5818998150153</v>
      </c>
      <c r="M36" s="740"/>
      <c r="O36" s="740"/>
    </row>
    <row r="37" spans="1:15" s="152" customFormat="1" ht="9.9499999999999993" customHeight="1">
      <c r="A37" s="1102" t="s">
        <v>561</v>
      </c>
      <c r="B37" s="1176">
        <v>119.98478899943962</v>
      </c>
      <c r="C37" s="1176">
        <v>1651.5488318577302</v>
      </c>
      <c r="D37" s="1176">
        <v>413</v>
      </c>
      <c r="E37" s="1176">
        <v>584904.96932712139</v>
      </c>
      <c r="F37" s="1176">
        <v>365411.46375365934</v>
      </c>
      <c r="G37" s="1176">
        <v>7408.9085895677918</v>
      </c>
      <c r="H37" s="1176">
        <v>0</v>
      </c>
      <c r="I37" s="1176">
        <v>107209</v>
      </c>
      <c r="J37" s="1176">
        <v>0</v>
      </c>
      <c r="K37" s="1176">
        <v>4797.5840491760891</v>
      </c>
      <c r="M37" s="740"/>
      <c r="O37" s="740"/>
    </row>
    <row r="38" spans="1:15" s="246" customFormat="1" ht="9.9499999999999993" customHeight="1">
      <c r="A38" s="1177" t="s">
        <v>562</v>
      </c>
      <c r="B38" s="876">
        <v>130.9484243386307</v>
      </c>
      <c r="C38" s="876">
        <v>1464.7835772342967</v>
      </c>
      <c r="D38" s="876">
        <v>469</v>
      </c>
      <c r="E38" s="876">
        <v>441353.19773262495</v>
      </c>
      <c r="F38" s="876">
        <v>349781.61555380095</v>
      </c>
      <c r="G38" s="876">
        <v>7082.1944619046499</v>
      </c>
      <c r="H38" s="876">
        <v>2645</v>
      </c>
      <c r="I38" s="876">
        <v>115099</v>
      </c>
      <c r="J38" s="876">
        <v>0</v>
      </c>
      <c r="K38" s="876">
        <v>4690.0810799623887</v>
      </c>
      <c r="M38" s="740"/>
      <c r="N38" s="152"/>
      <c r="O38" s="740"/>
    </row>
    <row r="39" spans="1:15" s="246" customFormat="1" ht="9.9499999999999993" customHeight="1">
      <c r="A39" s="1651" t="s">
        <v>555</v>
      </c>
      <c r="B39" s="1652">
        <v>122.94335412413562</v>
      </c>
      <c r="C39" s="1652">
        <v>1550.7471800326043</v>
      </c>
      <c r="D39" s="1652">
        <v>401</v>
      </c>
      <c r="E39" s="1652">
        <v>424380.61472019134</v>
      </c>
      <c r="F39" s="1652">
        <v>338423.38755922229</v>
      </c>
      <c r="G39" s="1652">
        <v>5034.366660848721</v>
      </c>
      <c r="H39" s="1652">
        <v>13594</v>
      </c>
      <c r="I39" s="1652">
        <v>158102</v>
      </c>
      <c r="J39" s="1652">
        <v>0</v>
      </c>
      <c r="K39" s="1652">
        <v>5116.1384512374652</v>
      </c>
      <c r="M39" s="740"/>
      <c r="N39" s="152"/>
      <c r="O39" s="740"/>
    </row>
    <row r="40" spans="1:15" s="246" customFormat="1" ht="9.9499999999999993" customHeight="1">
      <c r="A40" s="1177" t="s">
        <v>563</v>
      </c>
      <c r="B40" s="876">
        <v>128.37432890420311</v>
      </c>
      <c r="C40" s="876">
        <v>1857.0835097782765</v>
      </c>
      <c r="D40" s="876">
        <v>219</v>
      </c>
      <c r="E40" s="876">
        <v>712811.87056475307</v>
      </c>
      <c r="F40" s="876">
        <v>327607.67238089285</v>
      </c>
      <c r="G40" s="876">
        <v>7969.0826493645491</v>
      </c>
      <c r="H40" s="876">
        <v>17885</v>
      </c>
      <c r="I40" s="876">
        <v>153647</v>
      </c>
      <c r="J40" s="876">
        <v>0</v>
      </c>
      <c r="K40" s="876">
        <v>4752.9302070180329</v>
      </c>
      <c r="M40" s="740"/>
      <c r="N40" s="152"/>
      <c r="O40" s="740"/>
    </row>
    <row r="41" spans="1:15" s="246" customFormat="1" ht="9.9499999999999993" customHeight="1">
      <c r="A41" s="1651" t="s">
        <v>564</v>
      </c>
      <c r="B41" s="1652">
        <v>119.7737662510541</v>
      </c>
      <c r="C41" s="1652">
        <v>1918.9153122375915</v>
      </c>
      <c r="D41" s="1652">
        <v>263</v>
      </c>
      <c r="E41" s="1652">
        <v>663826.80676646892</v>
      </c>
      <c r="F41" s="1652">
        <v>396263.35178880882</v>
      </c>
      <c r="G41" s="1652">
        <v>4893.3339665217372</v>
      </c>
      <c r="H41" s="1652">
        <v>8595</v>
      </c>
      <c r="I41" s="1652">
        <v>136467</v>
      </c>
      <c r="J41" s="1652">
        <v>0</v>
      </c>
      <c r="K41" s="1652">
        <v>4894.1465272267869</v>
      </c>
      <c r="M41" s="740"/>
      <c r="N41" s="152"/>
      <c r="O41" s="740"/>
    </row>
    <row r="42" spans="1:15" s="246" customFormat="1" ht="9.9499999999999993" customHeight="1">
      <c r="A42" s="1177" t="s">
        <v>556</v>
      </c>
      <c r="B42" s="876">
        <v>106.90876301855019</v>
      </c>
      <c r="C42" s="876">
        <v>1772.2380791928138</v>
      </c>
      <c r="D42" s="876">
        <v>278</v>
      </c>
      <c r="E42" s="876">
        <v>654335.77442153613</v>
      </c>
      <c r="F42" s="876">
        <v>375490.75582631945</v>
      </c>
      <c r="G42" s="876">
        <v>7605.568750533037</v>
      </c>
      <c r="H42" s="876">
        <v>608</v>
      </c>
      <c r="I42" s="876">
        <v>60986</v>
      </c>
      <c r="J42" s="876">
        <v>0</v>
      </c>
      <c r="K42" s="876">
        <v>4989.135614808406</v>
      </c>
      <c r="M42" s="740"/>
      <c r="N42" s="152"/>
      <c r="O42" s="740"/>
    </row>
    <row r="43" spans="1:15" s="246" customFormat="1" ht="9.9499999999999993" customHeight="1" thickBot="1">
      <c r="A43" s="1667" t="s">
        <v>565</v>
      </c>
      <c r="B43" s="1668">
        <v>110.46523937736539</v>
      </c>
      <c r="C43" s="1668">
        <v>1305.4002563504068</v>
      </c>
      <c r="D43" s="1668">
        <v>0</v>
      </c>
      <c r="E43" s="1668">
        <v>668721.86665301083</v>
      </c>
      <c r="F43" s="1668">
        <v>318194.96652120654</v>
      </c>
      <c r="G43" s="1668">
        <v>4848.1556336200047</v>
      </c>
      <c r="H43" s="1668">
        <v>0</v>
      </c>
      <c r="I43" s="1668">
        <v>77347</v>
      </c>
      <c r="J43" s="1668">
        <v>0</v>
      </c>
      <c r="K43" s="1668">
        <v>4507.1531271795247</v>
      </c>
      <c r="M43" s="740"/>
      <c r="N43" s="152"/>
      <c r="O43" s="740"/>
    </row>
    <row r="44" spans="1:15" s="246" customFormat="1" ht="9.9499999999999993" customHeight="1">
      <c r="A44" s="422" t="s">
        <v>675</v>
      </c>
      <c r="B44" s="2380" t="s">
        <v>1343</v>
      </c>
      <c r="C44" s="2380"/>
      <c r="D44" s="2380"/>
      <c r="E44" s="2380"/>
      <c r="F44" s="235"/>
      <c r="G44" s="423" t="s">
        <v>233</v>
      </c>
      <c r="H44" s="2381" t="s">
        <v>2174</v>
      </c>
      <c r="I44" s="2381"/>
      <c r="J44" s="2381"/>
      <c r="K44" s="2381"/>
    </row>
    <row r="45" spans="1:15" s="246" customFormat="1" ht="9.9499999999999993" customHeight="1">
      <c r="A45" s="151" t="s">
        <v>629</v>
      </c>
      <c r="B45" s="243" t="s">
        <v>1344</v>
      </c>
      <c r="C45" s="1458"/>
      <c r="D45" s="1458"/>
      <c r="E45" s="1233"/>
      <c r="F45" s="1233"/>
      <c r="G45" s="1234"/>
      <c r="H45" s="1412" t="s">
        <v>2149</v>
      </c>
      <c r="I45" s="1412"/>
      <c r="J45" s="1412"/>
      <c r="K45" s="1412"/>
    </row>
    <row r="46" spans="1:15" ht="9.9499999999999993" customHeight="1">
      <c r="A46" s="424" t="s">
        <v>234</v>
      </c>
      <c r="B46" s="2373" t="s">
        <v>2173</v>
      </c>
      <c r="C46" s="2373"/>
      <c r="D46" s="2373"/>
      <c r="E46" s="1233"/>
      <c r="F46" s="1235"/>
      <c r="G46" s="424"/>
      <c r="H46" s="2379" t="s">
        <v>2150</v>
      </c>
      <c r="I46" s="2379"/>
      <c r="J46" s="2379"/>
      <c r="K46" s="2379"/>
    </row>
    <row r="47" spans="1:15" ht="9.9499999999999993" customHeight="1">
      <c r="A47" s="424" t="s">
        <v>235</v>
      </c>
      <c r="B47" s="246"/>
      <c r="C47" s="246"/>
      <c r="D47" s="246"/>
      <c r="E47" s="730"/>
      <c r="G47" s="424"/>
      <c r="H47" s="2373" t="s">
        <v>1359</v>
      </c>
      <c r="I47" s="2373"/>
      <c r="J47" s="2373"/>
      <c r="K47" s="2373"/>
    </row>
    <row r="48" spans="1:15" ht="9.9499999999999993" customHeight="1">
      <c r="A48" s="424" t="s">
        <v>236</v>
      </c>
      <c r="B48" s="730"/>
      <c r="C48" s="730"/>
      <c r="G48" s="424"/>
      <c r="H48" s="2373" t="s">
        <v>1537</v>
      </c>
      <c r="I48" s="2373"/>
      <c r="J48" s="1458"/>
      <c r="K48" s="1458"/>
    </row>
  </sheetData>
  <customSheetViews>
    <customSheetView guid="{A374FC54-96E3-45F0-9C12-8450400C12DF}" scale="172">
      <pane xSplit="1" ySplit="4" topLeftCell="J43" activePane="bottomRight" state="frozen"/>
      <selection pane="bottomRight" activeCell="O54" sqref="O54"/>
      <pageMargins left="0.62992125984251968" right="0.39370078740157483" top="0.51180993000874886" bottom="0.51180993000874886" header="0" footer="0.51333333333333331"/>
      <pageSetup paperSize="132" firstPageNumber="40" orientation="portrait" useFirstPageNumber="1" r:id="rId1"/>
      <headerFooter alignWithMargins="0">
        <oddFooter>&amp;C&amp;"Times New Roman,Regular"&amp;8&amp;P</oddFooter>
      </headerFooter>
    </customSheetView>
  </customSheetViews>
  <mergeCells count="11">
    <mergeCell ref="H48:I48"/>
    <mergeCell ref="A1:I1"/>
    <mergeCell ref="J1:K1"/>
    <mergeCell ref="G2:I2"/>
    <mergeCell ref="A3:A4"/>
    <mergeCell ref="C2:E2"/>
    <mergeCell ref="H46:K46"/>
    <mergeCell ref="B44:E44"/>
    <mergeCell ref="H44:K44"/>
    <mergeCell ref="B46:D46"/>
    <mergeCell ref="H47:K47"/>
  </mergeCells>
  <phoneticPr fontId="6" type="noConversion"/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L54"/>
  <sheetViews>
    <sheetView topLeftCell="A25" zoomScale="160" zoomScaleNormal="160" workbookViewId="0">
      <selection activeCell="J29" sqref="J29"/>
    </sheetView>
  </sheetViews>
  <sheetFormatPr defaultColWidth="9.140625" defaultRowHeight="12.75"/>
  <cols>
    <col min="1" max="1" width="7.5703125" style="2" customWidth="1"/>
    <col min="2" max="2" width="9.28515625" style="2" customWidth="1"/>
    <col min="3" max="3" width="8.140625" style="2" customWidth="1"/>
    <col min="4" max="4" width="10.140625" style="2" customWidth="1"/>
    <col min="5" max="5" width="9.85546875" style="2" customWidth="1"/>
    <col min="6" max="6" width="11" style="2" customWidth="1"/>
    <col min="7" max="7" width="10.140625" style="2" customWidth="1"/>
    <col min="8" max="8" width="9.85546875" style="2" customWidth="1"/>
    <col min="9" max="9" width="11.5703125" style="2" customWidth="1"/>
    <col min="10" max="10" width="11.42578125" style="2" customWidth="1"/>
    <col min="11" max="16384" width="9.140625" style="2"/>
  </cols>
  <sheetData>
    <row r="1" spans="1:12" s="31" customFormat="1" ht="15.75" customHeight="1">
      <c r="A1" s="2384" t="s">
        <v>2151</v>
      </c>
      <c r="B1" s="2384"/>
      <c r="C1" s="2384"/>
      <c r="D1" s="2384"/>
      <c r="E1" s="2384"/>
      <c r="F1" s="2384"/>
      <c r="G1" s="2382" t="s">
        <v>2175</v>
      </c>
      <c r="H1" s="2382"/>
    </row>
    <row r="2" spans="1:12" s="31" customFormat="1" ht="8.25" customHeight="1">
      <c r="A2" s="1340"/>
      <c r="B2" s="1340"/>
      <c r="C2" s="1340"/>
      <c r="D2" s="1340"/>
      <c r="E2" s="1340"/>
      <c r="F2" s="1340"/>
      <c r="G2" s="1341"/>
      <c r="H2" s="1341"/>
    </row>
    <row r="3" spans="1:12" s="798" customFormat="1" ht="9.75" customHeight="1">
      <c r="A3" s="2298" t="s">
        <v>481</v>
      </c>
      <c r="B3" s="2383" t="s">
        <v>1274</v>
      </c>
      <c r="C3" s="2383"/>
      <c r="D3" s="2383" t="s">
        <v>91</v>
      </c>
      <c r="E3" s="2383"/>
      <c r="F3" s="2055" t="s">
        <v>2046</v>
      </c>
      <c r="G3" s="2383" t="s">
        <v>1241</v>
      </c>
      <c r="H3" s="2383"/>
    </row>
    <row r="4" spans="1:12" s="798" customFormat="1" ht="19.5" customHeight="1">
      <c r="A4" s="2298"/>
      <c r="B4" s="2056" t="s">
        <v>2045</v>
      </c>
      <c r="C4" s="2056" t="s">
        <v>2152</v>
      </c>
      <c r="D4" s="2056" t="s">
        <v>1363</v>
      </c>
      <c r="E4" s="2056" t="s">
        <v>1364</v>
      </c>
      <c r="F4" s="2056"/>
      <c r="G4" s="2056" t="s">
        <v>2132</v>
      </c>
      <c r="H4" s="2056" t="s">
        <v>1365</v>
      </c>
    </row>
    <row r="5" spans="1:12" s="798" customFormat="1" ht="12.75" customHeight="1">
      <c r="A5" s="2298"/>
      <c r="B5" s="2056"/>
      <c r="C5" s="2056"/>
      <c r="D5" s="2056"/>
      <c r="E5" s="2056"/>
      <c r="F5" s="2056"/>
      <c r="G5" s="2056"/>
      <c r="H5" s="2056"/>
    </row>
    <row r="6" spans="1:12" s="798" customFormat="1" ht="12.75" customHeight="1">
      <c r="A6" s="2299"/>
      <c r="B6" s="2056"/>
      <c r="C6" s="2056"/>
      <c r="D6" s="2056"/>
      <c r="E6" s="2056"/>
      <c r="F6" s="2056"/>
      <c r="G6" s="2056"/>
      <c r="H6" s="2056"/>
    </row>
    <row r="7" spans="1:12" s="201" customFormat="1" ht="9" customHeight="1">
      <c r="A7" s="764">
        <v>2014</v>
      </c>
      <c r="B7" s="766">
        <v>5375</v>
      </c>
      <c r="C7" s="766">
        <v>12500</v>
      </c>
      <c r="D7" s="630">
        <v>40</v>
      </c>
      <c r="E7" s="766">
        <v>48600</v>
      </c>
      <c r="F7" s="630">
        <v>185.97166666666666</v>
      </c>
      <c r="G7" s="766">
        <v>1078.75</v>
      </c>
      <c r="H7" s="766">
        <v>109.33333333333333</v>
      </c>
    </row>
    <row r="8" spans="1:12" s="201" customFormat="1" ht="9" customHeight="1">
      <c r="A8" s="765">
        <v>2015</v>
      </c>
      <c r="B8" s="767">
        <v>5770.833333333333</v>
      </c>
      <c r="C8" s="767">
        <v>13650</v>
      </c>
      <c r="D8" s="679">
        <v>37.666666666666664</v>
      </c>
      <c r="E8" s="767">
        <v>44166.666666666664</v>
      </c>
      <c r="F8" s="679">
        <v>166.07666666666668</v>
      </c>
      <c r="G8" s="767">
        <v>1287.5</v>
      </c>
      <c r="H8" s="767">
        <v>96.416666666666671</v>
      </c>
    </row>
    <row r="9" spans="1:12" s="778" customFormat="1" ht="9" customHeight="1">
      <c r="A9" s="764">
        <v>2016</v>
      </c>
      <c r="B9" s="728">
        <v>6375</v>
      </c>
      <c r="C9" s="728">
        <v>15100</v>
      </c>
      <c r="D9" s="630">
        <v>38.416666666666664</v>
      </c>
      <c r="E9" s="766">
        <v>44000</v>
      </c>
      <c r="F9" s="630">
        <v>161.27999999999997</v>
      </c>
      <c r="G9" s="766">
        <v>1009.1666666666666</v>
      </c>
      <c r="H9" s="766">
        <v>87</v>
      </c>
    </row>
    <row r="10" spans="1:12" s="778" customFormat="1" ht="9" customHeight="1">
      <c r="A10" s="765">
        <v>2017</v>
      </c>
      <c r="B10" s="716">
        <v>6375</v>
      </c>
      <c r="C10" s="716">
        <v>15100</v>
      </c>
      <c r="D10" s="679">
        <v>45.166666666666664</v>
      </c>
      <c r="E10" s="767">
        <v>43173.333333333336</v>
      </c>
      <c r="F10" s="679">
        <v>164.67</v>
      </c>
      <c r="G10" s="767">
        <v>778.75</v>
      </c>
      <c r="H10" s="767">
        <v>67.666666666666671</v>
      </c>
    </row>
    <row r="11" spans="1:12" s="778" customFormat="1" ht="9" customHeight="1">
      <c r="A11" s="764">
        <v>2018</v>
      </c>
      <c r="B11" s="728">
        <v>6375</v>
      </c>
      <c r="C11" s="728">
        <v>15100</v>
      </c>
      <c r="D11" s="630">
        <v>44.666666666666664</v>
      </c>
      <c r="E11" s="766">
        <v>41401.666666666664</v>
      </c>
      <c r="F11" s="630">
        <v>171.87749999999997</v>
      </c>
      <c r="G11" s="766">
        <v>690.83333333333337</v>
      </c>
      <c r="H11" s="766">
        <v>59.166666666666664</v>
      </c>
    </row>
    <row r="12" spans="1:12" s="238" customFormat="1" ht="9" customHeight="1">
      <c r="A12" s="1095">
        <v>2019</v>
      </c>
      <c r="B12" s="767">
        <v>6385.416666666667</v>
      </c>
      <c r="C12" s="767">
        <v>15125</v>
      </c>
      <c r="D12" s="679">
        <v>35.583333333333336</v>
      </c>
      <c r="E12" s="767">
        <v>41673.333333333336</v>
      </c>
      <c r="F12" s="679">
        <v>172.48000000000002</v>
      </c>
      <c r="G12" s="767">
        <v>500.33333333333331</v>
      </c>
      <c r="H12" s="767">
        <v>45.75</v>
      </c>
    </row>
    <row r="13" spans="1:12" s="238" customFormat="1" ht="9" customHeight="1">
      <c r="A13" s="1096">
        <v>2020</v>
      </c>
      <c r="B13" s="766">
        <v>6677.083333333333</v>
      </c>
      <c r="C13" s="766">
        <v>15812.5</v>
      </c>
      <c r="D13" s="630">
        <v>43.75</v>
      </c>
      <c r="E13" s="766">
        <v>66450.416666666672</v>
      </c>
      <c r="F13" s="630">
        <v>180.03</v>
      </c>
      <c r="G13" s="766">
        <v>299.75</v>
      </c>
      <c r="H13" s="766">
        <v>22.75</v>
      </c>
    </row>
    <row r="14" spans="1:12" s="238" customFormat="1" ht="9" customHeight="1">
      <c r="A14" s="1095">
        <v>2021</v>
      </c>
      <c r="B14" s="716">
        <v>14750</v>
      </c>
      <c r="C14" s="716">
        <v>31700</v>
      </c>
      <c r="D14" s="679">
        <v>52</v>
      </c>
      <c r="E14" s="767">
        <v>64838.400000000001</v>
      </c>
      <c r="F14" s="679">
        <v>212.56583333333336</v>
      </c>
      <c r="G14" s="767">
        <v>311.5</v>
      </c>
      <c r="H14" s="767">
        <v>26.75</v>
      </c>
    </row>
    <row r="15" spans="1:12" s="238" customFormat="1" ht="9" customHeight="1">
      <c r="A15" s="1098">
        <v>2022</v>
      </c>
      <c r="B15" s="769">
        <v>12208.333333333334</v>
      </c>
      <c r="C15" s="769">
        <v>26283.333333333332</v>
      </c>
      <c r="D15" s="768">
        <v>52.916666666666664</v>
      </c>
      <c r="E15" s="769">
        <v>68920.833333333328</v>
      </c>
      <c r="F15" s="768">
        <v>224.35833333333335</v>
      </c>
      <c r="G15" s="769">
        <v>449</v>
      </c>
      <c r="H15" s="769">
        <v>25.166666666666668</v>
      </c>
      <c r="L15" s="8"/>
    </row>
    <row r="16" spans="1:12" s="238" customFormat="1" ht="9" customHeight="1">
      <c r="A16" s="1097">
        <v>2023</v>
      </c>
      <c r="B16" s="928">
        <v>11700</v>
      </c>
      <c r="C16" s="928">
        <v>24975</v>
      </c>
      <c r="D16" s="770">
        <v>54.5</v>
      </c>
      <c r="E16" s="771">
        <v>84539.166666666672</v>
      </c>
      <c r="F16" s="770">
        <v>202.33083333333335</v>
      </c>
      <c r="G16" s="771">
        <v>531.41666666666663</v>
      </c>
      <c r="H16" s="771">
        <v>34.5</v>
      </c>
      <c r="L16" s="153"/>
    </row>
    <row r="17" spans="1:9" s="238" customFormat="1" ht="9" customHeight="1">
      <c r="A17" s="1098">
        <v>2024</v>
      </c>
      <c r="B17" s="769">
        <f>AVERAGE(B18:B29)</f>
        <v>12308.333333333334</v>
      </c>
      <c r="C17" s="1300">
        <f t="shared" ref="C17:D17" si="0">AVERAGE(C18:C29)</f>
        <v>26350</v>
      </c>
      <c r="D17" s="768">
        <f t="shared" si="0"/>
        <v>58</v>
      </c>
      <c r="E17" s="769">
        <f>AVERAGE(E18:E29)</f>
        <v>106997.33333333333</v>
      </c>
      <c r="F17" s="768">
        <f>AVERAGE(F18:F29)</f>
        <v>186.54666666666665</v>
      </c>
      <c r="G17" s="769">
        <f t="shared" ref="G17:H17" si="1">AVERAGE(G18:G29)</f>
        <v>647.33333333333337</v>
      </c>
      <c r="H17" s="769">
        <f t="shared" si="1"/>
        <v>13.847500000000002</v>
      </c>
    </row>
    <row r="18" spans="1:9" s="238" customFormat="1" ht="9" customHeight="1">
      <c r="A18" s="1095" t="s">
        <v>563</v>
      </c>
      <c r="B18" s="767">
        <v>11700</v>
      </c>
      <c r="C18" s="767">
        <v>25200</v>
      </c>
      <c r="D18" s="679">
        <v>54</v>
      </c>
      <c r="E18" s="716">
        <v>95090</v>
      </c>
      <c r="F18" s="773">
        <v>191.05</v>
      </c>
      <c r="G18" s="781">
        <v>778</v>
      </c>
      <c r="H18" s="781">
        <v>34</v>
      </c>
    </row>
    <row r="19" spans="1:9" s="238" customFormat="1" ht="9" customHeight="1">
      <c r="A19" s="1096" t="s">
        <v>564</v>
      </c>
      <c r="B19" s="728">
        <v>11700</v>
      </c>
      <c r="C19" s="728">
        <v>25200</v>
      </c>
      <c r="D19" s="630">
        <v>55</v>
      </c>
      <c r="E19" s="728">
        <v>95540</v>
      </c>
      <c r="F19" s="772">
        <v>187.11</v>
      </c>
      <c r="G19" s="728">
        <v>1100</v>
      </c>
      <c r="H19" s="782">
        <v>13</v>
      </c>
    </row>
    <row r="20" spans="1:9" s="238" customFormat="1" ht="9" customHeight="1">
      <c r="A20" s="1095" t="s">
        <v>556</v>
      </c>
      <c r="B20" s="767">
        <v>11700</v>
      </c>
      <c r="C20" s="767">
        <v>25200</v>
      </c>
      <c r="D20" s="679">
        <v>55</v>
      </c>
      <c r="E20" s="716">
        <v>97800</v>
      </c>
      <c r="F20" s="773">
        <v>162.69</v>
      </c>
      <c r="G20" s="781">
        <v>917</v>
      </c>
      <c r="H20" s="781">
        <v>11</v>
      </c>
    </row>
    <row r="21" spans="1:9" s="238" customFormat="1" ht="9" customHeight="1">
      <c r="A21" s="1096" t="s">
        <v>565</v>
      </c>
      <c r="B21" s="728">
        <v>11700</v>
      </c>
      <c r="C21" s="728">
        <v>25200</v>
      </c>
      <c r="D21" s="630">
        <v>55</v>
      </c>
      <c r="E21" s="728">
        <v>96550</v>
      </c>
      <c r="F21" s="772">
        <v>175.58</v>
      </c>
      <c r="G21" s="728">
        <v>869</v>
      </c>
      <c r="H21" s="782">
        <v>11</v>
      </c>
    </row>
    <row r="22" spans="1:9" s="238" customFormat="1" ht="9" customHeight="1">
      <c r="A22" s="1095" t="s">
        <v>566</v>
      </c>
      <c r="B22" s="716">
        <v>11700</v>
      </c>
      <c r="C22" s="716">
        <v>25200</v>
      </c>
      <c r="D22" s="679">
        <v>56</v>
      </c>
      <c r="E22" s="716">
        <v>102910</v>
      </c>
      <c r="F22" s="773">
        <v>147.36000000000001</v>
      </c>
      <c r="G22" s="716">
        <v>830</v>
      </c>
      <c r="H22" s="781">
        <v>20</v>
      </c>
    </row>
    <row r="23" spans="1:9" s="238" customFormat="1" ht="9" customHeight="1">
      <c r="A23" s="1096" t="s">
        <v>557</v>
      </c>
      <c r="B23" s="728">
        <v>11700</v>
      </c>
      <c r="C23" s="728">
        <v>25200</v>
      </c>
      <c r="D23" s="630">
        <v>57</v>
      </c>
      <c r="E23" s="728">
        <v>102910</v>
      </c>
      <c r="F23" s="772">
        <v>168.59</v>
      </c>
      <c r="G23" s="728">
        <v>827</v>
      </c>
      <c r="H23" s="782">
        <v>20</v>
      </c>
    </row>
    <row r="24" spans="1:9" s="238" customFormat="1" ht="9" customHeight="1">
      <c r="A24" s="1095" t="s">
        <v>559</v>
      </c>
      <c r="B24" s="716">
        <v>13000</v>
      </c>
      <c r="C24" s="716">
        <v>27700</v>
      </c>
      <c r="D24" s="679">
        <v>58</v>
      </c>
      <c r="E24" s="716">
        <v>109120</v>
      </c>
      <c r="F24" s="773">
        <v>191.1</v>
      </c>
      <c r="G24" s="716">
        <v>759</v>
      </c>
      <c r="H24" s="781">
        <v>35</v>
      </c>
    </row>
    <row r="25" spans="1:9" s="238" customFormat="1" ht="9" customHeight="1">
      <c r="A25" s="1096" t="s">
        <v>560</v>
      </c>
      <c r="B25" s="728">
        <v>13000</v>
      </c>
      <c r="C25" s="728">
        <v>27700</v>
      </c>
      <c r="D25" s="630">
        <v>60</v>
      </c>
      <c r="E25" s="728">
        <v>105500</v>
      </c>
      <c r="F25" s="772">
        <v>192.28</v>
      </c>
      <c r="G25" s="728">
        <v>560</v>
      </c>
      <c r="H25" s="782">
        <v>6.68</v>
      </c>
    </row>
    <row r="26" spans="1:9" s="238" customFormat="1" ht="9" customHeight="1">
      <c r="A26" s="1095" t="s">
        <v>554</v>
      </c>
      <c r="B26" s="716">
        <v>13000</v>
      </c>
      <c r="C26" s="716">
        <v>27700</v>
      </c>
      <c r="D26" s="679">
        <v>61</v>
      </c>
      <c r="E26" s="716">
        <v>120068</v>
      </c>
      <c r="F26" s="773">
        <v>199.45</v>
      </c>
      <c r="G26" s="716">
        <v>550</v>
      </c>
      <c r="H26" s="781">
        <v>6.25</v>
      </c>
    </row>
    <row r="27" spans="1:9" s="238" customFormat="1" ht="9" customHeight="1">
      <c r="A27" s="1096" t="s">
        <v>561</v>
      </c>
      <c r="B27" s="728">
        <v>13000</v>
      </c>
      <c r="C27" s="728">
        <v>27700</v>
      </c>
      <c r="D27" s="630">
        <v>62</v>
      </c>
      <c r="E27" s="728">
        <v>119210</v>
      </c>
      <c r="F27" s="772">
        <v>223.8</v>
      </c>
      <c r="G27" s="728">
        <v>578</v>
      </c>
      <c r="H27" s="782">
        <v>9.24</v>
      </c>
    </row>
    <row r="28" spans="1:9" s="238" customFormat="1" ht="9" customHeight="1">
      <c r="A28" s="1095" t="s">
        <v>562</v>
      </c>
      <c r="B28" s="716">
        <v>13000</v>
      </c>
      <c r="C28" s="716">
        <v>27700</v>
      </c>
      <c r="D28" s="679">
        <v>62</v>
      </c>
      <c r="E28" s="716">
        <v>118350</v>
      </c>
      <c r="F28" s="773">
        <v>190.96</v>
      </c>
      <c r="G28" s="716">
        <v>0</v>
      </c>
      <c r="H28" s="781">
        <v>0</v>
      </c>
    </row>
    <row r="29" spans="1:9" s="238" customFormat="1" ht="9" customHeight="1">
      <c r="A29" s="1096" t="s">
        <v>555</v>
      </c>
      <c r="B29" s="728">
        <v>12500</v>
      </c>
      <c r="C29" s="728">
        <v>26500</v>
      </c>
      <c r="D29" s="630">
        <v>61</v>
      </c>
      <c r="E29" s="728">
        <v>120920</v>
      </c>
      <c r="F29" s="772">
        <v>208.59</v>
      </c>
      <c r="G29" s="728">
        <v>0</v>
      </c>
      <c r="H29" s="782">
        <v>0</v>
      </c>
    </row>
    <row r="30" spans="1:9" s="238" customFormat="1" ht="9" customHeight="1">
      <c r="A30" s="1097">
        <v>2025</v>
      </c>
      <c r="B30" s="771">
        <f>AVERAGE(B31:B42)</f>
        <v>12520.833333333334</v>
      </c>
      <c r="C30" s="771">
        <f t="shared" ref="C30:D30" si="2">AVERAGE(C31:C42)</f>
        <v>26541.666666666668</v>
      </c>
      <c r="D30" s="770">
        <f t="shared" si="2"/>
        <v>61.75</v>
      </c>
      <c r="E30" s="771">
        <f>AVERAGE(E31:E42)</f>
        <v>151111.76666666666</v>
      </c>
      <c r="F30" s="770">
        <f>AVERAGE(F31:F42)</f>
        <v>223.41333333333338</v>
      </c>
      <c r="G30" s="771" t="s">
        <v>292</v>
      </c>
      <c r="H30" s="771" t="s">
        <v>292</v>
      </c>
    </row>
    <row r="31" spans="1:9" s="238" customFormat="1" ht="9" customHeight="1">
      <c r="A31" s="1096" t="s">
        <v>563</v>
      </c>
      <c r="B31" s="728">
        <v>12500</v>
      </c>
      <c r="C31" s="728">
        <v>26500</v>
      </c>
      <c r="D31" s="630">
        <v>63</v>
      </c>
      <c r="E31" s="766">
        <v>118543.2</v>
      </c>
      <c r="F31" s="772">
        <v>186.73</v>
      </c>
      <c r="G31" s="728" t="s">
        <v>292</v>
      </c>
      <c r="H31" s="782" t="s">
        <v>292</v>
      </c>
    </row>
    <row r="32" spans="1:9" s="238" customFormat="1" ht="9" customHeight="1">
      <c r="A32" s="1095" t="s">
        <v>564</v>
      </c>
      <c r="B32" s="716">
        <v>12500</v>
      </c>
      <c r="C32" s="716">
        <v>26500</v>
      </c>
      <c r="D32" s="679">
        <v>63</v>
      </c>
      <c r="E32" s="767">
        <v>123053.5</v>
      </c>
      <c r="F32" s="773">
        <v>184.24</v>
      </c>
      <c r="G32" s="716" t="s">
        <v>292</v>
      </c>
      <c r="H32" s="781" t="s">
        <v>292</v>
      </c>
      <c r="I32" s="930"/>
    </row>
    <row r="33" spans="1:11" s="238" customFormat="1" ht="9" customHeight="1">
      <c r="A33" s="1096" t="s">
        <v>556</v>
      </c>
      <c r="B33" s="728">
        <v>12500</v>
      </c>
      <c r="C33" s="728">
        <v>26500</v>
      </c>
      <c r="D33" s="630">
        <v>59</v>
      </c>
      <c r="E33" s="766">
        <v>132885.9</v>
      </c>
      <c r="F33" s="772">
        <v>337.79</v>
      </c>
      <c r="G33" s="728" t="s">
        <v>292</v>
      </c>
      <c r="H33" s="728" t="s">
        <v>292</v>
      </c>
    </row>
    <row r="34" spans="1:11" s="238" customFormat="1" ht="9" customHeight="1">
      <c r="A34" s="1095" t="s">
        <v>565</v>
      </c>
      <c r="B34" s="716">
        <v>12500</v>
      </c>
      <c r="C34" s="716">
        <v>26500</v>
      </c>
      <c r="D34" s="679">
        <v>62</v>
      </c>
      <c r="E34" s="767">
        <v>141688.6</v>
      </c>
      <c r="F34" s="716">
        <v>188.19</v>
      </c>
      <c r="G34" s="716" t="s">
        <v>292</v>
      </c>
      <c r="H34" s="716" t="s">
        <v>292</v>
      </c>
    </row>
    <row r="35" spans="1:11" s="238" customFormat="1" ht="9" customHeight="1">
      <c r="A35" s="1096" t="s">
        <v>566</v>
      </c>
      <c r="B35" s="728">
        <v>12500</v>
      </c>
      <c r="C35" s="728">
        <v>26500</v>
      </c>
      <c r="D35" s="630">
        <v>62</v>
      </c>
      <c r="E35" s="766">
        <v>145680</v>
      </c>
      <c r="F35" s="772">
        <v>186.17</v>
      </c>
      <c r="G35" s="728" t="s">
        <v>292</v>
      </c>
      <c r="H35" s="728" t="s">
        <v>292</v>
      </c>
    </row>
    <row r="36" spans="1:11" s="238" customFormat="1" ht="9" customHeight="1">
      <c r="A36" s="1095" t="s">
        <v>557</v>
      </c>
      <c r="B36" s="716">
        <v>12500</v>
      </c>
      <c r="C36" s="716">
        <v>26500</v>
      </c>
      <c r="D36" s="679">
        <v>62</v>
      </c>
      <c r="E36" s="767">
        <v>145950</v>
      </c>
      <c r="F36" s="773">
        <v>221.68</v>
      </c>
      <c r="G36" s="716" t="s">
        <v>292</v>
      </c>
      <c r="H36" s="716" t="s">
        <v>292</v>
      </c>
    </row>
    <row r="37" spans="1:11" s="238" customFormat="1" ht="9" customHeight="1">
      <c r="A37" s="1096" t="s">
        <v>559</v>
      </c>
      <c r="B37" s="728">
        <v>12500</v>
      </c>
      <c r="C37" s="728">
        <v>26500</v>
      </c>
      <c r="D37" s="630">
        <v>63</v>
      </c>
      <c r="E37" s="728">
        <v>147120</v>
      </c>
      <c r="F37" s="772">
        <v>232.71</v>
      </c>
      <c r="G37" s="728" t="s">
        <v>292</v>
      </c>
      <c r="H37" s="728" t="s">
        <v>292</v>
      </c>
    </row>
    <row r="38" spans="1:11" s="238" customFormat="1" ht="9" customHeight="1">
      <c r="A38" s="1095" t="s">
        <v>560</v>
      </c>
      <c r="B38" s="716">
        <v>12500</v>
      </c>
      <c r="C38" s="716">
        <v>26500</v>
      </c>
      <c r="D38" s="679">
        <v>63</v>
      </c>
      <c r="E38" s="716">
        <v>148020</v>
      </c>
      <c r="F38" s="773">
        <v>203.74</v>
      </c>
      <c r="G38" s="716" t="s">
        <v>292</v>
      </c>
      <c r="H38" s="716" t="s">
        <v>292</v>
      </c>
    </row>
    <row r="39" spans="1:11" s="238" customFormat="1" ht="9" customHeight="1">
      <c r="A39" s="1096" t="s">
        <v>554</v>
      </c>
      <c r="B39" s="728">
        <v>12500</v>
      </c>
      <c r="C39" s="728">
        <v>26500</v>
      </c>
      <c r="D39" s="630">
        <v>64</v>
      </c>
      <c r="E39" s="728">
        <v>162350</v>
      </c>
      <c r="F39" s="772">
        <v>232.98</v>
      </c>
      <c r="G39" s="728" t="s">
        <v>292</v>
      </c>
      <c r="H39" s="728" t="s">
        <v>292</v>
      </c>
    </row>
    <row r="40" spans="1:11" s="238" customFormat="1" ht="9" customHeight="1">
      <c r="A40" s="1095" t="s">
        <v>561</v>
      </c>
      <c r="B40" s="716">
        <v>12500</v>
      </c>
      <c r="C40" s="716">
        <v>26500</v>
      </c>
      <c r="D40" s="679">
        <v>62</v>
      </c>
      <c r="E40" s="716">
        <v>179180</v>
      </c>
      <c r="F40" s="773">
        <v>230.86</v>
      </c>
      <c r="G40" s="716" t="s">
        <v>292</v>
      </c>
      <c r="H40" s="716" t="s">
        <v>292</v>
      </c>
    </row>
    <row r="41" spans="1:11" s="243" customFormat="1" ht="9" customHeight="1">
      <c r="A41" s="1096" t="s">
        <v>562</v>
      </c>
      <c r="B41" s="728">
        <v>12500</v>
      </c>
      <c r="C41" s="728">
        <v>26500</v>
      </c>
      <c r="D41" s="630">
        <v>60</v>
      </c>
      <c r="E41" s="728">
        <v>178470</v>
      </c>
      <c r="F41" s="728">
        <v>232.07</v>
      </c>
      <c r="G41" s="728" t="s">
        <v>292</v>
      </c>
      <c r="H41" s="728" t="s">
        <v>292</v>
      </c>
      <c r="K41" s="238"/>
    </row>
    <row r="42" spans="1:11" s="238" customFormat="1" ht="9" customHeight="1">
      <c r="A42" s="1095" t="s">
        <v>555</v>
      </c>
      <c r="B42" s="716">
        <v>12750</v>
      </c>
      <c r="C42" s="716">
        <v>27000</v>
      </c>
      <c r="D42" s="679">
        <v>58</v>
      </c>
      <c r="E42" s="716">
        <v>190400</v>
      </c>
      <c r="F42" s="679">
        <v>243.8</v>
      </c>
      <c r="G42" s="716" t="s">
        <v>292</v>
      </c>
      <c r="H42" s="716" t="s">
        <v>292</v>
      </c>
    </row>
    <row r="43" spans="1:11" s="35" customFormat="1" ht="9" customHeight="1">
      <c r="A43" s="1098">
        <v>2026</v>
      </c>
      <c r="B43" s="769"/>
      <c r="C43" s="769"/>
      <c r="D43" s="768"/>
      <c r="E43" s="769"/>
      <c r="F43" s="768"/>
      <c r="G43" s="769"/>
      <c r="H43" s="769"/>
      <c r="K43" s="238"/>
    </row>
    <row r="44" spans="1:11" s="35" customFormat="1" ht="9" customHeight="1">
      <c r="A44" s="1095" t="s">
        <v>563</v>
      </c>
      <c r="B44" s="767">
        <v>15500</v>
      </c>
      <c r="C44" s="767">
        <v>32500</v>
      </c>
      <c r="D44" s="679">
        <v>59</v>
      </c>
      <c r="E44" s="716">
        <v>219150</v>
      </c>
      <c r="F44" s="773">
        <v>250.85</v>
      </c>
      <c r="G44" s="781" t="s">
        <v>292</v>
      </c>
      <c r="H44" s="781" t="s">
        <v>292</v>
      </c>
    </row>
    <row r="45" spans="1:11" s="35" customFormat="1" ht="9.75">
      <c r="A45" s="1096" t="s">
        <v>564</v>
      </c>
      <c r="B45" s="766">
        <v>15500</v>
      </c>
      <c r="C45" s="766">
        <v>32500</v>
      </c>
      <c r="D45" s="630">
        <v>59</v>
      </c>
      <c r="E45" s="728">
        <v>220350</v>
      </c>
      <c r="F45" s="772">
        <v>234.22</v>
      </c>
      <c r="G45" s="782" t="s">
        <v>292</v>
      </c>
      <c r="H45" s="782" t="s">
        <v>292</v>
      </c>
    </row>
    <row r="46" spans="1:11" ht="10.5" customHeight="1">
      <c r="A46" s="1095" t="s">
        <v>556</v>
      </c>
      <c r="B46" s="767">
        <v>15500</v>
      </c>
      <c r="C46" s="767">
        <v>32500</v>
      </c>
      <c r="D46" s="679">
        <v>59</v>
      </c>
      <c r="E46" s="716" t="s">
        <v>292</v>
      </c>
      <c r="F46" s="773">
        <v>236.09</v>
      </c>
      <c r="G46" s="781" t="s">
        <v>292</v>
      </c>
      <c r="H46" s="781" t="s">
        <v>292</v>
      </c>
    </row>
    <row r="47" spans="1:11" ht="10.5" customHeight="1">
      <c r="A47" s="1096" t="s">
        <v>565</v>
      </c>
      <c r="B47" s="766">
        <v>15500</v>
      </c>
      <c r="C47" s="766">
        <v>32500</v>
      </c>
      <c r="D47" s="630">
        <v>58</v>
      </c>
      <c r="E47" s="728" t="s">
        <v>292</v>
      </c>
      <c r="F47" s="772">
        <v>237.43</v>
      </c>
      <c r="G47" s="782" t="s">
        <v>292</v>
      </c>
      <c r="H47" s="782" t="s">
        <v>292</v>
      </c>
    </row>
    <row r="48" spans="1:11" ht="9" customHeight="1">
      <c r="A48" s="1095" t="s">
        <v>566</v>
      </c>
      <c r="B48" s="767">
        <v>14750</v>
      </c>
      <c r="C48" s="767">
        <v>31500</v>
      </c>
      <c r="D48" s="679">
        <v>58</v>
      </c>
      <c r="E48" s="716" t="s">
        <v>292</v>
      </c>
      <c r="F48" s="773" t="s">
        <v>292</v>
      </c>
      <c r="G48" s="781" t="s">
        <v>292</v>
      </c>
      <c r="H48" s="781" t="s">
        <v>292</v>
      </c>
    </row>
    <row r="49" spans="1:8" ht="9.75" customHeight="1">
      <c r="A49" s="1096" t="s">
        <v>557</v>
      </c>
      <c r="B49" s="766">
        <v>14750</v>
      </c>
      <c r="C49" s="766">
        <v>31500</v>
      </c>
      <c r="D49" s="630">
        <v>58</v>
      </c>
      <c r="E49" s="728" t="s">
        <v>292</v>
      </c>
      <c r="F49" s="772" t="s">
        <v>292</v>
      </c>
      <c r="G49" s="782" t="s">
        <v>292</v>
      </c>
      <c r="H49" s="782" t="s">
        <v>292</v>
      </c>
    </row>
    <row r="50" spans="1:8" ht="11.25" customHeight="1" thickBot="1">
      <c r="A50" s="1463" t="s">
        <v>559</v>
      </c>
      <c r="B50" s="1488">
        <v>14000</v>
      </c>
      <c r="C50" s="1488">
        <v>31100</v>
      </c>
      <c r="D50" s="629">
        <v>59</v>
      </c>
      <c r="E50" s="672" t="s">
        <v>292</v>
      </c>
      <c r="F50" s="1489" t="s">
        <v>292</v>
      </c>
      <c r="G50" s="1490" t="s">
        <v>292</v>
      </c>
      <c r="H50" s="1490" t="s">
        <v>292</v>
      </c>
    </row>
    <row r="51" spans="1:8">
      <c r="A51" s="701" t="s">
        <v>1794</v>
      </c>
      <c r="B51" s="2386" t="s">
        <v>1220</v>
      </c>
      <c r="C51" s="2386"/>
      <c r="D51" s="2386"/>
      <c r="E51" s="2386" t="s">
        <v>2153</v>
      </c>
      <c r="F51" s="2386"/>
      <c r="G51" s="44"/>
      <c r="H51" s="44"/>
    </row>
    <row r="52" spans="1:8">
      <c r="A52" s="616"/>
      <c r="B52" s="2385" t="s">
        <v>2154</v>
      </c>
      <c r="C52" s="2385"/>
      <c r="D52" s="2385"/>
      <c r="E52" s="2386" t="s">
        <v>2155</v>
      </c>
      <c r="F52" s="2386"/>
      <c r="G52" s="44"/>
      <c r="H52" s="35" t="s">
        <v>1345</v>
      </c>
    </row>
    <row r="53" spans="1:8">
      <c r="A53" s="34"/>
      <c r="B53" s="34"/>
      <c r="C53" s="131"/>
      <c r="D53" s="44"/>
      <c r="E53" s="34"/>
      <c r="F53" s="44"/>
      <c r="G53" s="44" t="s">
        <v>2698</v>
      </c>
      <c r="H53" s="44"/>
    </row>
    <row r="54" spans="1:8">
      <c r="A54" s="35"/>
      <c r="B54" s="799"/>
      <c r="C54" s="35"/>
      <c r="D54" s="35"/>
      <c r="E54" s="35"/>
      <c r="F54" s="35"/>
      <c r="G54" s="35"/>
      <c r="H54" s="800"/>
    </row>
  </sheetData>
  <mergeCells count="17">
    <mergeCell ref="B52:D52"/>
    <mergeCell ref="E52:F52"/>
    <mergeCell ref="B51:D51"/>
    <mergeCell ref="E51:F51"/>
    <mergeCell ref="G1:H1"/>
    <mergeCell ref="G3:H3"/>
    <mergeCell ref="G4:G6"/>
    <mergeCell ref="H4:H6"/>
    <mergeCell ref="A1:F1"/>
    <mergeCell ref="A3:A6"/>
    <mergeCell ref="B3:C3"/>
    <mergeCell ref="D3:E3"/>
    <mergeCell ref="F3:F6"/>
    <mergeCell ref="B4:B6"/>
    <mergeCell ref="C4:C6"/>
    <mergeCell ref="D4:D6"/>
    <mergeCell ref="E4:E6"/>
  </mergeCells>
  <pageMargins left="0.62992125984252001" right="0.511811023622047" top="0.31496062992126" bottom="2.5590551E-2" header="0" footer="6.4960630000000005E-2"/>
  <pageSetup paperSize="448" orientation="portrait" r:id="rId1"/>
  <headerFooter differentFirst="1" alignWithMargins="0">
    <oddFooter>&amp;C&amp;"Times New Roman,Regular"&amp;8&amp;P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8"/>
  <dimension ref="A1:Q61"/>
  <sheetViews>
    <sheetView topLeftCell="A28" zoomScale="150" zoomScaleNormal="150" workbookViewId="0">
      <selection activeCell="O58" sqref="O58"/>
    </sheetView>
  </sheetViews>
  <sheetFormatPr defaultColWidth="9.140625" defaultRowHeight="11.25"/>
  <cols>
    <col min="1" max="1" width="10.140625" style="15" customWidth="1"/>
    <col min="2" max="2" width="7.140625" style="8" customWidth="1"/>
    <col min="3" max="3" width="6.7109375" style="8" customWidth="1"/>
    <col min="4" max="4" width="7.42578125" style="8" customWidth="1"/>
    <col min="5" max="5" width="7.7109375" style="8" customWidth="1"/>
    <col min="6" max="6" width="8.140625" style="8" customWidth="1"/>
    <col min="7" max="7" width="8.42578125" style="8" customWidth="1"/>
    <col min="8" max="8" width="7.7109375" style="8" customWidth="1"/>
    <col min="9" max="9" width="7.28515625" style="8" customWidth="1"/>
    <col min="10" max="10" width="8.28515625" style="8" customWidth="1"/>
    <col min="11" max="11" width="9.7109375" style="8" customWidth="1"/>
    <col min="12" max="12" width="9.85546875" style="8" customWidth="1"/>
    <col min="13" max="13" width="10.7109375" style="8" customWidth="1"/>
    <col min="14" max="14" width="10.85546875" style="8" customWidth="1"/>
    <col min="15" max="15" width="10.42578125" style="8" customWidth="1"/>
    <col min="16" max="16" width="13.42578125" style="8" customWidth="1"/>
    <col min="17" max="17" width="12.5703125" style="8" customWidth="1"/>
    <col min="18" max="16384" width="9.140625" style="8"/>
  </cols>
  <sheetData>
    <row r="1" spans="1:17" s="21" customFormat="1" ht="15.75" customHeight="1">
      <c r="B1" s="49"/>
      <c r="C1" s="49"/>
      <c r="D1" s="2399" t="s">
        <v>1239</v>
      </c>
      <c r="E1" s="2399"/>
      <c r="F1" s="2399"/>
      <c r="G1" s="2399"/>
      <c r="H1" s="2399"/>
      <c r="I1" s="2399"/>
      <c r="J1" s="2399"/>
      <c r="K1" s="2402" t="s">
        <v>2168</v>
      </c>
      <c r="L1" s="2402"/>
      <c r="M1" s="2402"/>
      <c r="N1" s="2402"/>
      <c r="O1" s="2402"/>
      <c r="P1" s="2402"/>
      <c r="Q1" s="1099" t="s">
        <v>1066</v>
      </c>
    </row>
    <row r="2" spans="1:17" s="19" customFormat="1" ht="11.25" customHeight="1">
      <c r="B2" s="827"/>
      <c r="F2" s="827"/>
      <c r="G2" s="2401"/>
      <c r="H2" s="2401"/>
      <c r="I2" s="2401"/>
      <c r="J2" s="2401"/>
      <c r="K2" s="1082"/>
      <c r="L2" s="827"/>
      <c r="M2" s="827"/>
      <c r="N2" s="827"/>
      <c r="O2" s="827"/>
      <c r="P2" s="827"/>
      <c r="Q2" s="827"/>
    </row>
    <row r="3" spans="1:17" s="77" customFormat="1" ht="12" customHeight="1">
      <c r="A3" s="2394" t="s">
        <v>481</v>
      </c>
      <c r="B3" s="1080" t="s">
        <v>500</v>
      </c>
      <c r="C3" s="2341" t="s">
        <v>502</v>
      </c>
      <c r="D3" s="2400"/>
      <c r="E3" s="1080" t="s">
        <v>500</v>
      </c>
      <c r="F3" s="2341" t="s">
        <v>92</v>
      </c>
      <c r="G3" s="2400"/>
      <c r="H3" s="1080" t="s">
        <v>500</v>
      </c>
      <c r="I3" s="2341" t="s">
        <v>93</v>
      </c>
      <c r="J3" s="2400"/>
      <c r="K3" s="2341" t="s">
        <v>184</v>
      </c>
      <c r="L3" s="2403"/>
      <c r="M3" s="2403"/>
      <c r="N3" s="2403"/>
      <c r="O3" s="2403"/>
      <c r="P3" s="2403"/>
      <c r="Q3" s="2400"/>
    </row>
    <row r="4" spans="1:17" s="77" customFormat="1" ht="12.75" customHeight="1">
      <c r="A4" s="2338"/>
      <c r="B4" s="2397" t="s">
        <v>501</v>
      </c>
      <c r="C4" s="2392" t="s">
        <v>94</v>
      </c>
      <c r="D4" s="2390" t="s">
        <v>95</v>
      </c>
      <c r="E4" s="2392" t="s">
        <v>498</v>
      </c>
      <c r="F4" s="2390" t="s">
        <v>94</v>
      </c>
      <c r="G4" s="2392" t="s">
        <v>95</v>
      </c>
      <c r="H4" s="2390" t="s">
        <v>258</v>
      </c>
      <c r="I4" s="2392" t="s">
        <v>110</v>
      </c>
      <c r="J4" s="2392" t="s">
        <v>95</v>
      </c>
      <c r="K4" s="2394" t="s">
        <v>19</v>
      </c>
      <c r="L4" s="2387" t="s">
        <v>20</v>
      </c>
      <c r="M4" s="2388" t="s">
        <v>857</v>
      </c>
      <c r="N4" s="2388" t="s">
        <v>1240</v>
      </c>
      <c r="O4" s="2388" t="s">
        <v>259</v>
      </c>
      <c r="P4" s="2404" t="s">
        <v>260</v>
      </c>
      <c r="Q4" s="2388" t="s">
        <v>858</v>
      </c>
    </row>
    <row r="5" spans="1:17" s="77" customFormat="1" ht="24.75" customHeight="1">
      <c r="A5" s="2338"/>
      <c r="B5" s="2398"/>
      <c r="C5" s="2392"/>
      <c r="D5" s="2391"/>
      <c r="E5" s="2392"/>
      <c r="F5" s="2391"/>
      <c r="G5" s="2392"/>
      <c r="H5" s="2391"/>
      <c r="I5" s="2392"/>
      <c r="J5" s="2392"/>
      <c r="K5" s="2339"/>
      <c r="L5" s="2387"/>
      <c r="M5" s="2388"/>
      <c r="N5" s="2388"/>
      <c r="O5" s="2388"/>
      <c r="P5" s="2404"/>
      <c r="Q5" s="2388"/>
    </row>
    <row r="6" spans="1:17" ht="11.1" customHeight="1">
      <c r="A6" s="82" t="s">
        <v>568</v>
      </c>
      <c r="B6" s="1079">
        <v>100</v>
      </c>
      <c r="C6" s="2395" t="s">
        <v>140</v>
      </c>
      <c r="D6" s="2396"/>
      <c r="E6" s="1079">
        <v>56.18</v>
      </c>
      <c r="F6" s="2393" t="s">
        <v>140</v>
      </c>
      <c r="G6" s="2393"/>
      <c r="H6" s="1079">
        <v>43.82</v>
      </c>
      <c r="I6" s="2393" t="s">
        <v>140</v>
      </c>
      <c r="J6" s="2393"/>
      <c r="K6" s="1079">
        <v>6.84</v>
      </c>
      <c r="L6" s="1079">
        <v>14.88</v>
      </c>
      <c r="M6" s="1079">
        <v>4.7300000000000004</v>
      </c>
      <c r="N6" s="1079">
        <v>3.47</v>
      </c>
      <c r="O6" s="1079">
        <v>5.8</v>
      </c>
      <c r="P6" s="1079">
        <v>4.28</v>
      </c>
      <c r="Q6" s="1079">
        <v>3.82</v>
      </c>
    </row>
    <row r="7" spans="1:17" s="242" customFormat="1" ht="12.6" customHeight="1">
      <c r="A7" s="962" t="s">
        <v>809</v>
      </c>
      <c r="B7" s="13">
        <v>181.72583333333333</v>
      </c>
      <c r="C7" s="26">
        <v>8.0500000000000007</v>
      </c>
      <c r="D7" s="26">
        <v>6.78</v>
      </c>
      <c r="E7" s="13">
        <v>193.23666666666665</v>
      </c>
      <c r="F7" s="26">
        <v>8.26</v>
      </c>
      <c r="G7" s="26">
        <v>5.22</v>
      </c>
      <c r="H7" s="13">
        <v>166.96916666666667</v>
      </c>
      <c r="I7" s="13">
        <v>7.75</v>
      </c>
      <c r="J7" s="13">
        <v>9.17</v>
      </c>
      <c r="K7" s="13">
        <v>179.65833333333333</v>
      </c>
      <c r="L7" s="13">
        <v>155.61333333333334</v>
      </c>
      <c r="M7" s="13">
        <v>195.33166666666671</v>
      </c>
      <c r="N7" s="13">
        <v>159.6575</v>
      </c>
      <c r="O7" s="13">
        <v>159.33833333333334</v>
      </c>
      <c r="P7" s="13">
        <v>157.23416666666671</v>
      </c>
      <c r="Q7" s="13">
        <v>182.53750000000002</v>
      </c>
    </row>
    <row r="8" spans="1:17" s="80" customFormat="1" ht="12.6" customHeight="1">
      <c r="A8" s="265" t="s">
        <v>982</v>
      </c>
      <c r="B8" s="261">
        <v>195.08250000000001</v>
      </c>
      <c r="C8" s="261">
        <v>6.97</v>
      </c>
      <c r="D8" s="261">
        <v>7.35</v>
      </c>
      <c r="E8" s="261">
        <v>209.79083333333335</v>
      </c>
      <c r="F8" s="261">
        <v>8</v>
      </c>
      <c r="G8" s="259">
        <v>8.57</v>
      </c>
      <c r="H8" s="261">
        <v>176.22416666666666</v>
      </c>
      <c r="I8" s="261">
        <v>5.45</v>
      </c>
      <c r="J8" s="261">
        <v>5.54</v>
      </c>
      <c r="K8" s="261">
        <v>194.76499999999999</v>
      </c>
      <c r="L8" s="261">
        <v>163.47083333333333</v>
      </c>
      <c r="M8" s="261">
        <v>206.13583333333338</v>
      </c>
      <c r="N8" s="261">
        <v>164.05583333333337</v>
      </c>
      <c r="O8" s="261">
        <v>167.20250000000001</v>
      </c>
      <c r="P8" s="261">
        <v>164.38166666666666</v>
      </c>
      <c r="Q8" s="261">
        <v>193.75416666666663</v>
      </c>
    </row>
    <row r="9" spans="1:17" s="242" customFormat="1" ht="12.6" customHeight="1">
      <c r="A9" s="229" t="s">
        <v>1033</v>
      </c>
      <c r="B9" s="26">
        <v>207.57750000000001</v>
      </c>
      <c r="C9" s="26">
        <v>6.25</v>
      </c>
      <c r="D9" s="26">
        <v>6.4</v>
      </c>
      <c r="E9" s="26">
        <v>223.7883333333333</v>
      </c>
      <c r="F9" s="26">
        <v>6.32</v>
      </c>
      <c r="G9" s="25">
        <v>6.67</v>
      </c>
      <c r="H9" s="26">
        <v>186.785</v>
      </c>
      <c r="I9" s="26">
        <v>6.15</v>
      </c>
      <c r="J9" s="26">
        <v>5.99</v>
      </c>
      <c r="K9" s="26">
        <v>209.44583333333333</v>
      </c>
      <c r="L9" s="26">
        <v>171.79583333333335</v>
      </c>
      <c r="M9" s="26">
        <v>214.44333333333336</v>
      </c>
      <c r="N9" s="26">
        <v>181.09000000000003</v>
      </c>
      <c r="O9" s="26">
        <v>181.77833333333331</v>
      </c>
      <c r="P9" s="26">
        <v>168.02416666666667</v>
      </c>
      <c r="Q9" s="26">
        <v>204.20583333333332</v>
      </c>
    </row>
    <row r="10" spans="1:17" s="80" customFormat="1" ht="12.6" customHeight="1">
      <c r="A10" s="283" t="s">
        <v>1154</v>
      </c>
      <c r="B10" s="261">
        <v>219.85833333333335</v>
      </c>
      <c r="C10" s="261">
        <v>5.53</v>
      </c>
      <c r="D10" s="261">
        <v>5.92</v>
      </c>
      <c r="E10" s="261">
        <v>234.77166666666668</v>
      </c>
      <c r="F10" s="261">
        <v>4.2300000000000004</v>
      </c>
      <c r="G10" s="261">
        <v>4.91</v>
      </c>
      <c r="H10" s="261">
        <v>200.73749999999998</v>
      </c>
      <c r="I10" s="261">
        <v>7.5</v>
      </c>
      <c r="J10" s="261">
        <v>7.47</v>
      </c>
      <c r="K10" s="261">
        <v>233.52</v>
      </c>
      <c r="L10" s="261">
        <v>182.75</v>
      </c>
      <c r="M10" s="261">
        <v>227.5325</v>
      </c>
      <c r="N10" s="261">
        <v>200.02916666666667</v>
      </c>
      <c r="O10" s="261">
        <v>201.59583333333333</v>
      </c>
      <c r="P10" s="261">
        <v>171.00583333333336</v>
      </c>
      <c r="Q10" s="261">
        <v>211.61166666666665</v>
      </c>
    </row>
    <row r="11" spans="1:17" s="242" customFormat="1" ht="12.6" customHeight="1">
      <c r="A11" s="229" t="s">
        <v>1187</v>
      </c>
      <c r="B11" s="26">
        <v>231.81916666666666</v>
      </c>
      <c r="C11" s="26">
        <v>5.94</v>
      </c>
      <c r="D11" s="26">
        <v>5.44</v>
      </c>
      <c r="E11" s="26">
        <v>248.89999999999998</v>
      </c>
      <c r="F11" s="26">
        <v>7.51</v>
      </c>
      <c r="G11" s="26">
        <v>6.02</v>
      </c>
      <c r="H11" s="26">
        <v>209.92083333333332</v>
      </c>
      <c r="I11" s="26">
        <v>3.67</v>
      </c>
      <c r="J11" s="26">
        <v>4.57</v>
      </c>
      <c r="K11" s="26">
        <v>243.56333333333336</v>
      </c>
      <c r="L11" s="26">
        <v>194.00750000000002</v>
      </c>
      <c r="M11" s="26">
        <v>235.8475</v>
      </c>
      <c r="N11" s="26">
        <v>206.69833333333335</v>
      </c>
      <c r="O11" s="26">
        <v>210.77666666666664</v>
      </c>
      <c r="P11" s="26">
        <v>177.55500000000004</v>
      </c>
      <c r="Q11" s="26">
        <v>217.51000000000002</v>
      </c>
    </row>
    <row r="12" spans="1:17" s="242" customFormat="1" ht="12.6" customHeight="1">
      <c r="A12" s="283" t="s">
        <v>1298</v>
      </c>
      <c r="B12" s="261">
        <v>245.22416666666666</v>
      </c>
      <c r="C12" s="261">
        <v>5.54</v>
      </c>
      <c r="D12" s="261">
        <v>5.78</v>
      </c>
      <c r="E12" s="261">
        <v>266.63833333333332</v>
      </c>
      <c r="F12" s="261">
        <v>5.98</v>
      </c>
      <c r="G12" s="261">
        <v>7.13</v>
      </c>
      <c r="H12" s="261">
        <v>217.76500000000001</v>
      </c>
      <c r="I12" s="261">
        <v>4.87</v>
      </c>
      <c r="J12" s="261">
        <v>3.73</v>
      </c>
      <c r="K12" s="261">
        <v>255.23666666666665</v>
      </c>
      <c r="L12" s="261">
        <v>200.24833333333333</v>
      </c>
      <c r="M12" s="261">
        <v>249.67583333333332</v>
      </c>
      <c r="N12" s="261">
        <v>209.2775</v>
      </c>
      <c r="O12" s="261">
        <v>218.79666666666665</v>
      </c>
      <c r="P12" s="261">
        <v>183.64916666666667</v>
      </c>
      <c r="Q12" s="261">
        <v>223.80666666666664</v>
      </c>
    </row>
    <row r="13" spans="1:17" s="153" customFormat="1" ht="12.6" customHeight="1">
      <c r="A13" s="229" t="s">
        <v>1407</v>
      </c>
      <c r="B13" s="26">
        <v>258.64916666666664</v>
      </c>
      <c r="C13" s="26">
        <v>5.52</v>
      </c>
      <c r="D13" s="26">
        <v>5.48</v>
      </c>
      <c r="E13" s="26">
        <v>281.32416666666666</v>
      </c>
      <c r="F13" s="26">
        <v>5.4</v>
      </c>
      <c r="G13" s="26">
        <v>5.51</v>
      </c>
      <c r="H13" s="26">
        <v>229.57666666666663</v>
      </c>
      <c r="I13" s="26">
        <v>5.71</v>
      </c>
      <c r="J13" s="26">
        <v>5.42</v>
      </c>
      <c r="K13" s="26">
        <v>277.64083333333332</v>
      </c>
      <c r="L13" s="26">
        <v>206.97666666666666</v>
      </c>
      <c r="M13" s="26">
        <v>265.24916666666667</v>
      </c>
      <c r="N13" s="26">
        <v>215.30833333333339</v>
      </c>
      <c r="O13" s="26">
        <v>235.22750000000005</v>
      </c>
      <c r="P13" s="26">
        <v>186.7258333333333</v>
      </c>
      <c r="Q13" s="26">
        <v>239.86916666666664</v>
      </c>
    </row>
    <row r="14" spans="1:17" s="153" customFormat="1" ht="12.6" customHeight="1">
      <c r="A14" s="554" t="s">
        <v>1487</v>
      </c>
      <c r="B14" s="264">
        <v>273.25666666666666</v>
      </c>
      <c r="C14" s="264">
        <v>6.02</v>
      </c>
      <c r="D14" s="264">
        <v>5.6476114685594103</v>
      </c>
      <c r="E14" s="264">
        <v>296.85749999999996</v>
      </c>
      <c r="F14" s="264">
        <v>6.54</v>
      </c>
      <c r="G14" s="264">
        <v>5.5215069211378198</v>
      </c>
      <c r="H14" s="264">
        <v>242.9966666666667</v>
      </c>
      <c r="I14" s="264">
        <v>5.22</v>
      </c>
      <c r="J14" s="264">
        <v>5.8455417943171106</v>
      </c>
      <c r="K14" s="264">
        <v>290.00333333333339</v>
      </c>
      <c r="L14" s="264">
        <v>220.70083333333335</v>
      </c>
      <c r="M14" s="264">
        <v>282.67083333333329</v>
      </c>
      <c r="N14" s="264">
        <v>230.07166666666669</v>
      </c>
      <c r="O14" s="264">
        <v>248.48</v>
      </c>
      <c r="P14" s="264">
        <v>190.13000000000002</v>
      </c>
      <c r="Q14" s="264">
        <v>259.27083333333331</v>
      </c>
    </row>
    <row r="15" spans="1:17" s="153" customFormat="1" ht="12.6" customHeight="1">
      <c r="A15" s="100" t="s">
        <v>1539</v>
      </c>
      <c r="B15" s="140">
        <f>AVERAGE(B16:B27)</f>
        <v>288.44333333333333</v>
      </c>
      <c r="C15" s="140">
        <f>C27</f>
        <v>5.64</v>
      </c>
      <c r="D15" s="140">
        <f>D27</f>
        <v>5.5576564158239528</v>
      </c>
      <c r="E15" s="140">
        <f>AVERAGE(E16:E27)</f>
        <v>313.86333333333334</v>
      </c>
      <c r="F15" s="140">
        <f>F27</f>
        <v>5.45</v>
      </c>
      <c r="G15" s="140">
        <f>G27</f>
        <v>5.7286183887331088</v>
      </c>
      <c r="H15" s="140">
        <f>AVERAGE(H16:H27)</f>
        <v>255.85166666666666</v>
      </c>
      <c r="I15" s="140">
        <f>I27</f>
        <v>5.94</v>
      </c>
      <c r="J15" s="140">
        <f>J27</f>
        <v>5.2901960246368063</v>
      </c>
      <c r="K15" s="140">
        <f t="shared" ref="K15:Q15" si="0">AVERAGE(K16:K27)</f>
        <v>298.14083333333332</v>
      </c>
      <c r="L15" s="140">
        <f t="shared" si="0"/>
        <v>228.29250000000002</v>
      </c>
      <c r="M15" s="140">
        <f t="shared" si="0"/>
        <v>298.14833333333331</v>
      </c>
      <c r="N15" s="140">
        <f t="shared" si="0"/>
        <v>247.86333333333334</v>
      </c>
      <c r="O15" s="140">
        <f t="shared" si="0"/>
        <v>271.44833333333332</v>
      </c>
      <c r="P15" s="140">
        <f t="shared" si="0"/>
        <v>193.61083333333332</v>
      </c>
      <c r="Q15" s="140">
        <f t="shared" si="0"/>
        <v>288.52833333333336</v>
      </c>
    </row>
    <row r="16" spans="1:17" s="153" customFormat="1" ht="12.6" customHeight="1">
      <c r="A16" s="273" t="s">
        <v>559</v>
      </c>
      <c r="B16" s="255">
        <v>278.27</v>
      </c>
      <c r="C16" s="255">
        <v>5.53</v>
      </c>
      <c r="D16" s="256">
        <v>5.6394992671184641</v>
      </c>
      <c r="E16" s="256">
        <v>300.75</v>
      </c>
      <c r="F16" s="256">
        <v>5.7</v>
      </c>
      <c r="G16" s="256">
        <v>5.5442822929815838</v>
      </c>
      <c r="H16" s="256">
        <v>249.46</v>
      </c>
      <c r="I16" s="256">
        <v>5.28</v>
      </c>
      <c r="J16" s="256">
        <v>5.7893006672181668</v>
      </c>
      <c r="K16" s="256">
        <v>292.2</v>
      </c>
      <c r="L16" s="256">
        <v>227.57</v>
      </c>
      <c r="M16" s="256">
        <v>288.73</v>
      </c>
      <c r="N16" s="256">
        <v>240.64</v>
      </c>
      <c r="O16" s="256">
        <v>257.25</v>
      </c>
      <c r="P16" s="256">
        <v>190.98</v>
      </c>
      <c r="Q16" s="256">
        <v>271.37</v>
      </c>
    </row>
    <row r="17" spans="1:17" s="153" customFormat="1" ht="12.6" customHeight="1">
      <c r="A17" s="139" t="s">
        <v>560</v>
      </c>
      <c r="B17" s="230">
        <v>282.11</v>
      </c>
      <c r="C17" s="230">
        <v>5.68</v>
      </c>
      <c r="D17" s="231">
        <v>5.6547200899186079</v>
      </c>
      <c r="E17" s="231">
        <v>307.2</v>
      </c>
      <c r="F17" s="231">
        <v>6.08</v>
      </c>
      <c r="G17" s="231">
        <v>5.6114043048078877</v>
      </c>
      <c r="H17" s="231">
        <v>249.95</v>
      </c>
      <c r="I17" s="231">
        <v>5.05</v>
      </c>
      <c r="J17" s="231">
        <v>5.7235824973933092</v>
      </c>
      <c r="K17" s="231">
        <v>292.29000000000002</v>
      </c>
      <c r="L17" s="231">
        <v>227.6</v>
      </c>
      <c r="M17" s="231">
        <v>291.54000000000002</v>
      </c>
      <c r="N17" s="231">
        <v>240.81</v>
      </c>
      <c r="O17" s="231">
        <v>257.58999999999997</v>
      </c>
      <c r="P17" s="231">
        <v>191.01</v>
      </c>
      <c r="Q17" s="231">
        <v>272.54000000000002</v>
      </c>
    </row>
    <row r="18" spans="1:17" s="153" customFormat="1" ht="12.6" customHeight="1">
      <c r="A18" s="273" t="s">
        <v>554</v>
      </c>
      <c r="B18" s="255">
        <v>288.12</v>
      </c>
      <c r="C18" s="255">
        <v>5.97</v>
      </c>
      <c r="D18" s="256">
        <v>5.6907183725365407</v>
      </c>
      <c r="E18" s="256">
        <v>316.11</v>
      </c>
      <c r="F18" s="256">
        <v>6.5</v>
      </c>
      <c r="G18" s="256">
        <v>5.7140685033245875</v>
      </c>
      <c r="H18" s="256">
        <v>252.24</v>
      </c>
      <c r="I18" s="256">
        <v>5.12</v>
      </c>
      <c r="J18" s="256">
        <v>5.6553071506268981</v>
      </c>
      <c r="K18" s="256">
        <v>292.42</v>
      </c>
      <c r="L18" s="256">
        <v>227.99</v>
      </c>
      <c r="M18" s="256">
        <v>293.11</v>
      </c>
      <c r="N18" s="256">
        <v>246.45</v>
      </c>
      <c r="O18" s="256">
        <v>263.02</v>
      </c>
      <c r="P18" s="256">
        <v>191.79</v>
      </c>
      <c r="Q18" s="256">
        <v>280.87</v>
      </c>
    </row>
    <row r="19" spans="1:17" s="153" customFormat="1" ht="12.6" customHeight="1">
      <c r="A19" s="139" t="s">
        <v>561</v>
      </c>
      <c r="B19" s="230">
        <v>290.91000000000003</v>
      </c>
      <c r="C19" s="230">
        <v>6.44</v>
      </c>
      <c r="D19" s="231">
        <v>5.7740564589879639</v>
      </c>
      <c r="E19" s="231">
        <v>320.94</v>
      </c>
      <c r="F19" s="231">
        <v>7.34</v>
      </c>
      <c r="G19" s="231">
        <v>5.8744938917721701</v>
      </c>
      <c r="H19" s="231">
        <v>252.4</v>
      </c>
      <c r="I19" s="231">
        <v>5</v>
      </c>
      <c r="J19" s="231">
        <v>5.616036250418599</v>
      </c>
      <c r="K19" s="231">
        <v>292.57</v>
      </c>
      <c r="L19" s="231">
        <v>228.09</v>
      </c>
      <c r="M19" s="231">
        <v>293.35000000000002</v>
      </c>
      <c r="N19" s="231">
        <v>246.54</v>
      </c>
      <c r="O19" s="231">
        <v>263.41000000000003</v>
      </c>
      <c r="P19" s="231">
        <v>191.81</v>
      </c>
      <c r="Q19" s="231">
        <v>281.05</v>
      </c>
    </row>
    <row r="20" spans="1:17" s="153" customFormat="1" ht="12.6" customHeight="1">
      <c r="A20" s="273" t="s">
        <v>562</v>
      </c>
      <c r="B20" s="255">
        <v>288.70999999999998</v>
      </c>
      <c r="C20" s="255">
        <v>5.52</v>
      </c>
      <c r="D20" s="256">
        <v>5.7302638415250406</v>
      </c>
      <c r="E20" s="256">
        <v>316.41000000000003</v>
      </c>
      <c r="F20" s="256">
        <v>5.73</v>
      </c>
      <c r="G20" s="256">
        <v>5.8186503742525542</v>
      </c>
      <c r="H20" s="256">
        <v>253.19</v>
      </c>
      <c r="I20" s="256">
        <v>5.19</v>
      </c>
      <c r="J20" s="256">
        <v>5.5911591237148173</v>
      </c>
      <c r="K20" s="256">
        <v>292.73</v>
      </c>
      <c r="L20" s="256">
        <v>228.62</v>
      </c>
      <c r="M20" s="256">
        <v>295.29000000000002</v>
      </c>
      <c r="N20" s="256">
        <v>246.77</v>
      </c>
      <c r="O20" s="256">
        <v>264.74</v>
      </c>
      <c r="P20" s="256">
        <v>191.96</v>
      </c>
      <c r="Q20" s="256">
        <v>282.91000000000003</v>
      </c>
    </row>
    <row r="21" spans="1:17" s="153" customFormat="1" ht="12.6" customHeight="1">
      <c r="A21" s="139" t="s">
        <v>555</v>
      </c>
      <c r="B21" s="230">
        <v>287.41000000000003</v>
      </c>
      <c r="C21" s="230">
        <v>5.29</v>
      </c>
      <c r="D21" s="231">
        <v>5.691074747462066</v>
      </c>
      <c r="E21" s="231">
        <v>313.58999999999997</v>
      </c>
      <c r="F21" s="231">
        <v>5.34</v>
      </c>
      <c r="G21" s="231">
        <v>5.7730823873869852</v>
      </c>
      <c r="H21" s="231">
        <v>253.85</v>
      </c>
      <c r="I21" s="231">
        <v>5.21</v>
      </c>
      <c r="J21" s="231">
        <v>5.5622442458629351</v>
      </c>
      <c r="K21" s="231">
        <v>293.08</v>
      </c>
      <c r="L21" s="231">
        <v>228.84</v>
      </c>
      <c r="M21" s="231">
        <v>295.74</v>
      </c>
      <c r="N21" s="231">
        <v>247.29</v>
      </c>
      <c r="O21" s="231">
        <v>266.32</v>
      </c>
      <c r="P21" s="231">
        <v>192.16</v>
      </c>
      <c r="Q21" s="231">
        <v>285.38</v>
      </c>
    </row>
    <row r="22" spans="1:17" s="153" customFormat="1" ht="12.6" customHeight="1">
      <c r="A22" s="273" t="s">
        <v>563</v>
      </c>
      <c r="B22" s="255">
        <v>290.02999999999997</v>
      </c>
      <c r="C22" s="255">
        <v>5.0199999999999996</v>
      </c>
      <c r="D22" s="256">
        <v>5.6430352022812658</v>
      </c>
      <c r="E22" s="256">
        <v>315.81</v>
      </c>
      <c r="F22" s="256">
        <v>5.23</v>
      </c>
      <c r="G22" s="256">
        <v>5.7801577189297015</v>
      </c>
      <c r="H22" s="256">
        <v>256.97000000000003</v>
      </c>
      <c r="I22" s="256">
        <v>4.6900000000000004</v>
      </c>
      <c r="J22" s="256">
        <v>5.4270318877640555</v>
      </c>
      <c r="K22" s="256">
        <v>301.14999999999998</v>
      </c>
      <c r="L22" s="256">
        <v>229.98</v>
      </c>
      <c r="M22" s="256">
        <v>297.45</v>
      </c>
      <c r="N22" s="256">
        <v>249.01</v>
      </c>
      <c r="O22" s="256">
        <v>269.58</v>
      </c>
      <c r="P22" s="256">
        <v>194.13</v>
      </c>
      <c r="Q22" s="256">
        <v>291.52999999999997</v>
      </c>
    </row>
    <row r="23" spans="1:17" s="153" customFormat="1" ht="12.6" customHeight="1">
      <c r="A23" s="139" t="s">
        <v>564</v>
      </c>
      <c r="B23" s="231">
        <v>290.3</v>
      </c>
      <c r="C23" s="231">
        <v>5.32</v>
      </c>
      <c r="D23" s="231">
        <v>5.6304473421008305</v>
      </c>
      <c r="E23" s="231">
        <v>315.35000000000002</v>
      </c>
      <c r="F23" s="231">
        <v>5.42</v>
      </c>
      <c r="G23" s="231">
        <v>5.815339325778468</v>
      </c>
      <c r="H23" s="231">
        <v>258.18</v>
      </c>
      <c r="I23" s="231">
        <v>5.17</v>
      </c>
      <c r="J23" s="231">
        <v>5.3403232852774041</v>
      </c>
      <c r="K23" s="231">
        <v>302.12</v>
      </c>
      <c r="L23" s="231">
        <v>229.35</v>
      </c>
      <c r="M23" s="231">
        <v>299.52999999999997</v>
      </c>
      <c r="N23" s="231">
        <v>250.79</v>
      </c>
      <c r="O23" s="231">
        <v>272.60000000000002</v>
      </c>
      <c r="P23" s="231">
        <v>195.12</v>
      </c>
      <c r="Q23" s="231">
        <v>296.14999999999998</v>
      </c>
    </row>
    <row r="24" spans="1:17" s="153" customFormat="1" ht="12.6" customHeight="1">
      <c r="A24" s="273" t="s">
        <v>556</v>
      </c>
      <c r="B24" s="256">
        <v>291.95999999999998</v>
      </c>
      <c r="C24" s="256">
        <v>5.47</v>
      </c>
      <c r="D24" s="256">
        <v>5.6286025282636043</v>
      </c>
      <c r="E24" s="256">
        <v>317.32</v>
      </c>
      <c r="F24" s="256">
        <v>5.51</v>
      </c>
      <c r="G24" s="256">
        <v>5.8668131780540422</v>
      </c>
      <c r="H24" s="256">
        <v>259.44</v>
      </c>
      <c r="I24" s="256">
        <v>5.39</v>
      </c>
      <c r="J24" s="256">
        <v>5.2552526450105441</v>
      </c>
      <c r="K24" s="256">
        <v>303.73</v>
      </c>
      <c r="L24" s="256">
        <v>229.5</v>
      </c>
      <c r="M24" s="256">
        <v>302.63</v>
      </c>
      <c r="N24" s="256">
        <v>251.13</v>
      </c>
      <c r="O24" s="256">
        <v>274.68</v>
      </c>
      <c r="P24" s="256">
        <v>195.89</v>
      </c>
      <c r="Q24" s="256">
        <v>299.06</v>
      </c>
    </row>
    <row r="25" spans="1:17" s="153" customFormat="1" ht="12.6" customHeight="1">
      <c r="A25" s="139" t="s">
        <v>565</v>
      </c>
      <c r="B25" s="231">
        <v>293.88</v>
      </c>
      <c r="C25" s="231">
        <v>5.56</v>
      </c>
      <c r="D25" s="231">
        <v>5.5962455762425423</v>
      </c>
      <c r="E25" s="231">
        <v>320.27999999999997</v>
      </c>
      <c r="F25" s="231">
        <v>5.57</v>
      </c>
      <c r="G25" s="231">
        <v>5.8375404420722088</v>
      </c>
      <c r="H25" s="231">
        <v>260.02</v>
      </c>
      <c r="I25" s="231">
        <v>5.55</v>
      </c>
      <c r="J25" s="231">
        <v>5.2176319977855989</v>
      </c>
      <c r="K25" s="231">
        <v>304.23</v>
      </c>
      <c r="L25" s="231">
        <v>229.44</v>
      </c>
      <c r="M25" s="231">
        <v>305</v>
      </c>
      <c r="N25" s="231">
        <v>251.5</v>
      </c>
      <c r="O25" s="231">
        <v>276.02</v>
      </c>
      <c r="P25" s="231">
        <v>195.95</v>
      </c>
      <c r="Q25" s="231">
        <v>299.67</v>
      </c>
    </row>
    <row r="26" spans="1:17" s="153" customFormat="1" ht="12.6" customHeight="1">
      <c r="A26" s="273" t="s">
        <v>566</v>
      </c>
      <c r="B26" s="256">
        <v>287.92</v>
      </c>
      <c r="C26" s="256">
        <v>5.26</v>
      </c>
      <c r="D26" s="256">
        <v>5.5874241588527385</v>
      </c>
      <c r="E26" s="256">
        <v>308.41000000000003</v>
      </c>
      <c r="F26" s="256">
        <v>4.87</v>
      </c>
      <c r="G26" s="256">
        <v>5.816325666833122</v>
      </c>
      <c r="H26" s="256">
        <v>261.64999999999998</v>
      </c>
      <c r="I26" s="256">
        <v>5.86</v>
      </c>
      <c r="J26" s="256">
        <v>5.228935994351902</v>
      </c>
      <c r="K26" s="256">
        <v>305.17</v>
      </c>
      <c r="L26" s="256">
        <v>225.9</v>
      </c>
      <c r="M26" s="256">
        <v>306.45999999999998</v>
      </c>
      <c r="N26" s="256">
        <v>251.53</v>
      </c>
      <c r="O26" s="256">
        <v>294.86</v>
      </c>
      <c r="P26" s="256">
        <v>195.99</v>
      </c>
      <c r="Q26" s="256">
        <v>299.99</v>
      </c>
    </row>
    <row r="27" spans="1:17" s="153" customFormat="1" ht="12.6" customHeight="1">
      <c r="A27" s="139" t="s">
        <v>557</v>
      </c>
      <c r="B27" s="231">
        <v>291.7</v>
      </c>
      <c r="C27" s="231">
        <v>5.64</v>
      </c>
      <c r="D27" s="231">
        <v>5.5576564158239528</v>
      </c>
      <c r="E27" s="231">
        <v>314.19</v>
      </c>
      <c r="F27" s="231">
        <v>5.45</v>
      </c>
      <c r="G27" s="231">
        <v>5.7286183887331088</v>
      </c>
      <c r="H27" s="231">
        <v>262.87</v>
      </c>
      <c r="I27" s="231">
        <v>5.94</v>
      </c>
      <c r="J27" s="231">
        <v>5.2901960246368063</v>
      </c>
      <c r="K27" s="231">
        <v>306</v>
      </c>
      <c r="L27" s="231">
        <v>226.63</v>
      </c>
      <c r="M27" s="231">
        <v>308.95</v>
      </c>
      <c r="N27" s="231">
        <v>251.9</v>
      </c>
      <c r="O27" s="231">
        <v>297.31</v>
      </c>
      <c r="P27" s="231">
        <v>196.54</v>
      </c>
      <c r="Q27" s="231">
        <v>301.82</v>
      </c>
    </row>
    <row r="28" spans="1:17" s="152" customFormat="1" ht="12.6" customHeight="1">
      <c r="A28" s="832" t="s">
        <v>1810</v>
      </c>
      <c r="B28" s="264">
        <f>AVERAGE(B29:B40)</f>
        <v>306.18166666666667</v>
      </c>
      <c r="C28" s="264">
        <f>C40</f>
        <v>7.56</v>
      </c>
      <c r="D28" s="264">
        <f>D40</f>
        <v>6.1496770018374614</v>
      </c>
      <c r="E28" s="264">
        <f>AVERAGE(E29:E40)</f>
        <v>332.85583333333329</v>
      </c>
      <c r="F28" s="264">
        <f>F40</f>
        <v>8.3699999999999992</v>
      </c>
      <c r="G28" s="264">
        <f>G40</f>
        <v>6.0512006287237297</v>
      </c>
      <c r="H28" s="264">
        <f>AVERAGE(H29:H40)</f>
        <v>271.98333333333335</v>
      </c>
      <c r="I28" s="264">
        <f>I40</f>
        <v>6.33</v>
      </c>
      <c r="J28" s="264">
        <f>J40</f>
        <v>6.3050856290428836</v>
      </c>
      <c r="K28" s="264">
        <f t="shared" ref="K28:Q28" si="1">AVERAGE(K29:K40)</f>
        <v>320.14250000000004</v>
      </c>
      <c r="L28" s="264">
        <f t="shared" si="1"/>
        <v>232.42499999999998</v>
      </c>
      <c r="M28" s="264">
        <f t="shared" si="1"/>
        <v>320.29583333333341</v>
      </c>
      <c r="N28" s="264">
        <f t="shared" si="1"/>
        <v>253.62</v>
      </c>
      <c r="O28" s="264">
        <f t="shared" si="1"/>
        <v>313.00416666666666</v>
      </c>
      <c r="P28" s="264">
        <f t="shared" si="1"/>
        <v>202.60249999999999</v>
      </c>
      <c r="Q28" s="264">
        <f t="shared" si="1"/>
        <v>312.2791666666667</v>
      </c>
    </row>
    <row r="29" spans="1:17" s="152" customFormat="1" ht="12.6" customHeight="1">
      <c r="A29" s="139" t="s">
        <v>559</v>
      </c>
      <c r="B29" s="231">
        <v>293.19</v>
      </c>
      <c r="C29" s="231">
        <v>5.36</v>
      </c>
      <c r="D29" s="231">
        <v>5.5433772763430422</v>
      </c>
      <c r="E29" s="231">
        <v>316.02</v>
      </c>
      <c r="F29" s="231">
        <v>5.08</v>
      </c>
      <c r="G29" s="231">
        <v>5.6764007265614147</v>
      </c>
      <c r="H29" s="231">
        <v>263.93</v>
      </c>
      <c r="I29" s="231">
        <v>5.8</v>
      </c>
      <c r="J29" s="231">
        <v>5.3345262201763832</v>
      </c>
      <c r="K29" s="231">
        <v>307.11</v>
      </c>
      <c r="L29" s="231">
        <v>227.12</v>
      </c>
      <c r="M29" s="231">
        <v>310.07</v>
      </c>
      <c r="N29" s="231">
        <v>252.47</v>
      </c>
      <c r="O29" s="231">
        <v>300.58</v>
      </c>
      <c r="P29" s="231">
        <v>197</v>
      </c>
      <c r="Q29" s="231">
        <v>302.72000000000003</v>
      </c>
    </row>
    <row r="30" spans="1:17" s="152" customFormat="1" ht="12.6" customHeight="1">
      <c r="A30" s="273" t="s">
        <v>560</v>
      </c>
      <c r="B30" s="256">
        <v>297.73</v>
      </c>
      <c r="C30" s="256">
        <v>5.54</v>
      </c>
      <c r="D30" s="256">
        <v>5.5322003983305335</v>
      </c>
      <c r="E30" s="256">
        <v>323.04000000000002</v>
      </c>
      <c r="F30" s="256">
        <v>5.16</v>
      </c>
      <c r="G30" s="256">
        <v>5.5996774283251449</v>
      </c>
      <c r="H30" s="256">
        <v>265.27999999999997</v>
      </c>
      <c r="I30" s="256">
        <v>6.13</v>
      </c>
      <c r="J30" s="256">
        <v>5.4252862618135111</v>
      </c>
      <c r="K30" s="256">
        <v>310.33999999999997</v>
      </c>
      <c r="L30" s="256">
        <v>228.06</v>
      </c>
      <c r="M30" s="256">
        <v>311.89999999999998</v>
      </c>
      <c r="N30" s="256">
        <v>252.66</v>
      </c>
      <c r="O30" s="256">
        <v>301.81</v>
      </c>
      <c r="P30" s="256">
        <v>197.47</v>
      </c>
      <c r="Q30" s="256">
        <v>303.97000000000003</v>
      </c>
    </row>
    <row r="31" spans="1:17" s="152" customFormat="1" ht="12.6" customHeight="1">
      <c r="A31" s="139" t="s">
        <v>554</v>
      </c>
      <c r="B31" s="231">
        <v>304.22000000000003</v>
      </c>
      <c r="C31" s="231">
        <v>5.59</v>
      </c>
      <c r="D31" s="231">
        <v>5.5016044968015265</v>
      </c>
      <c r="E31" s="231">
        <v>332.58</v>
      </c>
      <c r="F31" s="231">
        <v>5.21</v>
      </c>
      <c r="G31" s="231">
        <v>5.491508546772117</v>
      </c>
      <c r="H31" s="231">
        <v>267.85000000000002</v>
      </c>
      <c r="I31" s="231">
        <v>6.19</v>
      </c>
      <c r="J31" s="231">
        <v>5.5154990060180875</v>
      </c>
      <c r="K31" s="231">
        <v>313.63</v>
      </c>
      <c r="L31" s="231">
        <v>230.62</v>
      </c>
      <c r="M31" s="231">
        <v>316.69</v>
      </c>
      <c r="N31" s="231">
        <v>252.89</v>
      </c>
      <c r="O31" s="231">
        <v>303.73</v>
      </c>
      <c r="P31" s="231">
        <v>199.55</v>
      </c>
      <c r="Q31" s="231">
        <v>306.12</v>
      </c>
    </row>
    <row r="32" spans="1:17" s="152" customFormat="1" ht="12.6" customHeight="1">
      <c r="A32" s="273" t="s">
        <v>561</v>
      </c>
      <c r="B32" s="256">
        <v>307.49</v>
      </c>
      <c r="C32" s="256">
        <v>5.7</v>
      </c>
      <c r="D32" s="256">
        <v>5.44</v>
      </c>
      <c r="E32" s="256">
        <v>337.7</v>
      </c>
      <c r="F32" s="256">
        <v>5.22</v>
      </c>
      <c r="G32" s="256">
        <v>5.32</v>
      </c>
      <c r="H32" s="256">
        <v>268.75</v>
      </c>
      <c r="I32" s="256">
        <v>6.48</v>
      </c>
      <c r="J32" s="256">
        <v>5.64</v>
      </c>
      <c r="K32" s="256">
        <v>314.48</v>
      </c>
      <c r="L32" s="256">
        <v>231.64</v>
      </c>
      <c r="M32" s="256">
        <v>316.85000000000002</v>
      </c>
      <c r="N32" s="256">
        <v>252.99</v>
      </c>
      <c r="O32" s="256">
        <v>306.31</v>
      </c>
      <c r="P32" s="256">
        <v>199.71</v>
      </c>
      <c r="Q32" s="256">
        <v>306.66000000000003</v>
      </c>
    </row>
    <row r="33" spans="1:17" s="152" customFormat="1" ht="12.6" customHeight="1">
      <c r="A33" s="139" t="s">
        <v>562</v>
      </c>
      <c r="B33" s="231">
        <v>305.97000000000003</v>
      </c>
      <c r="C33" s="231">
        <v>5.98</v>
      </c>
      <c r="D33" s="231">
        <v>5.4813491177127638</v>
      </c>
      <c r="E33" s="231">
        <v>333.58</v>
      </c>
      <c r="F33" s="231">
        <v>5.43</v>
      </c>
      <c r="G33" s="231">
        <v>5.2912847174716227</v>
      </c>
      <c r="H33" s="231">
        <v>270.58</v>
      </c>
      <c r="I33" s="231">
        <v>6.87</v>
      </c>
      <c r="J33" s="231">
        <v>5.7801080180567288</v>
      </c>
      <c r="K33" s="231">
        <v>316.73</v>
      </c>
      <c r="L33" s="231">
        <v>232.46</v>
      </c>
      <c r="M33" s="231">
        <v>317.92</v>
      </c>
      <c r="N33" s="231">
        <v>253.09</v>
      </c>
      <c r="O33" s="231">
        <v>313.36</v>
      </c>
      <c r="P33" s="231">
        <v>200.25</v>
      </c>
      <c r="Q33" s="231">
        <v>307.70999999999998</v>
      </c>
    </row>
    <row r="34" spans="1:17" s="152" customFormat="1" ht="12.6" customHeight="1">
      <c r="A34" s="273" t="s">
        <v>555</v>
      </c>
      <c r="B34" s="256">
        <v>304.81</v>
      </c>
      <c r="C34" s="256">
        <v>6.05</v>
      </c>
      <c r="D34" s="256">
        <v>5.54</v>
      </c>
      <c r="E34" s="256">
        <v>330.71</v>
      </c>
      <c r="F34" s="256">
        <v>5.46</v>
      </c>
      <c r="G34" s="256">
        <v>5.3016020052310431</v>
      </c>
      <c r="H34" s="256">
        <v>271.61</v>
      </c>
      <c r="I34" s="256">
        <v>7</v>
      </c>
      <c r="J34" s="256">
        <v>5.9293944512266439</v>
      </c>
      <c r="K34" s="256">
        <v>320.38</v>
      </c>
      <c r="L34" s="256">
        <v>232.71</v>
      </c>
      <c r="M34" s="256">
        <v>318.7</v>
      </c>
      <c r="N34" s="256">
        <v>253.16</v>
      </c>
      <c r="O34" s="256">
        <v>314.27</v>
      </c>
      <c r="P34" s="256">
        <v>201.02</v>
      </c>
      <c r="Q34" s="256">
        <v>308.64999999999998</v>
      </c>
    </row>
    <row r="35" spans="1:17" s="152" customFormat="1" ht="12.6" customHeight="1">
      <c r="A35" s="139" t="s">
        <v>563</v>
      </c>
      <c r="B35" s="231">
        <v>307.02</v>
      </c>
      <c r="C35" s="231">
        <v>5.86</v>
      </c>
      <c r="D35" s="231">
        <v>5.6150806542117015</v>
      </c>
      <c r="E35" s="231">
        <v>333.51</v>
      </c>
      <c r="F35" s="231">
        <v>5.6</v>
      </c>
      <c r="G35" s="231">
        <v>5.3332790754455628</v>
      </c>
      <c r="H35" s="231">
        <v>273.05</v>
      </c>
      <c r="I35" s="231">
        <v>6.26</v>
      </c>
      <c r="J35" s="231">
        <v>6.0589199562864904</v>
      </c>
      <c r="K35" s="231">
        <v>321.57</v>
      </c>
      <c r="L35" s="231">
        <v>233.53</v>
      </c>
      <c r="M35" s="231">
        <v>320.51</v>
      </c>
      <c r="N35" s="231">
        <v>253.44</v>
      </c>
      <c r="O35" s="231">
        <v>315.7</v>
      </c>
      <c r="P35" s="231">
        <v>203.16</v>
      </c>
      <c r="Q35" s="231">
        <v>312.88</v>
      </c>
    </row>
    <row r="36" spans="1:17" s="152" customFormat="1" ht="12.6" customHeight="1">
      <c r="A36" s="273" t="s">
        <v>564</v>
      </c>
      <c r="B36" s="256">
        <v>308.20999999999998</v>
      </c>
      <c r="C36" s="256">
        <v>6.17</v>
      </c>
      <c r="D36" s="256">
        <v>5.6861320951678174</v>
      </c>
      <c r="E36" s="256">
        <v>334.95</v>
      </c>
      <c r="F36" s="256">
        <v>6.22</v>
      </c>
      <c r="G36" s="256">
        <v>5.4012078912681671</v>
      </c>
      <c r="H36" s="256">
        <v>273.93</v>
      </c>
      <c r="I36" s="256">
        <v>6.1</v>
      </c>
      <c r="J36" s="256">
        <v>6.1349347223835116</v>
      </c>
      <c r="K36" s="256">
        <v>323.49</v>
      </c>
      <c r="L36" s="256">
        <v>233.65</v>
      </c>
      <c r="M36" s="256">
        <v>322.05</v>
      </c>
      <c r="N36" s="256">
        <v>253.57</v>
      </c>
      <c r="O36" s="256">
        <v>317.11</v>
      </c>
      <c r="P36" s="256">
        <v>203.76</v>
      </c>
      <c r="Q36" s="256">
        <v>314.16000000000003</v>
      </c>
    </row>
    <row r="37" spans="1:17" s="152" customFormat="1" ht="12.6" customHeight="1">
      <c r="A37" s="139" t="s">
        <v>556</v>
      </c>
      <c r="B37" s="231">
        <v>310.12</v>
      </c>
      <c r="C37" s="231">
        <v>6.22</v>
      </c>
      <c r="D37" s="231">
        <v>5.7496501613063966</v>
      </c>
      <c r="E37" s="231">
        <v>337.43</v>
      </c>
      <c r="F37" s="231">
        <v>6.34</v>
      </c>
      <c r="G37" s="231">
        <v>5.4720481862916115</v>
      </c>
      <c r="H37" s="231">
        <v>275.11</v>
      </c>
      <c r="I37" s="231">
        <v>6.04</v>
      </c>
      <c r="J37" s="231">
        <v>6.1873207985941425</v>
      </c>
      <c r="K37" s="231">
        <v>325.31</v>
      </c>
      <c r="L37" s="231">
        <v>234.17</v>
      </c>
      <c r="M37" s="231">
        <v>323.51</v>
      </c>
      <c r="N37" s="231">
        <v>253.91</v>
      </c>
      <c r="O37" s="231">
        <v>317.88</v>
      </c>
      <c r="P37" s="231">
        <v>204.95</v>
      </c>
      <c r="Q37" s="231">
        <v>317.85000000000002</v>
      </c>
    </row>
    <row r="38" spans="1:17" s="152" customFormat="1" ht="12.6" customHeight="1">
      <c r="A38" s="273" t="s">
        <v>565</v>
      </c>
      <c r="B38" s="256">
        <v>312.38</v>
      </c>
      <c r="C38" s="256">
        <v>6.29</v>
      </c>
      <c r="D38" s="256">
        <v>5.8114153321578765</v>
      </c>
      <c r="E38" s="256">
        <v>340.25</v>
      </c>
      <c r="F38" s="256">
        <v>6.23</v>
      </c>
      <c r="G38" s="256">
        <v>5.5297540814660318</v>
      </c>
      <c r="H38" s="256">
        <v>276.64</v>
      </c>
      <c r="I38" s="256">
        <v>6.39</v>
      </c>
      <c r="J38" s="256">
        <v>6.2561657349555988</v>
      </c>
      <c r="K38" s="256">
        <v>328.18</v>
      </c>
      <c r="L38" s="256">
        <v>234.65</v>
      </c>
      <c r="M38" s="256">
        <v>325.93</v>
      </c>
      <c r="N38" s="256">
        <v>254.59</v>
      </c>
      <c r="O38" s="256">
        <v>319.82</v>
      </c>
      <c r="P38" s="256">
        <v>206.59</v>
      </c>
      <c r="Q38" s="256">
        <v>319.99</v>
      </c>
    </row>
    <row r="39" spans="1:17" s="152" customFormat="1" ht="12.6" customHeight="1">
      <c r="A39" s="139" t="s">
        <v>566</v>
      </c>
      <c r="B39" s="231">
        <v>309.27999999999997</v>
      </c>
      <c r="C39" s="231">
        <v>7.42</v>
      </c>
      <c r="D39" s="231">
        <v>5.9894246228676229</v>
      </c>
      <c r="E39" s="231">
        <v>334.02</v>
      </c>
      <c r="F39" s="231">
        <v>8.3000000000000007</v>
      </c>
      <c r="G39" s="231">
        <v>5.8094140987488219</v>
      </c>
      <c r="H39" s="231">
        <v>277.57</v>
      </c>
      <c r="I39" s="231">
        <v>6.08</v>
      </c>
      <c r="J39" s="231">
        <v>6.2736460392475157</v>
      </c>
      <c r="K39" s="231">
        <v>329.4</v>
      </c>
      <c r="L39" s="231">
        <v>235.01</v>
      </c>
      <c r="M39" s="231">
        <v>328.4</v>
      </c>
      <c r="N39" s="231">
        <v>255.05</v>
      </c>
      <c r="O39" s="231">
        <v>320.76</v>
      </c>
      <c r="P39" s="231">
        <v>207.47</v>
      </c>
      <c r="Q39" s="231">
        <v>321.14999999999998</v>
      </c>
    </row>
    <row r="40" spans="1:17" s="152" customFormat="1" ht="12.6" customHeight="1">
      <c r="A40" s="273" t="s">
        <v>557</v>
      </c>
      <c r="B40" s="256">
        <v>313.76</v>
      </c>
      <c r="C40" s="256">
        <v>7.56</v>
      </c>
      <c r="D40" s="256">
        <v>6.1496770018374614</v>
      </c>
      <c r="E40" s="256">
        <v>340.48</v>
      </c>
      <c r="F40" s="256">
        <v>8.3699999999999992</v>
      </c>
      <c r="G40" s="256">
        <v>6.0512006287237297</v>
      </c>
      <c r="H40" s="256">
        <v>279.5</v>
      </c>
      <c r="I40" s="256">
        <v>6.33</v>
      </c>
      <c r="J40" s="256">
        <v>6.3050856290428836</v>
      </c>
      <c r="K40" s="256">
        <v>331.09</v>
      </c>
      <c r="L40" s="256">
        <v>235.48</v>
      </c>
      <c r="M40" s="256">
        <v>331.02</v>
      </c>
      <c r="N40" s="256">
        <v>255.62</v>
      </c>
      <c r="O40" s="256">
        <v>324.72000000000003</v>
      </c>
      <c r="P40" s="256">
        <v>210.3</v>
      </c>
      <c r="Q40" s="256">
        <v>325.49</v>
      </c>
    </row>
    <row r="41" spans="1:17" s="152" customFormat="1" ht="12.6" customHeight="1">
      <c r="A41" s="100" t="s">
        <v>2056</v>
      </c>
      <c r="B41" s="231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</row>
    <row r="42" spans="1:17" s="152" customFormat="1" ht="12.6" customHeight="1">
      <c r="A42" s="273" t="s">
        <v>559</v>
      </c>
      <c r="B42" s="256">
        <v>315.13</v>
      </c>
      <c r="C42" s="256">
        <v>7.48</v>
      </c>
      <c r="D42" s="256">
        <v>6.325224955699249</v>
      </c>
      <c r="E42" s="256">
        <v>341.91</v>
      </c>
      <c r="F42" s="256">
        <v>8.19</v>
      </c>
      <c r="G42" s="256">
        <v>6.3075975174726073</v>
      </c>
      <c r="H42" s="256">
        <v>280.8</v>
      </c>
      <c r="I42" s="256">
        <v>6.39</v>
      </c>
      <c r="J42" s="256">
        <v>6.3533126505419091</v>
      </c>
      <c r="K42" s="256">
        <v>332.97</v>
      </c>
      <c r="L42" s="256">
        <v>235.87</v>
      </c>
      <c r="M42" s="256">
        <v>331.6</v>
      </c>
      <c r="N42" s="256">
        <v>256.22000000000003</v>
      </c>
      <c r="O42" s="256">
        <v>325.44</v>
      </c>
      <c r="P42" s="256">
        <v>211.78</v>
      </c>
      <c r="Q42" s="256">
        <v>331.52</v>
      </c>
    </row>
    <row r="43" spans="1:17" s="152" customFormat="1" ht="12.6" customHeight="1">
      <c r="A43" s="139" t="s">
        <v>560</v>
      </c>
      <c r="B43" s="231">
        <v>326.06</v>
      </c>
      <c r="C43" s="231">
        <v>9.52</v>
      </c>
      <c r="D43" s="231">
        <v>6.6609199681544995</v>
      </c>
      <c r="E43" s="231">
        <v>355.16</v>
      </c>
      <c r="F43" s="231">
        <v>9.94</v>
      </c>
      <c r="G43" s="231">
        <v>6.709993759002697</v>
      </c>
      <c r="H43" s="231">
        <v>288.76</v>
      </c>
      <c r="I43" s="231">
        <v>8.85</v>
      </c>
      <c r="J43" s="231">
        <v>6.5847962271211369</v>
      </c>
      <c r="K43" s="231">
        <v>334.36</v>
      </c>
      <c r="L43" s="231">
        <v>247.15</v>
      </c>
      <c r="M43" s="231">
        <v>336.03</v>
      </c>
      <c r="N43" s="231">
        <v>280.11</v>
      </c>
      <c r="O43" s="231">
        <v>333.15</v>
      </c>
      <c r="P43" s="231">
        <v>213.44</v>
      </c>
      <c r="Q43" s="231">
        <v>335.56</v>
      </c>
    </row>
    <row r="44" spans="1:17" s="152" customFormat="1" ht="12.6" customHeight="1">
      <c r="A44" s="273" t="s">
        <v>554</v>
      </c>
      <c r="B44" s="256">
        <v>331.88</v>
      </c>
      <c r="C44" s="256">
        <v>9.1</v>
      </c>
      <c r="D44" s="256">
        <v>6.9598855175087682</v>
      </c>
      <c r="E44" s="256">
        <v>362.77</v>
      </c>
      <c r="F44" s="256">
        <v>9.08</v>
      </c>
      <c r="G44" s="256">
        <v>7.0407505099713052</v>
      </c>
      <c r="H44" s="256">
        <v>292.29000000000002</v>
      </c>
      <c r="I44" s="256">
        <v>9.1300000000000008</v>
      </c>
      <c r="J44" s="256">
        <v>6.8352147077798131</v>
      </c>
      <c r="K44" s="256">
        <v>337.21</v>
      </c>
      <c r="L44" s="256">
        <v>248.08</v>
      </c>
      <c r="M44" s="256">
        <v>341.28</v>
      </c>
      <c r="N44" s="256">
        <v>293.16000000000003</v>
      </c>
      <c r="O44" s="256">
        <v>337.74</v>
      </c>
      <c r="P44" s="256">
        <v>214.28</v>
      </c>
      <c r="Q44" s="256">
        <v>341.13</v>
      </c>
    </row>
    <row r="45" spans="1:17" s="152" customFormat="1" ht="12.6" customHeight="1">
      <c r="A45" s="139" t="s">
        <v>561</v>
      </c>
      <c r="B45" s="231">
        <v>334.89</v>
      </c>
      <c r="C45" s="231">
        <v>8.91</v>
      </c>
      <c r="D45" s="231">
        <v>7.2341355183939138</v>
      </c>
      <c r="E45" s="231">
        <v>366.39</v>
      </c>
      <c r="F45" s="231">
        <v>8.5</v>
      </c>
      <c r="G45" s="231">
        <v>7.3213772939671573</v>
      </c>
      <c r="H45" s="231">
        <v>294.51</v>
      </c>
      <c r="I45" s="231">
        <v>9.58</v>
      </c>
      <c r="J45" s="231">
        <v>7.0999814813632378</v>
      </c>
      <c r="K45" s="231">
        <v>338.17</v>
      </c>
      <c r="L45" s="231">
        <v>248.79</v>
      </c>
      <c r="M45" s="231">
        <v>344.34</v>
      </c>
      <c r="N45" s="231">
        <v>294.93</v>
      </c>
      <c r="O45" s="231">
        <v>341.86</v>
      </c>
      <c r="P45" s="231">
        <v>215.27</v>
      </c>
      <c r="Q45" s="231">
        <v>349.33</v>
      </c>
    </row>
    <row r="46" spans="1:17" s="152" customFormat="1" ht="12.6" customHeight="1">
      <c r="A46" s="273" t="s">
        <v>562</v>
      </c>
      <c r="B46" s="256">
        <v>333.07</v>
      </c>
      <c r="C46" s="256">
        <v>8.85</v>
      </c>
      <c r="D46" s="256">
        <v>7.4767067592749425</v>
      </c>
      <c r="E46" s="256">
        <v>360.75</v>
      </c>
      <c r="F46" s="256">
        <v>8.14</v>
      </c>
      <c r="G46" s="256">
        <v>7.5485918183306744</v>
      </c>
      <c r="H46" s="256">
        <v>297.58</v>
      </c>
      <c r="I46" s="256">
        <v>9.98</v>
      </c>
      <c r="J46" s="256">
        <v>7.3659176279700755</v>
      </c>
      <c r="K46" s="256">
        <v>340.91</v>
      </c>
      <c r="L46" s="256">
        <v>249.07</v>
      </c>
      <c r="M46" s="256">
        <v>349.61</v>
      </c>
      <c r="N46" s="256">
        <v>302.73</v>
      </c>
      <c r="O46" s="256">
        <v>347.6</v>
      </c>
      <c r="P46" s="256">
        <v>215.98</v>
      </c>
      <c r="Q46" s="256">
        <v>355.45</v>
      </c>
    </row>
    <row r="47" spans="1:17" s="152" customFormat="1" ht="12.6" customHeight="1">
      <c r="A47" s="139" t="s">
        <v>555</v>
      </c>
      <c r="B47" s="231">
        <v>331.35</v>
      </c>
      <c r="C47" s="231">
        <v>8.7100000000000009</v>
      </c>
      <c r="D47" s="231">
        <v>7.6969543717689382</v>
      </c>
      <c r="E47" s="231">
        <v>356.86</v>
      </c>
      <c r="F47" s="231">
        <v>7.91</v>
      </c>
      <c r="G47" s="231">
        <v>7.7487910706107943</v>
      </c>
      <c r="H47" s="231">
        <v>298.64999999999998</v>
      </c>
      <c r="I47" s="231">
        <v>9.9600000000000009</v>
      </c>
      <c r="J47" s="231">
        <v>7.6176222636898272</v>
      </c>
      <c r="K47" s="231">
        <v>342.96</v>
      </c>
      <c r="L47" s="231">
        <v>249.09</v>
      </c>
      <c r="M47" s="231">
        <v>353.11</v>
      </c>
      <c r="N47" s="231">
        <v>303.2</v>
      </c>
      <c r="O47" s="231">
        <v>348.59</v>
      </c>
      <c r="P47" s="231">
        <v>216.7</v>
      </c>
      <c r="Q47" s="231">
        <v>356.87</v>
      </c>
    </row>
    <row r="48" spans="1:17" s="152" customFormat="1" ht="12.6" customHeight="1">
      <c r="A48" s="273" t="s">
        <v>563</v>
      </c>
      <c r="B48" s="256">
        <v>333.34</v>
      </c>
      <c r="C48" s="256">
        <v>8.57</v>
      </c>
      <c r="D48" s="256">
        <v>7.9212793503700807</v>
      </c>
      <c r="E48" s="256">
        <v>359.4</v>
      </c>
      <c r="F48" s="256">
        <v>7.76</v>
      </c>
      <c r="G48" s="256">
        <v>7.9244029268368266</v>
      </c>
      <c r="H48" s="256">
        <v>299.93</v>
      </c>
      <c r="I48" s="256">
        <v>9.84</v>
      </c>
      <c r="J48" s="256">
        <v>7.9184219702752801</v>
      </c>
      <c r="K48" s="256">
        <v>343.9</v>
      </c>
      <c r="L48" s="256">
        <v>250.94</v>
      </c>
      <c r="M48" s="256">
        <v>354.21</v>
      </c>
      <c r="N48" s="256">
        <v>303.57</v>
      </c>
      <c r="O48" s="256">
        <v>348.96</v>
      </c>
      <c r="P48" s="256">
        <v>218.08</v>
      </c>
      <c r="Q48" s="256">
        <v>358.95</v>
      </c>
    </row>
    <row r="49" spans="1:17" s="152" customFormat="1" ht="12.6" customHeight="1">
      <c r="A49" s="139" t="s">
        <v>564</v>
      </c>
      <c r="B49" s="231">
        <v>335.29</v>
      </c>
      <c r="C49" s="231">
        <v>8.7799999999999994</v>
      </c>
      <c r="D49" s="231">
        <v>8.1369466625858866</v>
      </c>
      <c r="E49" s="231">
        <v>362.17</v>
      </c>
      <c r="F49" s="231">
        <v>8.1300000000000008</v>
      </c>
      <c r="G49" s="231">
        <v>8.0798710500757274</v>
      </c>
      <c r="H49" s="231">
        <v>300.82</v>
      </c>
      <c r="I49" s="231">
        <v>9.82</v>
      </c>
      <c r="J49" s="231">
        <v>8.2276739940480681</v>
      </c>
      <c r="K49" s="231">
        <v>344.49</v>
      </c>
      <c r="L49" s="231">
        <v>252.28</v>
      </c>
      <c r="M49" s="231">
        <v>355.04</v>
      </c>
      <c r="N49" s="231">
        <v>303.89999999999998</v>
      </c>
      <c r="O49" s="231">
        <v>349.49</v>
      </c>
      <c r="P49" s="231">
        <v>218.58</v>
      </c>
      <c r="Q49" s="231">
        <v>360.12</v>
      </c>
    </row>
    <row r="50" spans="1:17" s="152" customFormat="1" ht="12.6" customHeight="1" thickBot="1">
      <c r="A50" s="1087" t="s">
        <v>556</v>
      </c>
      <c r="B50" s="429">
        <v>339.07</v>
      </c>
      <c r="C50" s="429">
        <v>9.33</v>
      </c>
      <c r="D50" s="429">
        <v>8.394744564344748</v>
      </c>
      <c r="E50" s="429">
        <v>368.09</v>
      </c>
      <c r="F50" s="429">
        <v>9.09</v>
      </c>
      <c r="G50" s="429">
        <v>8.3074138282684284</v>
      </c>
      <c r="H50" s="429">
        <v>301.87</v>
      </c>
      <c r="I50" s="429">
        <v>9.7200000000000006</v>
      </c>
      <c r="J50" s="429">
        <v>8.5325527354625628</v>
      </c>
      <c r="K50" s="429">
        <v>345.29</v>
      </c>
      <c r="L50" s="429">
        <v>253.4</v>
      </c>
      <c r="M50" s="429">
        <v>355.94</v>
      </c>
      <c r="N50" s="429">
        <v>304.94</v>
      </c>
      <c r="O50" s="429">
        <v>350.41</v>
      </c>
      <c r="P50" s="429">
        <v>218.77</v>
      </c>
      <c r="Q50" s="429">
        <v>362.65</v>
      </c>
    </row>
    <row r="51" spans="1:17" s="152" customFormat="1" ht="11.85" customHeight="1">
      <c r="A51" s="139" t="s">
        <v>2240</v>
      </c>
      <c r="B51" s="231"/>
      <c r="C51" s="231"/>
      <c r="D51" s="231"/>
      <c r="E51" s="231"/>
      <c r="F51" s="231"/>
      <c r="G51" s="231"/>
      <c r="H51" s="231"/>
      <c r="I51" s="231"/>
      <c r="J51" s="231"/>
      <c r="K51" s="231"/>
      <c r="L51" s="231"/>
      <c r="M51" s="231"/>
      <c r="N51" s="231"/>
      <c r="O51" s="231"/>
      <c r="P51" s="231"/>
      <c r="Q51" s="231"/>
    </row>
    <row r="52" spans="1:17">
      <c r="A52" s="2389" t="s">
        <v>2241</v>
      </c>
      <c r="B52" s="2389"/>
      <c r="C52" s="2389"/>
      <c r="D52" s="2389"/>
      <c r="E52" s="99"/>
      <c r="F52" s="99"/>
      <c r="G52" s="26"/>
      <c r="H52" s="30" t="s">
        <v>369</v>
      </c>
      <c r="I52" s="30"/>
      <c r="J52" s="30"/>
      <c r="K52" s="26"/>
      <c r="L52" s="26"/>
      <c r="M52" s="26"/>
      <c r="N52" s="26"/>
      <c r="O52" s="26"/>
      <c r="P52" s="26"/>
      <c r="Q52" s="26"/>
    </row>
    <row r="53" spans="1:17">
      <c r="E53" s="862"/>
      <c r="F53" s="30"/>
      <c r="G53" s="30"/>
      <c r="H53" s="30"/>
      <c r="I53" s="30"/>
    </row>
    <row r="54" spans="1:17">
      <c r="A54" s="30"/>
      <c r="B54" s="30"/>
      <c r="C54" s="30"/>
      <c r="D54" s="30"/>
      <c r="E54" s="863"/>
      <c r="F54" s="1081"/>
      <c r="G54" s="549"/>
      <c r="H54" s="1081"/>
      <c r="I54" s="143"/>
      <c r="J54" s="549"/>
      <c r="K54" s="65"/>
      <c r="L54" s="65"/>
      <c r="M54" s="65"/>
      <c r="N54" s="65"/>
    </row>
    <row r="55" spans="1:17">
      <c r="B55" s="83"/>
      <c r="C55" s="83"/>
      <c r="D55" s="83"/>
      <c r="E55" s="83"/>
      <c r="F55" s="83"/>
      <c r="H55" s="83"/>
      <c r="I55" s="231"/>
    </row>
    <row r="56" spans="1:17">
      <c r="B56" s="83"/>
      <c r="C56" s="231"/>
      <c r="D56" s="83"/>
      <c r="E56" s="83"/>
      <c r="F56" s="231"/>
      <c r="G56" s="83"/>
      <c r="H56" s="83"/>
      <c r="I56" s="231"/>
      <c r="J56" s="83"/>
    </row>
    <row r="57" spans="1:17">
      <c r="A57" s="229"/>
      <c r="B57" s="231"/>
      <c r="C57" s="231"/>
      <c r="D57" s="231"/>
      <c r="E57" s="231"/>
      <c r="F57" s="231"/>
      <c r="G57" s="231"/>
      <c r="H57" s="231"/>
      <c r="I57" s="231"/>
      <c r="J57" s="231"/>
      <c r="L57" s="231"/>
      <c r="M57" s="231"/>
      <c r="N57" s="231"/>
      <c r="O57" s="231"/>
      <c r="P57" s="231"/>
      <c r="Q57" s="231"/>
    </row>
    <row r="58" spans="1:17">
      <c r="B58" s="231"/>
      <c r="C58" s="231"/>
      <c r="D58" s="231"/>
      <c r="E58" s="231"/>
      <c r="F58" s="231"/>
      <c r="G58" s="231"/>
      <c r="H58" s="231"/>
      <c r="I58" s="231"/>
      <c r="J58" s="231"/>
    </row>
    <row r="59" spans="1:17">
      <c r="B59" s="231"/>
      <c r="C59" s="231"/>
      <c r="D59" s="231"/>
      <c r="E59" s="231"/>
      <c r="F59" s="231"/>
      <c r="G59" s="231"/>
      <c r="H59" s="231"/>
      <c r="I59" s="231"/>
      <c r="J59" s="231"/>
    </row>
    <row r="60" spans="1:17">
      <c r="H60" s="83"/>
    </row>
    <row r="61" spans="1:17">
      <c r="C61" s="549"/>
      <c r="F61" s="83"/>
      <c r="I61" s="83"/>
    </row>
  </sheetData>
  <customSheetViews>
    <customSheetView guid="{A374FC54-96E3-45F0-9C12-8450400C12DF}" scale="150">
      <pane xSplit="1" ySplit="6" topLeftCell="B10" activePane="bottomRight" state="frozen"/>
      <selection pane="bottomRight" activeCell="A12" sqref="A12:L14"/>
      <pageMargins left="0.62992125984252001" right="0.39370078740157499" top="0.511811023622047" bottom="0.511811023622047" header="0" footer="0.511811023622047"/>
      <pageSetup paperSize="132" firstPageNumber="42" orientation="portrait" useFirstPageNumber="1" r:id="rId1"/>
      <headerFooter alignWithMargins="0">
        <oddFooter>&amp;C&amp;"Times New Roman,Regular"&amp;8&amp;P</oddFooter>
      </headerFooter>
    </customSheetView>
  </customSheetViews>
  <mergeCells count="28">
    <mergeCell ref="D1:J1"/>
    <mergeCell ref="H4:H5"/>
    <mergeCell ref="F3:G3"/>
    <mergeCell ref="K4:K5"/>
    <mergeCell ref="I3:J3"/>
    <mergeCell ref="C3:D3"/>
    <mergeCell ref="G4:G5"/>
    <mergeCell ref="C4:C5"/>
    <mergeCell ref="G2:J2"/>
    <mergeCell ref="E4:E5"/>
    <mergeCell ref="J4:J5"/>
    <mergeCell ref="K1:P1"/>
    <mergeCell ref="K3:Q3"/>
    <mergeCell ref="O4:O5"/>
    <mergeCell ref="P4:P5"/>
    <mergeCell ref="Q4:Q5"/>
    <mergeCell ref="L4:L5"/>
    <mergeCell ref="M4:M5"/>
    <mergeCell ref="N4:N5"/>
    <mergeCell ref="A52:D52"/>
    <mergeCell ref="D4:D5"/>
    <mergeCell ref="I4:I5"/>
    <mergeCell ref="F6:G6"/>
    <mergeCell ref="F4:F5"/>
    <mergeCell ref="A3:A5"/>
    <mergeCell ref="I6:J6"/>
    <mergeCell ref="C6:D6"/>
    <mergeCell ref="B4:B5"/>
  </mergeCells>
  <phoneticPr fontId="0" type="noConversion"/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codeName="Sheet19"/>
  <dimension ref="A1:U53"/>
  <sheetViews>
    <sheetView zoomScale="150" zoomScaleNormal="150" zoomScaleSheetLayoutView="100" workbookViewId="0">
      <pane xSplit="1" ySplit="5" topLeftCell="B21" activePane="bottomRight" state="frozen"/>
      <selection activeCell="X47" sqref="X47:X50"/>
      <selection pane="topRight" activeCell="X47" sqref="X47:X50"/>
      <selection pane="bottomLeft" activeCell="X47" sqref="X47:X50"/>
      <selection pane="bottomRight" activeCell="A8" sqref="A8:XFD10"/>
    </sheetView>
  </sheetViews>
  <sheetFormatPr defaultRowHeight="12.75"/>
  <cols>
    <col min="1" max="1" width="8.42578125" style="1448" customWidth="1"/>
    <col min="2" max="9" width="7.140625" style="1448" customWidth="1"/>
    <col min="10" max="10" width="8.7109375" style="1448" customWidth="1"/>
    <col min="11" max="11" width="8.42578125" style="1448" customWidth="1"/>
    <col min="12" max="12" width="6.85546875" style="1448" customWidth="1"/>
    <col min="13" max="13" width="6.7109375" style="1448" customWidth="1"/>
    <col min="14" max="14" width="7.5703125" style="1448" customWidth="1"/>
    <col min="15" max="15" width="6.140625" style="1448" customWidth="1"/>
    <col min="16" max="16" width="7.42578125" style="1448" customWidth="1"/>
    <col min="17" max="17" width="7.140625" style="1448" customWidth="1"/>
    <col min="18" max="18" width="7.85546875" style="1448" customWidth="1"/>
    <col min="19" max="19" width="7.5703125" style="1448" customWidth="1"/>
    <col min="20" max="21" width="6.28515625" style="1448" customWidth="1"/>
    <col min="22" max="16384" width="9.140625" style="1448"/>
  </cols>
  <sheetData>
    <row r="1" spans="1:21" ht="15.75" customHeight="1">
      <c r="A1" s="2408" t="s">
        <v>2158</v>
      </c>
      <c r="B1" s="2408"/>
      <c r="C1" s="2408"/>
      <c r="D1" s="2408"/>
      <c r="E1" s="2408"/>
      <c r="F1" s="2408"/>
      <c r="G1" s="2408"/>
      <c r="H1" s="2408"/>
      <c r="I1" s="2408"/>
      <c r="J1" s="2408"/>
      <c r="K1" s="2409" t="s">
        <v>2711</v>
      </c>
      <c r="L1" s="2409"/>
      <c r="M1" s="2409"/>
      <c r="N1" s="2409"/>
      <c r="O1" s="2409"/>
      <c r="P1" s="2409"/>
      <c r="Q1" s="2409"/>
      <c r="R1" s="2409"/>
      <c r="S1" s="2409"/>
      <c r="T1" s="2409"/>
      <c r="U1" s="2409"/>
    </row>
    <row r="2" spans="1:21">
      <c r="A2" s="19"/>
      <c r="B2" s="827"/>
      <c r="C2" s="19"/>
      <c r="D2" s="19"/>
      <c r="E2" s="19"/>
      <c r="F2" s="827"/>
      <c r="G2" s="2401"/>
      <c r="H2" s="2401"/>
      <c r="I2" s="2401"/>
      <c r="J2" s="2401"/>
      <c r="K2" s="91"/>
      <c r="L2" s="1082"/>
      <c r="M2" s="827"/>
      <c r="N2" s="827"/>
      <c r="O2" s="827"/>
      <c r="P2" s="827"/>
      <c r="Q2" s="827"/>
      <c r="R2" s="827"/>
      <c r="S2" s="827"/>
      <c r="T2" s="827"/>
      <c r="U2" s="827"/>
    </row>
    <row r="3" spans="1:21" ht="12.75" customHeight="1">
      <c r="A3" s="2407" t="s">
        <v>481</v>
      </c>
      <c r="B3" s="1334" t="s">
        <v>500</v>
      </c>
      <c r="C3" s="2341" t="s">
        <v>629</v>
      </c>
      <c r="D3" s="2410"/>
      <c r="E3" s="1334" t="s">
        <v>500</v>
      </c>
      <c r="F3" s="2341" t="s">
        <v>92</v>
      </c>
      <c r="G3" s="2410"/>
      <c r="H3" s="1334" t="s">
        <v>500</v>
      </c>
      <c r="I3" s="2341" t="s">
        <v>93</v>
      </c>
      <c r="J3" s="2410"/>
      <c r="K3" s="1457"/>
      <c r="L3" s="2411" t="s">
        <v>184</v>
      </c>
      <c r="M3" s="2411"/>
      <c r="N3" s="2411"/>
      <c r="O3" s="2411"/>
      <c r="P3" s="2411"/>
      <c r="Q3" s="2411"/>
      <c r="R3" s="2411"/>
      <c r="S3" s="2411"/>
      <c r="T3" s="2411"/>
      <c r="U3" s="2410"/>
    </row>
    <row r="4" spans="1:21" ht="24" customHeight="1">
      <c r="A4" s="2338"/>
      <c r="B4" s="2407" t="s">
        <v>501</v>
      </c>
      <c r="C4" s="2407" t="s">
        <v>94</v>
      </c>
      <c r="D4" s="2407" t="s">
        <v>95</v>
      </c>
      <c r="E4" s="2407" t="s">
        <v>498</v>
      </c>
      <c r="F4" s="2407" t="s">
        <v>94</v>
      </c>
      <c r="G4" s="2407" t="s">
        <v>95</v>
      </c>
      <c r="H4" s="2407" t="s">
        <v>258</v>
      </c>
      <c r="I4" s="2407" t="s">
        <v>110</v>
      </c>
      <c r="J4" s="2407" t="s">
        <v>95</v>
      </c>
      <c r="K4" s="2407" t="s">
        <v>2159</v>
      </c>
      <c r="L4" s="2407" t="s">
        <v>19</v>
      </c>
      <c r="M4" s="2415" t="s">
        <v>2160</v>
      </c>
      <c r="N4" s="2405" t="s">
        <v>2161</v>
      </c>
      <c r="O4" s="2405" t="s">
        <v>2162</v>
      </c>
      <c r="P4" s="2405" t="s">
        <v>2163</v>
      </c>
      <c r="Q4" s="2405" t="s">
        <v>2164</v>
      </c>
      <c r="R4" s="2413" t="s">
        <v>2165</v>
      </c>
      <c r="S4" s="2413" t="s">
        <v>1959</v>
      </c>
      <c r="T4" s="2413" t="s">
        <v>2166</v>
      </c>
      <c r="U4" s="2405" t="s">
        <v>858</v>
      </c>
    </row>
    <row r="5" spans="1:21" ht="24" customHeight="1">
      <c r="A5" s="2339"/>
      <c r="B5" s="2339"/>
      <c r="C5" s="2339"/>
      <c r="D5" s="2339"/>
      <c r="E5" s="2339"/>
      <c r="F5" s="2339"/>
      <c r="G5" s="2339"/>
      <c r="H5" s="2339"/>
      <c r="I5" s="2339"/>
      <c r="J5" s="2339"/>
      <c r="K5" s="2339"/>
      <c r="L5" s="2339"/>
      <c r="M5" s="2416"/>
      <c r="N5" s="2406"/>
      <c r="O5" s="2406"/>
      <c r="P5" s="2406"/>
      <c r="Q5" s="2406"/>
      <c r="R5" s="2414"/>
      <c r="S5" s="2414"/>
      <c r="T5" s="2414"/>
      <c r="U5" s="2406"/>
    </row>
    <row r="6" spans="1:21" ht="12.75" customHeight="1">
      <c r="A6" s="82" t="s">
        <v>568</v>
      </c>
      <c r="B6" s="1459">
        <v>100</v>
      </c>
      <c r="C6" s="2395" t="s">
        <v>140</v>
      </c>
      <c r="D6" s="2412"/>
      <c r="E6" s="1459">
        <v>44.86</v>
      </c>
      <c r="F6" s="2395" t="s">
        <v>140</v>
      </c>
      <c r="G6" s="2412"/>
      <c r="H6" s="1459">
        <v>55.14</v>
      </c>
      <c r="I6" s="2395" t="s">
        <v>140</v>
      </c>
      <c r="J6" s="2412"/>
      <c r="K6" s="1459">
        <v>2.64</v>
      </c>
      <c r="L6" s="1459">
        <v>6.11</v>
      </c>
      <c r="M6" s="1459">
        <v>15.24</v>
      </c>
      <c r="N6" s="1459">
        <v>3.84</v>
      </c>
      <c r="O6" s="1459">
        <v>4.34</v>
      </c>
      <c r="P6" s="1459">
        <v>9.3699999999999992</v>
      </c>
      <c r="Q6" s="1459">
        <v>2.34</v>
      </c>
      <c r="R6" s="1459">
        <v>1.54</v>
      </c>
      <c r="S6" s="1459">
        <v>3.76</v>
      </c>
      <c r="T6" s="1459">
        <v>2.17</v>
      </c>
      <c r="U6" s="1459">
        <v>3.79</v>
      </c>
    </row>
    <row r="7" spans="1:21" s="682" customFormat="1" ht="9" customHeight="1">
      <c r="A7" s="1456" t="s">
        <v>1810</v>
      </c>
      <c r="B7" s="231">
        <v>100</v>
      </c>
      <c r="C7" s="231">
        <v>7.5574682481368765</v>
      </c>
      <c r="D7" s="231">
        <v>6.1496545684538217</v>
      </c>
      <c r="E7" s="231">
        <v>100</v>
      </c>
      <c r="F7" s="231">
        <v>8.3695306706218933</v>
      </c>
      <c r="G7" s="231">
        <v>6.0520361990950011</v>
      </c>
      <c r="H7" s="231">
        <v>100</v>
      </c>
      <c r="I7" s="231">
        <v>6.3217796171753751</v>
      </c>
      <c r="J7" s="231">
        <v>6.3048138764373318</v>
      </c>
      <c r="K7" s="231" t="s">
        <v>292</v>
      </c>
      <c r="L7" s="231">
        <v>100</v>
      </c>
      <c r="M7" s="231">
        <v>100</v>
      </c>
      <c r="N7" s="231">
        <v>100</v>
      </c>
      <c r="O7" s="231">
        <v>100</v>
      </c>
      <c r="P7" s="231">
        <v>100</v>
      </c>
      <c r="Q7" s="231" t="s">
        <v>292</v>
      </c>
      <c r="R7" s="231">
        <v>100</v>
      </c>
      <c r="S7" s="231" t="s">
        <v>292</v>
      </c>
      <c r="T7" s="231" t="s">
        <v>292</v>
      </c>
      <c r="U7" s="231">
        <v>100</v>
      </c>
    </row>
    <row r="8" spans="1:21" s="1252" customFormat="1" ht="9" customHeight="1">
      <c r="A8" s="1921" t="s">
        <v>2056</v>
      </c>
      <c r="B8" s="295">
        <v>109.02</v>
      </c>
      <c r="C8" s="295">
        <v>9.7491948863081834</v>
      </c>
      <c r="D8" s="295">
        <v>9.0234085284043974</v>
      </c>
      <c r="E8" s="295">
        <v>108.71</v>
      </c>
      <c r="F8" s="295">
        <v>9.7370221918075988</v>
      </c>
      <c r="G8" s="295">
        <v>8.7133333333333738</v>
      </c>
      <c r="H8" s="295">
        <v>109.39</v>
      </c>
      <c r="I8" s="295">
        <v>9.6049046321525786</v>
      </c>
      <c r="J8" s="295">
        <v>9.3917449312077572</v>
      </c>
      <c r="K8" s="295" t="s">
        <v>292</v>
      </c>
      <c r="L8" s="295">
        <v>106.71</v>
      </c>
      <c r="M8" s="295">
        <v>108.25</v>
      </c>
      <c r="N8" s="295">
        <v>109.68</v>
      </c>
      <c r="O8" s="295">
        <v>114.09</v>
      </c>
      <c r="P8" s="295">
        <v>109.67</v>
      </c>
      <c r="Q8" s="295" t="s">
        <v>292</v>
      </c>
      <c r="R8" s="295">
        <v>108.58</v>
      </c>
      <c r="S8" s="295" t="s">
        <v>292</v>
      </c>
      <c r="T8" s="295" t="s">
        <v>292</v>
      </c>
      <c r="U8" s="295">
        <v>112.05</v>
      </c>
    </row>
    <row r="9" spans="1:21" s="1252" customFormat="1" ht="9" customHeight="1">
      <c r="A9" s="763" t="s">
        <v>2188</v>
      </c>
      <c r="B9" s="302">
        <v>119.62749999999998</v>
      </c>
      <c r="C9" s="302">
        <v>9.7200000000000006</v>
      </c>
      <c r="D9" s="302">
        <v>9.73</v>
      </c>
      <c r="E9" s="302">
        <v>120.29750000000001</v>
      </c>
      <c r="F9" s="302">
        <v>10.42</v>
      </c>
      <c r="G9" s="302">
        <v>10.655700006132317</v>
      </c>
      <c r="H9" s="302">
        <v>119.08499999999999</v>
      </c>
      <c r="I9" s="302">
        <v>9.15</v>
      </c>
      <c r="J9" s="302">
        <v>8.8619552217202866</v>
      </c>
      <c r="K9" s="302">
        <v>121.23333333333333</v>
      </c>
      <c r="L9" s="302">
        <v>115.7325</v>
      </c>
      <c r="M9" s="302">
        <v>118.94000000000001</v>
      </c>
      <c r="N9" s="302">
        <v>123.80916666666667</v>
      </c>
      <c r="O9" s="302">
        <v>118.23083333333331</v>
      </c>
      <c r="P9" s="302">
        <v>117.61583333333334</v>
      </c>
      <c r="Q9" s="302">
        <v>107.62083333333332</v>
      </c>
      <c r="R9" s="302">
        <v>123.74833333333332</v>
      </c>
      <c r="S9" s="302">
        <v>112.92833333333336</v>
      </c>
      <c r="T9" s="302">
        <v>140.31666666666669</v>
      </c>
      <c r="U9" s="302">
        <v>122.52833333333332</v>
      </c>
    </row>
    <row r="10" spans="1:21" s="1252" customFormat="1" ht="9" customHeight="1">
      <c r="A10" s="1921" t="s">
        <v>2439</v>
      </c>
      <c r="B10" s="295">
        <v>131.62143318332005</v>
      </c>
      <c r="C10" s="295">
        <f>C22</f>
        <v>8.48</v>
      </c>
      <c r="D10" s="295">
        <f>D22</f>
        <v>10.029999999999999</v>
      </c>
      <c r="E10" s="295">
        <v>133.16337218636846</v>
      </c>
      <c r="F10" s="295">
        <f>F22</f>
        <v>7.39</v>
      </c>
      <c r="G10" s="295">
        <f>G22</f>
        <v>10.695705784963639</v>
      </c>
      <c r="H10" s="295">
        <v>130.36712471897576</v>
      </c>
      <c r="I10" s="295">
        <f>I22</f>
        <v>9.3699999999999992</v>
      </c>
      <c r="J10" s="295">
        <f>J22</f>
        <v>9.4722257211235839</v>
      </c>
      <c r="K10" s="295">
        <v>145.04549190035814</v>
      </c>
      <c r="L10" s="295">
        <v>128.7804006446527</v>
      </c>
      <c r="M10" s="295">
        <v>129.5123891017719</v>
      </c>
      <c r="N10" s="295">
        <v>134.06613455403462</v>
      </c>
      <c r="O10" s="295">
        <v>127.27337327147585</v>
      </c>
      <c r="P10" s="295">
        <v>124.95276973998575</v>
      </c>
      <c r="Q10" s="295">
        <v>117.34209021174827</v>
      </c>
      <c r="R10" s="295">
        <v>133.68019120796279</v>
      </c>
      <c r="S10" s="295">
        <v>122.13903057658216</v>
      </c>
      <c r="T10" s="295">
        <v>155.37160768970003</v>
      </c>
      <c r="U10" s="295">
        <v>139.86881591607028</v>
      </c>
    </row>
    <row r="11" spans="1:21" ht="9" customHeight="1">
      <c r="A11" s="1456" t="s">
        <v>559</v>
      </c>
      <c r="B11" s="231">
        <v>126.06</v>
      </c>
      <c r="C11" s="231">
        <v>11.66</v>
      </c>
      <c r="D11" s="231">
        <v>9.9</v>
      </c>
      <c r="E11" s="231">
        <v>128.63999999999999</v>
      </c>
      <c r="F11" s="231">
        <v>14.1</v>
      </c>
      <c r="G11" s="231">
        <v>11.02177121209813</v>
      </c>
      <c r="H11" s="231">
        <v>123.96</v>
      </c>
      <c r="I11" s="231">
        <v>9.68</v>
      </c>
      <c r="J11" s="231">
        <v>8.884133477508005</v>
      </c>
      <c r="K11" s="231">
        <v>135.38</v>
      </c>
      <c r="L11" s="231">
        <v>118.8</v>
      </c>
      <c r="M11" s="231">
        <v>123.93</v>
      </c>
      <c r="N11" s="231">
        <v>127.09</v>
      </c>
      <c r="O11" s="231">
        <v>124.5</v>
      </c>
      <c r="P11" s="231">
        <v>119.79</v>
      </c>
      <c r="Q11" s="231">
        <v>114.08</v>
      </c>
      <c r="R11" s="231">
        <v>128.29</v>
      </c>
      <c r="S11" s="231">
        <v>116.42</v>
      </c>
      <c r="T11" s="231">
        <v>146.68</v>
      </c>
      <c r="U11" s="231">
        <v>129.83000000000001</v>
      </c>
    </row>
    <row r="12" spans="1:21" ht="9" customHeight="1">
      <c r="A12" s="354" t="s">
        <v>560</v>
      </c>
      <c r="B12" s="256">
        <v>129.34</v>
      </c>
      <c r="C12" s="256">
        <v>10.49</v>
      </c>
      <c r="D12" s="256">
        <v>9.9499999999999993</v>
      </c>
      <c r="E12" s="256">
        <v>133.72</v>
      </c>
      <c r="F12" s="256">
        <v>11.36</v>
      </c>
      <c r="G12" s="256">
        <v>10.930299105394736</v>
      </c>
      <c r="H12" s="256">
        <v>125.77</v>
      </c>
      <c r="I12" s="256">
        <v>9.74</v>
      </c>
      <c r="J12" s="256">
        <v>9.0321659616352523</v>
      </c>
      <c r="K12" s="256">
        <v>137.1</v>
      </c>
      <c r="L12" s="256">
        <v>122.64</v>
      </c>
      <c r="M12" s="256">
        <v>125.86</v>
      </c>
      <c r="N12" s="256">
        <v>129.16999999999999</v>
      </c>
      <c r="O12" s="256">
        <v>125.66</v>
      </c>
      <c r="P12" s="256">
        <v>120.7</v>
      </c>
      <c r="Q12" s="256">
        <v>114.58</v>
      </c>
      <c r="R12" s="256">
        <v>129.54</v>
      </c>
      <c r="S12" s="256">
        <v>117.76</v>
      </c>
      <c r="T12" s="256">
        <v>148.24</v>
      </c>
      <c r="U12" s="256">
        <v>132.22999999999999</v>
      </c>
    </row>
    <row r="13" spans="1:21" ht="9" customHeight="1">
      <c r="A13" s="1456" t="s">
        <v>554</v>
      </c>
      <c r="B13" s="231">
        <v>130.61000000000001</v>
      </c>
      <c r="C13" s="231">
        <v>9.92</v>
      </c>
      <c r="D13" s="231">
        <v>9.9700000000000006</v>
      </c>
      <c r="E13" s="231">
        <v>135.21</v>
      </c>
      <c r="F13" s="231">
        <v>10.4</v>
      </c>
      <c r="G13" s="231">
        <v>10.765296994274799</v>
      </c>
      <c r="H13" s="231">
        <v>126.87</v>
      </c>
      <c r="I13" s="231">
        <v>9.5</v>
      </c>
      <c r="J13" s="231">
        <v>9.1696470570666868</v>
      </c>
      <c r="K13" s="231">
        <v>137.38</v>
      </c>
      <c r="L13" s="231">
        <v>122.86</v>
      </c>
      <c r="M13" s="231">
        <v>126.48</v>
      </c>
      <c r="N13" s="231">
        <v>130.80000000000001</v>
      </c>
      <c r="O13" s="231">
        <v>125.88</v>
      </c>
      <c r="P13" s="231">
        <v>123.37</v>
      </c>
      <c r="Q13" s="231">
        <v>115.03</v>
      </c>
      <c r="R13" s="231">
        <v>130.71</v>
      </c>
      <c r="S13" s="231">
        <v>118.76</v>
      </c>
      <c r="T13" s="231">
        <v>149.56</v>
      </c>
      <c r="U13" s="231">
        <v>134.22999999999999</v>
      </c>
    </row>
    <row r="14" spans="1:21" ht="9" customHeight="1">
      <c r="A14" s="354" t="s">
        <v>561</v>
      </c>
      <c r="B14" s="256">
        <v>133.32</v>
      </c>
      <c r="C14" s="256">
        <v>10.87</v>
      </c>
      <c r="D14" s="256">
        <v>10.050000000000001</v>
      </c>
      <c r="E14" s="256">
        <v>139.58000000000001</v>
      </c>
      <c r="F14" s="256">
        <v>12.66</v>
      </c>
      <c r="G14" s="256">
        <v>10.791945516391577</v>
      </c>
      <c r="H14" s="256">
        <v>128.22</v>
      </c>
      <c r="I14" s="256">
        <v>9.34</v>
      </c>
      <c r="J14" s="256">
        <v>9.2538752503152022</v>
      </c>
      <c r="K14" s="256">
        <v>137.94</v>
      </c>
      <c r="L14" s="256">
        <v>124.15</v>
      </c>
      <c r="M14" s="256">
        <v>127.72</v>
      </c>
      <c r="N14" s="256">
        <v>132.51</v>
      </c>
      <c r="O14" s="256">
        <v>126.71</v>
      </c>
      <c r="P14" s="256">
        <v>123.83</v>
      </c>
      <c r="Q14" s="256">
        <v>117.13</v>
      </c>
      <c r="R14" s="256">
        <v>131.86000000000001</v>
      </c>
      <c r="S14" s="256">
        <v>120.51</v>
      </c>
      <c r="T14" s="256">
        <v>151.91</v>
      </c>
      <c r="U14" s="256">
        <v>137.75</v>
      </c>
    </row>
    <row r="15" spans="1:21" ht="9" customHeight="1">
      <c r="A15" s="1456" t="s">
        <v>562</v>
      </c>
      <c r="B15" s="231">
        <v>132.66</v>
      </c>
      <c r="C15" s="231">
        <v>11.38</v>
      </c>
      <c r="D15" s="231">
        <v>10.220000000000001</v>
      </c>
      <c r="E15" s="231">
        <v>136.61000000000001</v>
      </c>
      <c r="F15" s="231">
        <v>13.8</v>
      </c>
      <c r="G15" s="231">
        <v>11.059088614632785</v>
      </c>
      <c r="H15" s="231">
        <v>129.44</v>
      </c>
      <c r="I15" s="231">
        <v>9.39</v>
      </c>
      <c r="J15" s="231">
        <v>9.3544156437423744</v>
      </c>
      <c r="K15" s="231">
        <v>139.5</v>
      </c>
      <c r="L15" s="231">
        <v>126.33</v>
      </c>
      <c r="M15" s="231">
        <v>129.4</v>
      </c>
      <c r="N15" s="231">
        <v>133.36000000000001</v>
      </c>
      <c r="O15" s="231">
        <v>126.85</v>
      </c>
      <c r="P15" s="231">
        <v>124.51</v>
      </c>
      <c r="Q15" s="231">
        <v>117.37</v>
      </c>
      <c r="R15" s="231">
        <v>133.16</v>
      </c>
      <c r="S15" s="231">
        <v>121.32</v>
      </c>
      <c r="T15" s="231">
        <v>154.16999999999999</v>
      </c>
      <c r="U15" s="231">
        <v>138.68</v>
      </c>
    </row>
    <row r="16" spans="1:21" ht="9" customHeight="1">
      <c r="A16" s="354" t="s">
        <v>555</v>
      </c>
      <c r="B16" s="256">
        <v>131.30000000000001</v>
      </c>
      <c r="C16" s="256">
        <v>10.89</v>
      </c>
      <c r="D16" s="256">
        <v>10.34</v>
      </c>
      <c r="E16" s="256">
        <v>132.65</v>
      </c>
      <c r="F16" s="256">
        <v>12.92</v>
      </c>
      <c r="G16" s="256">
        <v>11.332413592796975</v>
      </c>
      <c r="H16" s="256">
        <v>130.19</v>
      </c>
      <c r="I16" s="256">
        <v>9.26</v>
      </c>
      <c r="J16" s="256">
        <v>9.412548112807162</v>
      </c>
      <c r="K16" s="256">
        <v>139.99</v>
      </c>
      <c r="L16" s="256">
        <v>127.48</v>
      </c>
      <c r="M16" s="256">
        <v>129.97</v>
      </c>
      <c r="N16" s="256">
        <v>133.63999999999999</v>
      </c>
      <c r="O16" s="256">
        <v>127.19</v>
      </c>
      <c r="P16" s="256">
        <v>125.23</v>
      </c>
      <c r="Q16" s="256">
        <v>117.48</v>
      </c>
      <c r="R16" s="256">
        <v>133.41</v>
      </c>
      <c r="S16" s="256">
        <v>122.59</v>
      </c>
      <c r="T16" s="256">
        <v>155.93</v>
      </c>
      <c r="U16" s="256">
        <v>140.22</v>
      </c>
    </row>
    <row r="17" spans="1:21" ht="9" customHeight="1">
      <c r="A17" s="1456" t="s">
        <v>563</v>
      </c>
      <c r="B17" s="231">
        <v>131.49</v>
      </c>
      <c r="C17" s="231">
        <v>9.94</v>
      </c>
      <c r="D17" s="231">
        <v>10.34</v>
      </c>
      <c r="E17" s="231">
        <v>130.97</v>
      </c>
      <c r="F17" s="231">
        <v>10.72</v>
      </c>
      <c r="G17" s="231">
        <v>11.416690089583659</v>
      </c>
      <c r="H17" s="231">
        <v>131.9</v>
      </c>
      <c r="I17" s="231">
        <v>9.32</v>
      </c>
      <c r="J17" s="231">
        <v>9.4040495003486093</v>
      </c>
      <c r="K17" s="231">
        <v>153.12</v>
      </c>
      <c r="L17" s="231">
        <v>129.33000000000001</v>
      </c>
      <c r="M17" s="231">
        <v>130.56</v>
      </c>
      <c r="N17" s="231">
        <v>135.44</v>
      </c>
      <c r="O17" s="231">
        <v>127.47</v>
      </c>
      <c r="P17" s="231">
        <v>126.43</v>
      </c>
      <c r="Q17" s="231">
        <v>118.28</v>
      </c>
      <c r="R17" s="231">
        <v>134.18</v>
      </c>
      <c r="S17" s="231">
        <v>124.08</v>
      </c>
      <c r="T17" s="231">
        <v>158.16999999999999</v>
      </c>
      <c r="U17" s="231">
        <v>141.94999999999999</v>
      </c>
    </row>
    <row r="18" spans="1:21" ht="9" customHeight="1">
      <c r="A18" s="354" t="s">
        <v>564</v>
      </c>
      <c r="B18" s="256">
        <v>131.29</v>
      </c>
      <c r="C18" s="256">
        <v>9.32</v>
      </c>
      <c r="D18" s="256">
        <v>10.3</v>
      </c>
      <c r="E18" s="256">
        <v>130.08000000000001</v>
      </c>
      <c r="F18" s="256">
        <v>9.24</v>
      </c>
      <c r="G18" s="256">
        <v>11.38654590460655</v>
      </c>
      <c r="H18" s="256">
        <v>132.26</v>
      </c>
      <c r="I18" s="256">
        <v>9.3800000000000008</v>
      </c>
      <c r="J18" s="256">
        <v>9.4076177844415021</v>
      </c>
      <c r="K18" s="256">
        <v>153.19999999999999</v>
      </c>
      <c r="L18" s="256">
        <v>129.53</v>
      </c>
      <c r="M18" s="256">
        <v>130.82</v>
      </c>
      <c r="N18" s="256">
        <v>136.28</v>
      </c>
      <c r="O18" s="256">
        <v>127.62</v>
      </c>
      <c r="P18" s="256">
        <v>126.64</v>
      </c>
      <c r="Q18" s="256">
        <v>118.59</v>
      </c>
      <c r="R18" s="256">
        <v>134.56</v>
      </c>
      <c r="S18" s="256">
        <v>124.4</v>
      </c>
      <c r="T18" s="256">
        <v>158.88999999999999</v>
      </c>
      <c r="U18" s="256">
        <v>143.11000000000001</v>
      </c>
    </row>
    <row r="19" spans="1:21" ht="9" customHeight="1">
      <c r="A19" s="1547" t="s">
        <v>556</v>
      </c>
      <c r="B19" s="231">
        <v>132.97999999999999</v>
      </c>
      <c r="C19" s="231">
        <v>9.35</v>
      </c>
      <c r="D19" s="231">
        <v>10.264617402586328</v>
      </c>
      <c r="E19" s="231">
        <v>132.35</v>
      </c>
      <c r="F19" s="231">
        <v>8.93</v>
      </c>
      <c r="G19" s="231">
        <v>11.293310901463061</v>
      </c>
      <c r="H19" s="231">
        <v>133.49</v>
      </c>
      <c r="I19" s="231">
        <v>9.6999999999999993</v>
      </c>
      <c r="J19" s="231">
        <v>9.4142977725003121</v>
      </c>
      <c r="K19" s="231">
        <v>151.53</v>
      </c>
      <c r="L19" s="231">
        <v>135.31</v>
      </c>
      <c r="M19" s="231">
        <v>132.05000000000001</v>
      </c>
      <c r="N19" s="231">
        <v>137.02000000000001</v>
      </c>
      <c r="O19" s="231">
        <v>128.69999999999999</v>
      </c>
      <c r="P19" s="231">
        <v>127.17</v>
      </c>
      <c r="Q19" s="231">
        <v>118.8</v>
      </c>
      <c r="R19" s="231">
        <v>136.36000000000001</v>
      </c>
      <c r="S19" s="231">
        <v>124.57</v>
      </c>
      <c r="T19" s="231">
        <v>159.69999999999999</v>
      </c>
      <c r="U19" s="231">
        <v>143.05000000000001</v>
      </c>
    </row>
    <row r="20" spans="1:21" ht="9" customHeight="1">
      <c r="A20" s="354" t="s">
        <v>565</v>
      </c>
      <c r="B20" s="256">
        <v>133.5</v>
      </c>
      <c r="C20" s="256">
        <v>9.17</v>
      </c>
      <c r="D20" s="256">
        <v>10.210592587876643</v>
      </c>
      <c r="E20" s="256">
        <v>133.21</v>
      </c>
      <c r="F20" s="256">
        <v>8.6300000000000008</v>
      </c>
      <c r="G20" s="256">
        <v>11.147259309334689</v>
      </c>
      <c r="H20" s="256">
        <v>133.74</v>
      </c>
      <c r="I20" s="256">
        <v>9.61</v>
      </c>
      <c r="J20" s="256">
        <v>9.4369497301902925</v>
      </c>
      <c r="K20" s="256">
        <v>151.9</v>
      </c>
      <c r="L20" s="256">
        <v>135.75</v>
      </c>
      <c r="M20" s="256">
        <v>132.41</v>
      </c>
      <c r="N20" s="256">
        <v>137.35</v>
      </c>
      <c r="O20" s="256">
        <v>128.74</v>
      </c>
      <c r="P20" s="256">
        <v>127.32</v>
      </c>
      <c r="Q20" s="256">
        <v>118.82</v>
      </c>
      <c r="R20" s="256">
        <v>136.58000000000001</v>
      </c>
      <c r="S20" s="256">
        <v>124.74</v>
      </c>
      <c r="T20" s="256">
        <v>159.79</v>
      </c>
      <c r="U20" s="256">
        <v>143.24</v>
      </c>
    </row>
    <row r="21" spans="1:21" ht="9" customHeight="1">
      <c r="A21" s="1633" t="s">
        <v>566</v>
      </c>
      <c r="B21" s="231">
        <v>133.08000000000001</v>
      </c>
      <c r="C21" s="231">
        <v>9.0500000000000007</v>
      </c>
      <c r="D21" s="231">
        <v>10.130000000000001</v>
      </c>
      <c r="E21" s="231">
        <v>131.85</v>
      </c>
      <c r="F21" s="231">
        <v>8.59</v>
      </c>
      <c r="G21" s="231">
        <v>10.959717294745342</v>
      </c>
      <c r="H21" s="231">
        <v>134.09</v>
      </c>
      <c r="I21" s="231">
        <v>9.42</v>
      </c>
      <c r="J21" s="231">
        <v>9.455001691665732</v>
      </c>
      <c r="K21" s="231">
        <v>151.34</v>
      </c>
      <c r="L21" s="231">
        <v>136.51</v>
      </c>
      <c r="M21" s="231">
        <v>132.29</v>
      </c>
      <c r="N21" s="231">
        <v>137.97</v>
      </c>
      <c r="O21" s="231">
        <v>128.94</v>
      </c>
      <c r="P21" s="231">
        <v>127.26</v>
      </c>
      <c r="Q21" s="231">
        <v>118.91</v>
      </c>
      <c r="R21" s="231">
        <v>137.29</v>
      </c>
      <c r="S21" s="231">
        <v>125.15</v>
      </c>
      <c r="T21" s="231">
        <v>160.6</v>
      </c>
      <c r="U21" s="231">
        <v>145.99</v>
      </c>
    </row>
    <row r="22" spans="1:21" s="173" customFormat="1" ht="9" customHeight="1">
      <c r="A22" s="354" t="s">
        <v>557</v>
      </c>
      <c r="B22" s="256">
        <v>133.85</v>
      </c>
      <c r="C22" s="256">
        <v>8.48</v>
      </c>
      <c r="D22" s="256">
        <v>10.029999999999999</v>
      </c>
      <c r="E22" s="256">
        <v>133.1</v>
      </c>
      <c r="F22" s="256">
        <v>7.39</v>
      </c>
      <c r="G22" s="256">
        <v>10.695705784963639</v>
      </c>
      <c r="H22" s="256">
        <v>134.44999999999999</v>
      </c>
      <c r="I22" s="256">
        <v>9.3699999999999992</v>
      </c>
      <c r="J22" s="256">
        <v>9.4722257211235839</v>
      </c>
      <c r="K22" s="256">
        <v>152.16</v>
      </c>
      <c r="L22" s="256">
        <v>136.66999999999999</v>
      </c>
      <c r="M22" s="256">
        <v>132.66999999999999</v>
      </c>
      <c r="N22" s="256">
        <v>138.18</v>
      </c>
      <c r="O22" s="256">
        <v>129.02000000000001</v>
      </c>
      <c r="P22" s="256">
        <v>127.16</v>
      </c>
      <c r="Q22" s="256">
        <v>119.03</v>
      </c>
      <c r="R22" s="256">
        <v>138.22999999999999</v>
      </c>
      <c r="S22" s="256">
        <v>125.37</v>
      </c>
      <c r="T22" s="256">
        <v>160.81</v>
      </c>
      <c r="U22" s="256">
        <v>148.13999999999999</v>
      </c>
    </row>
    <row r="23" spans="1:21" s="173" customFormat="1" ht="9" customHeight="1">
      <c r="A23" s="763" t="s">
        <v>2664</v>
      </c>
      <c r="B23" s="302">
        <v>131.62143318332005</v>
      </c>
      <c r="C23" s="302">
        <f>C35</f>
        <v>9.16</v>
      </c>
      <c r="D23" s="302">
        <f>D35</f>
        <v>8.682722184866364</v>
      </c>
      <c r="E23" s="302">
        <v>133.16337218636846</v>
      </c>
      <c r="F23" s="302">
        <f>F35</f>
        <v>8.6</v>
      </c>
      <c r="G23" s="302">
        <f>G35</f>
        <v>8.0600971570072844</v>
      </c>
      <c r="H23" s="302">
        <v>130.36712471897576</v>
      </c>
      <c r="I23" s="302">
        <f>I35</f>
        <v>9.61</v>
      </c>
      <c r="J23" s="302">
        <f>J35</f>
        <v>9.2043146379525496</v>
      </c>
      <c r="K23" s="302">
        <v>145.04549190035814</v>
      </c>
      <c r="L23" s="302">
        <v>128.7804006446527</v>
      </c>
      <c r="M23" s="302">
        <v>129.5123891017719</v>
      </c>
      <c r="N23" s="302">
        <v>134.06613455403462</v>
      </c>
      <c r="O23" s="302">
        <v>127.27337327147585</v>
      </c>
      <c r="P23" s="302">
        <v>124.95276973998575</v>
      </c>
      <c r="Q23" s="302">
        <v>117.34209021174827</v>
      </c>
      <c r="R23" s="302">
        <v>133.68019120796279</v>
      </c>
      <c r="S23" s="302">
        <v>122.13903057658216</v>
      </c>
      <c r="T23" s="302">
        <v>155.37160768970003</v>
      </c>
      <c r="U23" s="302">
        <v>139.86881591607028</v>
      </c>
    </row>
    <row r="24" spans="1:21" s="173" customFormat="1" ht="9" customHeight="1">
      <c r="A24" s="354" t="s">
        <v>559</v>
      </c>
      <c r="B24" s="256">
        <v>136.83186036552701</v>
      </c>
      <c r="C24" s="256">
        <v>8.5457684659148434</v>
      </c>
      <c r="D24" s="256">
        <v>9.77</v>
      </c>
      <c r="E24" s="256">
        <v>138.35793453982944</v>
      </c>
      <c r="F24" s="256">
        <v>7.5568000031538727</v>
      </c>
      <c r="G24" s="256">
        <v>10.155599946544246</v>
      </c>
      <c r="H24" s="256">
        <v>135.5904573332019</v>
      </c>
      <c r="I24" s="256">
        <v>9.3805963765639433</v>
      </c>
      <c r="J24" s="256">
        <v>9.4482108762188979</v>
      </c>
      <c r="K24" s="256">
        <v>153.49075890636021</v>
      </c>
      <c r="L24" s="256">
        <v>137.56601713565638</v>
      </c>
      <c r="M24" s="256">
        <v>133.59857292983969</v>
      </c>
      <c r="N24" s="256">
        <v>138.86514332660042</v>
      </c>
      <c r="O24" s="256">
        <v>129.60773409405201</v>
      </c>
      <c r="P24" s="256">
        <v>128.27699824185908</v>
      </c>
      <c r="Q24" s="256">
        <v>123.06301418887284</v>
      </c>
      <c r="R24" s="256">
        <v>139.71008629252964</v>
      </c>
      <c r="S24" s="256">
        <v>126.39794188100018</v>
      </c>
      <c r="T24" s="256">
        <v>162.14009888624491</v>
      </c>
      <c r="U24" s="256">
        <v>149.54251912420096</v>
      </c>
    </row>
    <row r="25" spans="1:21" s="173" customFormat="1" ht="9" customHeight="1">
      <c r="A25" s="1879" t="s">
        <v>560</v>
      </c>
      <c r="B25" s="231">
        <v>140.06</v>
      </c>
      <c r="C25" s="231">
        <v>8.2899999999999991</v>
      </c>
      <c r="D25" s="231">
        <v>9.58</v>
      </c>
      <c r="E25" s="231">
        <v>143.88</v>
      </c>
      <c r="F25" s="231">
        <v>7.6</v>
      </c>
      <c r="G25" s="231">
        <v>9.8254712818458998</v>
      </c>
      <c r="H25" s="231">
        <v>136.96</v>
      </c>
      <c r="I25" s="231">
        <v>8.9</v>
      </c>
      <c r="J25" s="231">
        <v>9.377584210816492</v>
      </c>
      <c r="K25" s="231">
        <v>154.33000000000001</v>
      </c>
      <c r="L25" s="231">
        <v>139.68</v>
      </c>
      <c r="M25" s="231">
        <v>135.44999999999999</v>
      </c>
      <c r="N25" s="231">
        <v>139.65</v>
      </c>
      <c r="O25" s="231">
        <v>130.44999999999999</v>
      </c>
      <c r="P25" s="231">
        <v>128.86000000000001</v>
      </c>
      <c r="Q25" s="231">
        <v>123.46</v>
      </c>
      <c r="R25" s="231">
        <v>140.51</v>
      </c>
      <c r="S25" s="231">
        <v>128.33000000000001</v>
      </c>
      <c r="T25" s="231">
        <v>162.55000000000001</v>
      </c>
      <c r="U25" s="231">
        <v>152.11000000000001</v>
      </c>
    </row>
    <row r="26" spans="1:21" s="173" customFormat="1" ht="9" customHeight="1">
      <c r="A26" s="354" t="s">
        <v>554</v>
      </c>
      <c r="B26" s="256">
        <v>141.53</v>
      </c>
      <c r="C26" s="256">
        <v>8.36</v>
      </c>
      <c r="D26" s="256">
        <v>9.4499999999999993</v>
      </c>
      <c r="E26" s="256">
        <v>145.54</v>
      </c>
      <c r="F26" s="256">
        <v>7.64</v>
      </c>
      <c r="G26" s="256">
        <v>9.5790288387118672</v>
      </c>
      <c r="H26" s="256">
        <v>138.26</v>
      </c>
      <c r="I26" s="256">
        <v>8.98</v>
      </c>
      <c r="J26" s="256">
        <v>9.3337072196536752</v>
      </c>
      <c r="K26" s="256">
        <v>154.76</v>
      </c>
      <c r="L26" s="256">
        <v>139.94</v>
      </c>
      <c r="M26" s="256">
        <v>136.13</v>
      </c>
      <c r="N26" s="256">
        <v>140.96</v>
      </c>
      <c r="O26" s="256">
        <v>130.72999999999999</v>
      </c>
      <c r="P26" s="256">
        <v>131.15</v>
      </c>
      <c r="Q26" s="256">
        <v>124.01</v>
      </c>
      <c r="R26" s="256">
        <v>141.28</v>
      </c>
      <c r="S26" s="256">
        <v>129.11000000000001</v>
      </c>
      <c r="T26" s="256">
        <v>165.95</v>
      </c>
      <c r="U26" s="256">
        <v>156.93</v>
      </c>
    </row>
    <row r="27" spans="1:21" s="173" customFormat="1" ht="9" customHeight="1">
      <c r="A27" s="1456" t="s">
        <v>561</v>
      </c>
      <c r="B27" s="231">
        <v>144.21</v>
      </c>
      <c r="C27" s="231">
        <v>8.17</v>
      </c>
      <c r="D27" s="231">
        <v>9.2200000000000006</v>
      </c>
      <c r="E27" s="231">
        <v>149.46</v>
      </c>
      <c r="F27" s="231">
        <v>7.08</v>
      </c>
      <c r="G27" s="231">
        <v>9.0927254200715559</v>
      </c>
      <c r="H27" s="231">
        <v>139.93</v>
      </c>
      <c r="I27" s="231">
        <v>9.1300000000000008</v>
      </c>
      <c r="J27" s="231">
        <v>9.3159184560136268</v>
      </c>
      <c r="K27" s="231">
        <v>155.41999999999999</v>
      </c>
      <c r="L27" s="231">
        <v>140.99</v>
      </c>
      <c r="M27" s="231">
        <v>137.69999999999999</v>
      </c>
      <c r="N27" s="231">
        <v>142.83000000000001</v>
      </c>
      <c r="O27" s="231">
        <v>131.88</v>
      </c>
      <c r="P27" s="231">
        <v>132.25</v>
      </c>
      <c r="Q27" s="231">
        <v>126.98</v>
      </c>
      <c r="R27" s="231">
        <v>143.01</v>
      </c>
      <c r="S27" s="231">
        <v>130.62</v>
      </c>
      <c r="T27" s="231">
        <v>167.77</v>
      </c>
      <c r="U27" s="231">
        <v>161.75</v>
      </c>
    </row>
    <row r="28" spans="1:21" s="173" customFormat="1" ht="9" customHeight="1">
      <c r="A28" s="354" t="s">
        <v>562</v>
      </c>
      <c r="B28" s="256">
        <v>143.65</v>
      </c>
      <c r="C28" s="256">
        <v>8.2899999999999991</v>
      </c>
      <c r="D28" s="256">
        <v>8.9600000000000009</v>
      </c>
      <c r="E28" s="256">
        <v>146.66</v>
      </c>
      <c r="F28" s="256">
        <v>7.36</v>
      </c>
      <c r="G28" s="256">
        <v>8.5639944667676993</v>
      </c>
      <c r="H28" s="256">
        <v>141.19999999999999</v>
      </c>
      <c r="I28" s="256">
        <v>9.08</v>
      </c>
      <c r="J28" s="256">
        <v>9.2899783045183213</v>
      </c>
      <c r="K28" s="256">
        <v>156.38999999999999</v>
      </c>
      <c r="L28" s="256">
        <v>142.04</v>
      </c>
      <c r="M28" s="256">
        <v>139.25</v>
      </c>
      <c r="N28" s="256">
        <v>143.30000000000001</v>
      </c>
      <c r="O28" s="256">
        <v>132</v>
      </c>
      <c r="P28" s="256">
        <v>133.69999999999999</v>
      </c>
      <c r="Q28" s="256">
        <v>127.34</v>
      </c>
      <c r="R28" s="256">
        <v>144.19</v>
      </c>
      <c r="S28" s="256">
        <v>131.54</v>
      </c>
      <c r="T28" s="256">
        <v>170.17</v>
      </c>
      <c r="U28" s="256">
        <v>164.39</v>
      </c>
    </row>
    <row r="29" spans="1:21" ht="9" customHeight="1">
      <c r="A29" s="1505" t="s">
        <v>555</v>
      </c>
      <c r="B29" s="1506">
        <v>142.44</v>
      </c>
      <c r="C29" s="1506">
        <v>8.49</v>
      </c>
      <c r="D29" s="1506">
        <v>8.77</v>
      </c>
      <c r="E29" s="1506">
        <v>142.88</v>
      </c>
      <c r="F29" s="1506">
        <v>7.71</v>
      </c>
      <c r="G29" s="1506">
        <v>8.1570760531413544</v>
      </c>
      <c r="H29" s="1506">
        <v>142.08000000000001</v>
      </c>
      <c r="I29" s="1506">
        <v>9.1300000000000008</v>
      </c>
      <c r="J29" s="1506">
        <v>9.2789641588806759</v>
      </c>
      <c r="K29" s="1506">
        <v>156.99</v>
      </c>
      <c r="L29" s="1506">
        <v>142.91999999999999</v>
      </c>
      <c r="M29" s="1506">
        <v>140.33000000000001</v>
      </c>
      <c r="N29" s="1506">
        <v>143.75</v>
      </c>
      <c r="O29" s="1506">
        <v>132.11000000000001</v>
      </c>
      <c r="P29" s="1506">
        <v>134.34</v>
      </c>
      <c r="Q29" s="1506">
        <v>127.63</v>
      </c>
      <c r="R29" s="1506">
        <v>144.63999999999999</v>
      </c>
      <c r="S29" s="1506">
        <v>131.91999999999999</v>
      </c>
      <c r="T29" s="1506">
        <v>170.55</v>
      </c>
      <c r="U29" s="1506">
        <v>167.85</v>
      </c>
    </row>
    <row r="30" spans="1:21" s="1503" customFormat="1" ht="9" customHeight="1">
      <c r="A30" s="354" t="s">
        <v>563</v>
      </c>
      <c r="B30" s="256">
        <v>142.77000000000001</v>
      </c>
      <c r="C30" s="256">
        <v>8.58</v>
      </c>
      <c r="D30" s="256">
        <v>8.66</v>
      </c>
      <c r="E30" s="256">
        <v>141.84</v>
      </c>
      <c r="F30" s="256">
        <v>8.2899999999999991</v>
      </c>
      <c r="G30" s="256">
        <v>7.9736558042245775</v>
      </c>
      <c r="H30" s="256">
        <v>143.53</v>
      </c>
      <c r="I30" s="256">
        <v>8.81</v>
      </c>
      <c r="J30" s="256">
        <v>9.2356505249561405</v>
      </c>
      <c r="K30" s="256">
        <v>165.97</v>
      </c>
      <c r="L30" s="256">
        <v>143.55000000000001</v>
      </c>
      <c r="M30" s="256">
        <v>141.62</v>
      </c>
      <c r="N30" s="256">
        <v>144.37</v>
      </c>
      <c r="O30" s="256">
        <v>132.16999999999999</v>
      </c>
      <c r="P30" s="256">
        <v>134.72</v>
      </c>
      <c r="Q30" s="256">
        <v>127.79</v>
      </c>
      <c r="R30" s="256">
        <v>145.77000000000001</v>
      </c>
      <c r="S30" s="256">
        <v>133.22999999999999</v>
      </c>
      <c r="T30" s="256">
        <v>172.63</v>
      </c>
      <c r="U30" s="256">
        <v>171.85</v>
      </c>
    </row>
    <row r="31" spans="1:21" ht="9" customHeight="1">
      <c r="A31" s="1547" t="s">
        <v>564</v>
      </c>
      <c r="B31" s="231">
        <v>143.28</v>
      </c>
      <c r="C31" s="231">
        <v>9.1300000000000008</v>
      </c>
      <c r="D31" s="231">
        <v>8.65</v>
      </c>
      <c r="E31" s="231">
        <v>142.18</v>
      </c>
      <c r="F31" s="231">
        <v>9.3000000000000007</v>
      </c>
      <c r="G31" s="231">
        <v>7.987278624222327</v>
      </c>
      <c r="H31" s="231">
        <v>144.18</v>
      </c>
      <c r="I31" s="231">
        <v>9.01</v>
      </c>
      <c r="J31" s="231">
        <v>9.2048608393257236</v>
      </c>
      <c r="K31" s="231">
        <v>166.1</v>
      </c>
      <c r="L31" s="231">
        <v>143.81</v>
      </c>
      <c r="M31" s="231">
        <v>141.83000000000001</v>
      </c>
      <c r="N31" s="231">
        <v>144.47999999999999</v>
      </c>
      <c r="O31" s="231">
        <v>132.29</v>
      </c>
      <c r="P31" s="231">
        <v>135.07</v>
      </c>
      <c r="Q31" s="231">
        <v>128.24</v>
      </c>
      <c r="R31" s="231">
        <v>146.19</v>
      </c>
      <c r="S31" s="231">
        <v>133.78</v>
      </c>
      <c r="T31" s="231">
        <v>173.09</v>
      </c>
      <c r="U31" s="231">
        <v>177.51</v>
      </c>
    </row>
    <row r="32" spans="1:21" ht="9" customHeight="1">
      <c r="A32" s="354" t="s">
        <v>556</v>
      </c>
      <c r="B32" s="256">
        <v>144.56</v>
      </c>
      <c r="C32" s="256">
        <v>8.7100000000000009</v>
      </c>
      <c r="D32" s="256">
        <v>8.59803722373249</v>
      </c>
      <c r="E32" s="256">
        <v>143.25</v>
      </c>
      <c r="F32" s="256">
        <v>8.24</v>
      </c>
      <c r="G32" s="256">
        <v>7.9351916405044687</v>
      </c>
      <c r="H32" s="256">
        <v>145.62</v>
      </c>
      <c r="I32" s="256">
        <v>9.09</v>
      </c>
      <c r="J32" s="256">
        <v>9.1554244819331831</v>
      </c>
      <c r="K32" s="256">
        <v>166.21</v>
      </c>
      <c r="L32" s="256">
        <v>148.29</v>
      </c>
      <c r="M32" s="256">
        <v>143.16999999999999</v>
      </c>
      <c r="N32" s="256">
        <v>145.44</v>
      </c>
      <c r="O32" s="256">
        <v>133.44999999999999</v>
      </c>
      <c r="P32" s="256">
        <v>136.66999999999999</v>
      </c>
      <c r="Q32" s="256">
        <v>129.07</v>
      </c>
      <c r="R32" s="256">
        <v>148.99</v>
      </c>
      <c r="S32" s="256">
        <v>134.93</v>
      </c>
      <c r="T32" s="256">
        <v>176.29</v>
      </c>
      <c r="U32" s="256">
        <v>175.01</v>
      </c>
    </row>
    <row r="33" spans="1:21" ht="9" customHeight="1">
      <c r="A33" s="1633" t="s">
        <v>565</v>
      </c>
      <c r="B33" s="231">
        <v>145.57</v>
      </c>
      <c r="C33" s="231">
        <v>9.0399999999999991</v>
      </c>
      <c r="D33" s="231">
        <v>8.59</v>
      </c>
      <c r="E33" s="231">
        <v>144.38999999999999</v>
      </c>
      <c r="F33" s="231">
        <v>8.39</v>
      </c>
      <c r="G33" s="231">
        <v>7.9200151129531271</v>
      </c>
      <c r="H33" s="231">
        <v>146.54</v>
      </c>
      <c r="I33" s="231">
        <v>9.57</v>
      </c>
      <c r="J33" s="231">
        <v>9.1558776192460556</v>
      </c>
      <c r="K33" s="231">
        <v>166.8</v>
      </c>
      <c r="L33" s="231">
        <v>148.5</v>
      </c>
      <c r="M33" s="231">
        <v>144.22</v>
      </c>
      <c r="N33" s="231">
        <v>145.85</v>
      </c>
      <c r="O33" s="231">
        <v>133.77000000000001</v>
      </c>
      <c r="P33" s="231">
        <v>139.16999999999999</v>
      </c>
      <c r="Q33" s="231">
        <v>129.77000000000001</v>
      </c>
      <c r="R33" s="231">
        <v>150.04</v>
      </c>
      <c r="S33" s="231">
        <v>135.321</v>
      </c>
      <c r="T33" s="231">
        <v>177.17</v>
      </c>
      <c r="U33" s="231">
        <v>174.67</v>
      </c>
    </row>
    <row r="34" spans="1:21" s="216" customFormat="1" ht="9" customHeight="1">
      <c r="A34" s="354" t="s">
        <v>566</v>
      </c>
      <c r="B34" s="256">
        <v>145.61000000000001</v>
      </c>
      <c r="C34" s="256">
        <v>9.42</v>
      </c>
      <c r="D34" s="256">
        <v>8.6300000000000008</v>
      </c>
      <c r="E34" s="256">
        <v>143.79</v>
      </c>
      <c r="F34" s="256">
        <v>9.06</v>
      </c>
      <c r="G34" s="256">
        <v>7.9630625776417441</v>
      </c>
      <c r="H34" s="256">
        <v>147.1</v>
      </c>
      <c r="I34" s="256">
        <v>9.7100000000000009</v>
      </c>
      <c r="J34" s="256">
        <v>9.181797285859794</v>
      </c>
      <c r="K34" s="256">
        <v>167.17</v>
      </c>
      <c r="L34" s="256">
        <v>149.56</v>
      </c>
      <c r="M34" s="256">
        <v>144.54</v>
      </c>
      <c r="N34" s="256">
        <v>146.81</v>
      </c>
      <c r="O34" s="256">
        <v>134.33000000000001</v>
      </c>
      <c r="P34" s="256">
        <v>139.80000000000001</v>
      </c>
      <c r="Q34" s="256">
        <v>130.44</v>
      </c>
      <c r="R34" s="256">
        <v>151.13999999999999</v>
      </c>
      <c r="S34" s="256">
        <v>136.37</v>
      </c>
      <c r="T34" s="256">
        <v>178.65</v>
      </c>
      <c r="U34" s="256">
        <v>173.64</v>
      </c>
    </row>
    <row r="35" spans="1:21" ht="9" customHeight="1">
      <c r="A35" s="1902" t="s">
        <v>557</v>
      </c>
      <c r="B35" s="231">
        <v>146.11000000000001</v>
      </c>
      <c r="C35" s="231">
        <v>9.16</v>
      </c>
      <c r="D35" s="231">
        <v>8.682722184866364</v>
      </c>
      <c r="E35" s="231">
        <v>144.54</v>
      </c>
      <c r="F35" s="231">
        <v>8.6</v>
      </c>
      <c r="G35" s="231">
        <v>8.0600971570072844</v>
      </c>
      <c r="H35" s="231">
        <v>147.38</v>
      </c>
      <c r="I35" s="231">
        <v>9.61</v>
      </c>
      <c r="J35" s="231">
        <v>9.2043146379525496</v>
      </c>
      <c r="K35" s="231">
        <v>168.43</v>
      </c>
      <c r="L35" s="231">
        <v>149.85</v>
      </c>
      <c r="M35" s="231">
        <v>145.44</v>
      </c>
      <c r="N35" s="231">
        <v>147.05000000000001</v>
      </c>
      <c r="O35" s="231">
        <v>134.54</v>
      </c>
      <c r="P35" s="231">
        <v>140</v>
      </c>
      <c r="Q35" s="231">
        <v>130.65</v>
      </c>
      <c r="R35" s="231">
        <v>151.77000000000001</v>
      </c>
      <c r="S35" s="231">
        <v>136.79</v>
      </c>
      <c r="T35" s="231">
        <v>179.63</v>
      </c>
      <c r="U35" s="231">
        <v>170.33</v>
      </c>
    </row>
    <row r="36" spans="1:21" ht="9.6" customHeight="1">
      <c r="A36" s="1671" t="s">
        <v>2930</v>
      </c>
      <c r="B36" s="256"/>
      <c r="C36" s="256"/>
      <c r="D36" s="256"/>
      <c r="E36" s="256"/>
      <c r="F36" s="256"/>
      <c r="G36" s="256"/>
      <c r="H36" s="256"/>
      <c r="I36" s="256"/>
      <c r="J36" s="256"/>
      <c r="K36" s="256"/>
      <c r="L36" s="256"/>
      <c r="M36" s="256"/>
      <c r="N36" s="256"/>
      <c r="O36" s="256"/>
      <c r="P36" s="256"/>
      <c r="Q36" s="256"/>
      <c r="R36" s="256"/>
      <c r="S36" s="256"/>
      <c r="T36" s="256"/>
      <c r="U36" s="256"/>
    </row>
    <row r="37" spans="1:21" ht="9.75" customHeight="1">
      <c r="A37" s="1902" t="s">
        <v>559</v>
      </c>
      <c r="B37" s="231">
        <v>148.21</v>
      </c>
      <c r="C37" s="231">
        <v>8.32</v>
      </c>
      <c r="D37" s="231">
        <v>8.66</v>
      </c>
      <c r="E37" s="231">
        <v>148.26</v>
      </c>
      <c r="F37" s="231">
        <v>7.16</v>
      </c>
      <c r="G37" s="231">
        <v>8.0228297226780718</v>
      </c>
      <c r="H37" s="231">
        <v>148.18</v>
      </c>
      <c r="I37" s="231">
        <v>9.2799999999999994</v>
      </c>
      <c r="J37" s="231">
        <v>9.1972449797110158</v>
      </c>
      <c r="K37" s="231">
        <v>169.73</v>
      </c>
      <c r="L37" s="231">
        <v>150.97999999999999</v>
      </c>
      <c r="M37" s="231">
        <v>146.27000000000001</v>
      </c>
      <c r="N37" s="231">
        <v>148.01</v>
      </c>
      <c r="O37" s="231">
        <v>134.66999999999999</v>
      </c>
      <c r="P37" s="231">
        <v>140.26</v>
      </c>
      <c r="Q37" s="231">
        <v>131.56</v>
      </c>
      <c r="R37" s="231">
        <v>152</v>
      </c>
      <c r="S37" s="231">
        <v>137.43</v>
      </c>
      <c r="T37" s="231">
        <v>182.52</v>
      </c>
      <c r="U37" s="231">
        <v>171.21</v>
      </c>
    </row>
    <row r="38" spans="1:21" ht="9.6" customHeight="1" thickBot="1">
      <c r="A38" s="731" t="s">
        <v>560</v>
      </c>
      <c r="B38" s="429">
        <v>151.63999999999999</v>
      </c>
      <c r="C38" s="429">
        <v>8.26</v>
      </c>
      <c r="D38" s="429">
        <v>8.6577498996657454</v>
      </c>
      <c r="E38" s="429">
        <v>153.97999999999999</v>
      </c>
      <c r="F38" s="429">
        <v>7.02</v>
      </c>
      <c r="G38" s="429">
        <v>7.9687381432940407</v>
      </c>
      <c r="H38" s="429">
        <v>149.72999999999999</v>
      </c>
      <c r="I38" s="429">
        <v>9.32</v>
      </c>
      <c r="J38" s="429">
        <v>9.2319493728596704</v>
      </c>
      <c r="K38" s="429">
        <v>172.59</v>
      </c>
      <c r="L38" s="429">
        <v>153.57</v>
      </c>
      <c r="M38" s="429">
        <v>148.24</v>
      </c>
      <c r="N38" s="429">
        <v>148.97</v>
      </c>
      <c r="O38" s="429">
        <v>134.97999999999999</v>
      </c>
      <c r="P38" s="429">
        <v>140.99</v>
      </c>
      <c r="Q38" s="429">
        <v>133.03</v>
      </c>
      <c r="R38" s="429">
        <v>153.57</v>
      </c>
      <c r="S38" s="429">
        <v>137.75</v>
      </c>
      <c r="T38" s="429">
        <v>182.85</v>
      </c>
      <c r="U38" s="429">
        <v>174.54</v>
      </c>
    </row>
    <row r="39" spans="1:21" ht="9.75" customHeight="1">
      <c r="A39" s="1630" t="s">
        <v>2899</v>
      </c>
      <c r="B39" s="1631"/>
      <c r="C39" s="1631"/>
      <c r="D39" s="1631"/>
      <c r="E39" s="1631"/>
      <c r="F39" s="1631"/>
      <c r="G39" s="1631"/>
      <c r="H39" s="1631"/>
      <c r="I39" s="99" t="s">
        <v>2167</v>
      </c>
      <c r="J39" s="1631"/>
      <c r="K39" s="1631"/>
      <c r="L39" s="1631"/>
      <c r="M39" s="1631"/>
      <c r="N39" s="1631"/>
      <c r="O39" s="1631"/>
      <c r="P39" s="1631"/>
      <c r="Q39" s="1631"/>
      <c r="R39" s="1631"/>
      <c r="S39" s="1631"/>
      <c r="T39" s="1631"/>
      <c r="U39" s="1631"/>
    </row>
    <row r="40" spans="1:21" ht="9.6" customHeight="1">
      <c r="A40" s="2389" t="s">
        <v>262</v>
      </c>
      <c r="B40" s="2389"/>
      <c r="C40" s="2389"/>
      <c r="D40" s="2389"/>
      <c r="E40" s="99"/>
      <c r="F40" s="99"/>
      <c r="G40" s="26"/>
      <c r="H40" s="30" t="s">
        <v>369</v>
      </c>
    </row>
    <row r="41" spans="1:21" ht="9.6" customHeight="1">
      <c r="K41" s="547"/>
      <c r="L41" s="547"/>
    </row>
    <row r="42" spans="1:21" ht="9.6" customHeight="1">
      <c r="B42" s="1683"/>
      <c r="C42" s="1683"/>
      <c r="D42" s="1683"/>
      <c r="E42" s="1683"/>
      <c r="F42" s="1683"/>
      <c r="G42" s="1683"/>
      <c r="H42" s="1683"/>
      <c r="I42" s="1683"/>
      <c r="J42" s="1683"/>
      <c r="K42" s="547"/>
      <c r="L42" s="547"/>
    </row>
    <row r="43" spans="1:21" ht="9.6" customHeight="1">
      <c r="B43" s="37"/>
      <c r="C43" s="37"/>
      <c r="D43" s="37"/>
      <c r="E43" s="1683"/>
      <c r="F43" s="1683"/>
      <c r="G43" s="1683"/>
      <c r="H43" s="1683"/>
      <c r="I43" s="1683"/>
      <c r="J43" s="1683"/>
      <c r="K43" s="547"/>
      <c r="L43" s="547"/>
      <c r="M43" s="547"/>
    </row>
    <row r="44" spans="1:21" ht="9.6" customHeight="1">
      <c r="B44" s="1683"/>
      <c r="C44" s="1683"/>
      <c r="D44" s="1683"/>
      <c r="E44" s="1683"/>
      <c r="F44" s="1683"/>
      <c r="G44" s="1683"/>
      <c r="H44" s="1683"/>
      <c r="I44" s="1683"/>
      <c r="J44" s="1683"/>
      <c r="K44" s="547"/>
      <c r="L44" s="547"/>
    </row>
    <row r="45" spans="1:21" ht="9.6" customHeight="1">
      <c r="K45" s="547"/>
      <c r="L45" s="547"/>
    </row>
    <row r="46" spans="1:21" ht="9.6" customHeight="1">
      <c r="K46" s="547"/>
      <c r="L46" s="547"/>
    </row>
    <row r="47" spans="1:21" ht="9.6" customHeight="1">
      <c r="K47" s="547"/>
      <c r="L47" s="547"/>
    </row>
    <row r="48" spans="1:21" ht="10.5" customHeight="1">
      <c r="K48" s="547"/>
      <c r="L48" s="547"/>
    </row>
    <row r="49" spans="11:12" ht="10.7" customHeight="1">
      <c r="K49" s="547"/>
      <c r="L49" s="547"/>
    </row>
    <row r="50" spans="11:12" ht="10.7" customHeight="1"/>
    <row r="51" spans="11:12" ht="12" customHeight="1"/>
    <row r="52" spans="11:12" ht="12.6" customHeight="1"/>
    <row r="53" spans="11:12" ht="12" customHeight="1"/>
  </sheetData>
  <customSheetViews>
    <customSheetView guid="{A374FC54-96E3-45F0-9C12-8450400C12DF}" scale="145">
      <pane xSplit="1" ySplit="5" topLeftCell="B45" activePane="bottomRight" state="frozen"/>
      <selection pane="bottomRight" activeCell="E58" sqref="E58"/>
      <pageMargins left="0.62992125984252001" right="0.39370078740157499" top="0.511811023622047" bottom="0.511811023622047" header="0" footer="0.51333337007869995"/>
      <pageSetup paperSize="132" firstPageNumber="44" orientation="portrait" useFirstPageNumber="1" r:id="rId1"/>
      <headerFooter alignWithMargins="0">
        <oddFooter>&amp;C&amp;"Times New Roman,Regular"&amp;8&amp;P</oddFooter>
      </headerFooter>
    </customSheetView>
  </customSheetViews>
  <mergeCells count="32">
    <mergeCell ref="A40:D40"/>
    <mergeCell ref="G4:G5"/>
    <mergeCell ref="H4:H5"/>
    <mergeCell ref="I4:I5"/>
    <mergeCell ref="U4:U5"/>
    <mergeCell ref="C6:D6"/>
    <mergeCell ref="F6:G6"/>
    <mergeCell ref="I6:J6"/>
    <mergeCell ref="T4:T5"/>
    <mergeCell ref="P4:P5"/>
    <mergeCell ref="Q4:Q5"/>
    <mergeCell ref="R4:R5"/>
    <mergeCell ref="S4:S5"/>
    <mergeCell ref="K4:K5"/>
    <mergeCell ref="L4:L5"/>
    <mergeCell ref="M4:M5"/>
    <mergeCell ref="N4:N5"/>
    <mergeCell ref="O4:O5"/>
    <mergeCell ref="J4:J5"/>
    <mergeCell ref="A1:J1"/>
    <mergeCell ref="K1:U1"/>
    <mergeCell ref="G2:J2"/>
    <mergeCell ref="A3:A5"/>
    <mergeCell ref="C3:D3"/>
    <mergeCell ref="F3:G3"/>
    <mergeCell ref="I3:J3"/>
    <mergeCell ref="L3:U3"/>
    <mergeCell ref="B4:B5"/>
    <mergeCell ref="C4:C5"/>
    <mergeCell ref="D4:D5"/>
    <mergeCell ref="E4:E5"/>
    <mergeCell ref="F4:F5"/>
  </mergeCells>
  <phoneticPr fontId="0" type="noConversion"/>
  <pageMargins left="0.62992125984252001" right="0.511811023622047" top="0.31496062992126" bottom="2.5590551E-2" header="0" footer="6.4960630000000005E-2"/>
  <pageSetup paperSize="448" scale="99" orientation="portrait" r:id="rId2"/>
  <headerFooter differentFirst="1" alignWithMargins="0">
    <oddFooter>&amp;C&amp;"Times New Roman,Regular"&amp;8&amp;P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codeName="Sheet20"/>
  <dimension ref="A1:AA84"/>
  <sheetViews>
    <sheetView zoomScale="180" zoomScaleNormal="180" workbookViewId="0">
      <pane xSplit="1" ySplit="4" topLeftCell="B53" activePane="bottomRight" state="frozen"/>
      <selection activeCell="X47" sqref="X47:X50"/>
      <selection pane="topRight" activeCell="X47" sqref="X47:X50"/>
      <selection pane="bottomLeft" activeCell="X47" sqref="X47:X50"/>
      <selection pane="bottomRight" activeCell="O76" sqref="O76"/>
    </sheetView>
  </sheetViews>
  <sheetFormatPr defaultColWidth="9.140625" defaultRowHeight="12.75"/>
  <cols>
    <col min="1" max="1" width="7.85546875" style="2" customWidth="1"/>
    <col min="2" max="2" width="8.42578125" style="2" customWidth="1"/>
    <col min="3" max="3" width="5.28515625" style="2" bestFit="1" customWidth="1"/>
    <col min="4" max="4" width="6.5703125" style="2" bestFit="1" customWidth="1"/>
    <col min="5" max="5" width="6.140625" style="2" bestFit="1" customWidth="1"/>
    <col min="6" max="6" width="8" style="2" bestFit="1" customWidth="1"/>
    <col min="7" max="7" width="5.5703125" style="2" bestFit="1" customWidth="1"/>
    <col min="8" max="8" width="7.5703125" style="2" customWidth="1"/>
    <col min="9" max="9" width="5.7109375" style="2" bestFit="1" customWidth="1"/>
    <col min="10" max="10" width="7.140625" style="2" customWidth="1"/>
    <col min="11" max="11" width="8.85546875" style="2" customWidth="1"/>
    <col min="12" max="12" width="10" style="2" customWidth="1"/>
    <col min="13" max="13" width="6.7109375" style="2" customWidth="1"/>
    <col min="14" max="14" width="6.28515625" style="2" customWidth="1"/>
    <col min="15" max="15" width="6.5703125" style="2" customWidth="1"/>
    <col min="16" max="16" width="7.140625" style="2" customWidth="1"/>
    <col min="17" max="17" width="7.28515625" style="2" customWidth="1"/>
    <col min="18" max="18" width="7.42578125" style="2" customWidth="1"/>
    <col min="19" max="19" width="7.140625" style="2" customWidth="1"/>
    <col min="20" max="20" width="6.5703125" style="2" customWidth="1"/>
    <col min="21" max="21" width="6.85546875" style="2" customWidth="1"/>
    <col min="22" max="22" width="7.140625" style="2" customWidth="1"/>
    <col min="23" max="23" width="9.140625" style="2"/>
    <col min="24" max="24" width="15.85546875" style="2" bestFit="1" customWidth="1"/>
    <col min="25" max="16384" width="9.140625" style="2"/>
  </cols>
  <sheetData>
    <row r="1" spans="1:24" s="21" customFormat="1" ht="17.25" customHeight="1">
      <c r="A1" s="2423" t="s">
        <v>1955</v>
      </c>
      <c r="B1" s="2423"/>
      <c r="C1" s="2423"/>
      <c r="D1" s="2423"/>
      <c r="E1" s="2423"/>
      <c r="F1" s="2423"/>
      <c r="G1" s="2423"/>
      <c r="H1" s="2423"/>
      <c r="I1" s="2423"/>
      <c r="J1" s="2423"/>
      <c r="K1" s="2423"/>
      <c r="L1" s="2423" t="s">
        <v>1956</v>
      </c>
      <c r="M1" s="2423"/>
      <c r="N1" s="2423"/>
      <c r="O1" s="2423"/>
      <c r="P1" s="2423"/>
      <c r="Q1" s="2423"/>
      <c r="R1" s="2423"/>
      <c r="S1" s="2423"/>
      <c r="T1" s="2423"/>
      <c r="U1" s="2362" t="s">
        <v>1067</v>
      </c>
      <c r="V1" s="2362"/>
      <c r="W1" s="49"/>
    </row>
    <row r="2" spans="1:24" s="19" customFormat="1" ht="12.75" customHeight="1">
      <c r="A2" s="827"/>
      <c r="B2" s="827"/>
      <c r="C2" s="827"/>
      <c r="D2" s="827"/>
      <c r="E2" s="827"/>
      <c r="F2" s="827"/>
      <c r="G2" s="827"/>
      <c r="I2" s="827"/>
      <c r="L2" s="827"/>
      <c r="M2" s="827"/>
      <c r="N2" s="827"/>
      <c r="O2" s="827"/>
      <c r="P2" s="827"/>
      <c r="Q2" s="827"/>
      <c r="R2" s="827"/>
      <c r="T2" s="86"/>
      <c r="U2" s="2424" t="s">
        <v>24</v>
      </c>
      <c r="V2" s="2424"/>
      <c r="W2" s="86"/>
    </row>
    <row r="3" spans="1:24" s="84" customFormat="1" ht="71.25" customHeight="1">
      <c r="A3" s="2425" t="s">
        <v>481</v>
      </c>
      <c r="B3" s="1071" t="s">
        <v>1250</v>
      </c>
      <c r="C3" s="1071" t="s">
        <v>503</v>
      </c>
      <c r="D3" s="1071" t="s">
        <v>1957</v>
      </c>
      <c r="E3" s="1071" t="s">
        <v>265</v>
      </c>
      <c r="F3" s="1071" t="s">
        <v>1958</v>
      </c>
      <c r="G3" s="1071" t="s">
        <v>266</v>
      </c>
      <c r="H3" s="1071" t="s">
        <v>1243</v>
      </c>
      <c r="I3" s="1071" t="s">
        <v>1244</v>
      </c>
      <c r="J3" s="1071" t="s">
        <v>1245</v>
      </c>
      <c r="K3" s="1071" t="s">
        <v>267</v>
      </c>
      <c r="L3" s="1071" t="s">
        <v>1246</v>
      </c>
      <c r="M3" s="1071" t="s">
        <v>1247</v>
      </c>
      <c r="N3" s="1071" t="s">
        <v>1959</v>
      </c>
      <c r="O3" s="1071" t="s">
        <v>1248</v>
      </c>
      <c r="P3" s="1071" t="s">
        <v>1249</v>
      </c>
      <c r="Q3" s="1071" t="s">
        <v>1960</v>
      </c>
      <c r="R3" s="1071" t="s">
        <v>263</v>
      </c>
      <c r="S3" s="1071" t="s">
        <v>1961</v>
      </c>
      <c r="T3" s="892" t="s">
        <v>264</v>
      </c>
      <c r="U3" s="893" t="s">
        <v>645</v>
      </c>
      <c r="V3" s="2425" t="s">
        <v>481</v>
      </c>
      <c r="W3" s="87"/>
      <c r="X3" s="87"/>
    </row>
    <row r="4" spans="1:24" s="74" customFormat="1">
      <c r="A4" s="2426"/>
      <c r="B4" s="1070">
        <v>1</v>
      </c>
      <c r="C4" s="1070">
        <v>2</v>
      </c>
      <c r="D4" s="1070">
        <v>3</v>
      </c>
      <c r="E4" s="1070">
        <v>4</v>
      </c>
      <c r="F4" s="1070">
        <v>5</v>
      </c>
      <c r="G4" s="1070">
        <v>6</v>
      </c>
      <c r="H4" s="1070">
        <v>7</v>
      </c>
      <c r="I4" s="1070">
        <v>8</v>
      </c>
      <c r="J4" s="1070">
        <v>9</v>
      </c>
      <c r="K4" s="1070">
        <v>10</v>
      </c>
      <c r="L4" s="1070">
        <v>11</v>
      </c>
      <c r="M4" s="1070">
        <v>12</v>
      </c>
      <c r="N4" s="1070">
        <v>13</v>
      </c>
      <c r="O4" s="1070">
        <v>14</v>
      </c>
      <c r="P4" s="1070">
        <v>15</v>
      </c>
      <c r="Q4" s="1070">
        <v>16</v>
      </c>
      <c r="R4" s="1070">
        <v>17</v>
      </c>
      <c r="S4" s="1070">
        <v>18</v>
      </c>
      <c r="T4" s="1070">
        <v>19</v>
      </c>
      <c r="U4" s="1070">
        <v>20</v>
      </c>
      <c r="V4" s="2426"/>
      <c r="W4" s="894"/>
      <c r="X4" s="895"/>
    </row>
    <row r="5" spans="1:24" s="899" customFormat="1" ht="9" customHeight="1">
      <c r="A5" s="2417" t="s">
        <v>1950</v>
      </c>
      <c r="B5" s="2417"/>
      <c r="C5" s="2417"/>
      <c r="D5" s="896"/>
      <c r="E5" s="896"/>
      <c r="F5" s="896"/>
      <c r="G5" s="896"/>
      <c r="H5" s="896"/>
      <c r="I5" s="896"/>
      <c r="J5" s="896"/>
      <c r="K5" s="896"/>
      <c r="L5" s="896"/>
      <c r="M5" s="896"/>
      <c r="N5" s="896"/>
      <c r="O5" s="896"/>
      <c r="P5" s="896"/>
      <c r="Q5" s="896"/>
      <c r="R5" s="896"/>
      <c r="S5" s="896"/>
      <c r="T5" s="896"/>
      <c r="U5" s="896"/>
      <c r="V5" s="307"/>
      <c r="W5" s="897"/>
      <c r="X5" s="898"/>
    </row>
    <row r="6" spans="1:24" s="29" customFormat="1" ht="8.25" customHeight="1">
      <c r="A6" s="900" t="s">
        <v>558</v>
      </c>
      <c r="B6" s="901">
        <v>70171</v>
      </c>
      <c r="C6" s="901">
        <v>16814</v>
      </c>
      <c r="D6" s="901">
        <v>7009</v>
      </c>
      <c r="E6" s="901">
        <v>73834</v>
      </c>
      <c r="F6" s="901">
        <v>5553</v>
      </c>
      <c r="G6" s="901">
        <v>29825</v>
      </c>
      <c r="H6" s="901">
        <v>62352</v>
      </c>
      <c r="I6" s="901">
        <v>3467</v>
      </c>
      <c r="J6" s="901">
        <v>46497</v>
      </c>
      <c r="K6" s="901">
        <v>14216</v>
      </c>
      <c r="L6" s="901">
        <v>37935</v>
      </c>
      <c r="M6" s="901">
        <v>14089</v>
      </c>
      <c r="N6" s="901">
        <v>9962</v>
      </c>
      <c r="O6" s="901">
        <v>9288</v>
      </c>
      <c r="P6" s="901">
        <v>56600</v>
      </c>
      <c r="Q6" s="902">
        <f>SUM(B6:P6)</f>
        <v>457612</v>
      </c>
      <c r="R6" s="901">
        <v>24725</v>
      </c>
      <c r="S6" s="901">
        <f>Q6+R6</f>
        <v>482337</v>
      </c>
      <c r="T6" s="901">
        <v>27208</v>
      </c>
      <c r="U6" s="901">
        <f>S6+T6</f>
        <v>509545</v>
      </c>
      <c r="V6" s="914" t="s">
        <v>558</v>
      </c>
    </row>
    <row r="7" spans="1:24" s="205" customFormat="1" ht="8.1" customHeight="1">
      <c r="A7" s="163"/>
      <c r="B7" s="903">
        <f>(B6/S6)*100</f>
        <v>14.548127139323752</v>
      </c>
      <c r="C7" s="903">
        <f>(C6/S6)*100</f>
        <v>3.4859444745064136</v>
      </c>
      <c r="D7" s="903">
        <f>(D6/S6)*100</f>
        <v>1.4531333901400889</v>
      </c>
      <c r="E7" s="903">
        <f>(E6/S6)*100</f>
        <v>15.307554676502114</v>
      </c>
      <c r="F7" s="903">
        <f>(F6/S6)*100</f>
        <v>1.151269755378501</v>
      </c>
      <c r="G7" s="903">
        <f>(G6/S6)*100</f>
        <v>6.1834360623381581</v>
      </c>
      <c r="H7" s="903">
        <f>(H6/S6)*100</f>
        <v>12.927061369955032</v>
      </c>
      <c r="I7" s="903">
        <f>(I6/S6)*100</f>
        <v>0.71879204788353368</v>
      </c>
      <c r="J7" s="903">
        <f>(J6/S6)*100</f>
        <v>9.6399405394983173</v>
      </c>
      <c r="K7" s="903">
        <f>(K6/S6)*100</f>
        <v>2.9473169174249541</v>
      </c>
      <c r="L7" s="903">
        <f>(L6/S6)*100</f>
        <v>7.8648330938741999</v>
      </c>
      <c r="M7" s="903">
        <f>(M6/S6)*100</f>
        <v>2.9209867789533042</v>
      </c>
      <c r="N7" s="903">
        <f>(N6/S6)*100</f>
        <v>2.0653609405871829</v>
      </c>
      <c r="O7" s="903">
        <f>(O6/S6)*100</f>
        <v>1.9256246151549643</v>
      </c>
      <c r="P7" s="903">
        <f>(P6/S6)*100</f>
        <v>11.734534153506781</v>
      </c>
      <c r="Q7" s="903">
        <f>(Q6/S6)*100</f>
        <v>94.8739159550273</v>
      </c>
      <c r="R7" s="903">
        <f>(R6/S6)*100</f>
        <v>5.1260840449727052</v>
      </c>
      <c r="S7" s="903">
        <f>(S6/S6)*100</f>
        <v>100</v>
      </c>
      <c r="T7" s="904"/>
      <c r="U7" s="904"/>
      <c r="V7" s="244"/>
    </row>
    <row r="8" spans="1:24" s="29" customFormat="1" ht="8.1" customHeight="1">
      <c r="A8" s="905" t="s">
        <v>567</v>
      </c>
      <c r="B8" s="901">
        <v>79010</v>
      </c>
      <c r="C8" s="901">
        <v>18890</v>
      </c>
      <c r="D8" s="901">
        <v>7866</v>
      </c>
      <c r="E8" s="901">
        <v>87606</v>
      </c>
      <c r="F8" s="901">
        <v>5720</v>
      </c>
      <c r="G8" s="901">
        <v>33513</v>
      </c>
      <c r="H8" s="901">
        <v>72971</v>
      </c>
      <c r="I8" s="901">
        <v>4069</v>
      </c>
      <c r="J8" s="901">
        <v>53132</v>
      </c>
      <c r="K8" s="901">
        <v>16265</v>
      </c>
      <c r="L8" s="901">
        <v>41337</v>
      </c>
      <c r="M8" s="901">
        <v>17132</v>
      </c>
      <c r="N8" s="901">
        <v>11853</v>
      </c>
      <c r="O8" s="901">
        <v>10453</v>
      </c>
      <c r="P8" s="901">
        <v>63544</v>
      </c>
      <c r="Q8" s="902">
        <f>SUM(B8:P8)</f>
        <v>523361</v>
      </c>
      <c r="R8" s="901">
        <v>26439</v>
      </c>
      <c r="S8" s="901">
        <f>Q8+R8</f>
        <v>549800</v>
      </c>
      <c r="T8" s="901">
        <v>35276</v>
      </c>
      <c r="U8" s="901">
        <f>S8+T8</f>
        <v>585076</v>
      </c>
      <c r="V8" s="914" t="s">
        <v>567</v>
      </c>
    </row>
    <row r="9" spans="1:24" s="205" customFormat="1" ht="8.1" customHeight="1">
      <c r="A9" s="163"/>
      <c r="B9" s="903">
        <f>(B8/S8)*100</f>
        <v>14.370680247362678</v>
      </c>
      <c r="C9" s="903">
        <f>(C8/S8)*100</f>
        <v>3.4357948344852671</v>
      </c>
      <c r="D9" s="903">
        <f>(D8/S8)*100</f>
        <v>1.4307020734812659</v>
      </c>
      <c r="E9" s="903">
        <f>(E8/S8)*100</f>
        <v>15.934157875591124</v>
      </c>
      <c r="F9" s="903">
        <f>(F8/S8)*100</f>
        <v>1.0403783193888687</v>
      </c>
      <c r="G9" s="903">
        <f>(G8/S8)*100</f>
        <v>6.0954892688250268</v>
      </c>
      <c r="H9" s="903">
        <f>(H8/S8)*100</f>
        <v>13.272280829392507</v>
      </c>
      <c r="I9" s="903">
        <f>(I8/S8)*100</f>
        <v>0.74008730447435422</v>
      </c>
      <c r="J9" s="903">
        <f>(J8/S8)*100</f>
        <v>9.663877773735905</v>
      </c>
      <c r="K9" s="903">
        <f>(K8/S8)*100</f>
        <v>2.9583484903601307</v>
      </c>
      <c r="L9" s="903">
        <f>(L8/S8)*100</f>
        <v>7.5185522008002907</v>
      </c>
      <c r="M9" s="903">
        <f>(M8/S8)*100</f>
        <v>3.1160421971626042</v>
      </c>
      <c r="N9" s="903">
        <f>(N8/S8)*100</f>
        <v>2.1558748635867588</v>
      </c>
      <c r="O9" s="903">
        <f>(O8/S8)*100</f>
        <v>1.9012368133866859</v>
      </c>
      <c r="P9" s="903">
        <f>(P8/S8)*100</f>
        <v>11.557657329938159</v>
      </c>
      <c r="Q9" s="903">
        <f>(Q8/S8)*100</f>
        <v>95.191160421971617</v>
      </c>
      <c r="R9" s="903">
        <f>(R8/S8)*100</f>
        <v>4.8088395780283744</v>
      </c>
      <c r="S9" s="903">
        <f>(S8/S8)*100</f>
        <v>100</v>
      </c>
      <c r="T9" s="904"/>
      <c r="U9" s="904"/>
      <c r="V9" s="244"/>
    </row>
    <row r="10" spans="1:24" s="29" customFormat="1" ht="8.1" customHeight="1">
      <c r="A10" s="905" t="s">
        <v>330</v>
      </c>
      <c r="B10" s="901">
        <v>89986</v>
      </c>
      <c r="C10" s="901">
        <v>20635</v>
      </c>
      <c r="D10" s="901">
        <v>9110</v>
      </c>
      <c r="E10" s="901">
        <v>101371</v>
      </c>
      <c r="F10" s="901">
        <v>6441</v>
      </c>
      <c r="G10" s="901">
        <v>38532</v>
      </c>
      <c r="H10" s="901">
        <v>86149</v>
      </c>
      <c r="I10" s="901">
        <v>4826</v>
      </c>
      <c r="J10" s="901">
        <v>59620</v>
      </c>
      <c r="K10" s="901">
        <v>18702</v>
      </c>
      <c r="L10" s="901">
        <v>45118</v>
      </c>
      <c r="M10" s="901">
        <v>19664</v>
      </c>
      <c r="N10" s="901">
        <v>14332</v>
      </c>
      <c r="O10" s="901">
        <v>12164</v>
      </c>
      <c r="P10" s="901">
        <v>72200</v>
      </c>
      <c r="Q10" s="902">
        <f>SUM(B10:P10)</f>
        <v>598850</v>
      </c>
      <c r="R10" s="901">
        <v>29832</v>
      </c>
      <c r="S10" s="901">
        <f>Q10+R10</f>
        <v>628682</v>
      </c>
      <c r="T10" s="901">
        <v>48390</v>
      </c>
      <c r="U10" s="901">
        <f>S10+T10</f>
        <v>677072</v>
      </c>
      <c r="V10" s="914" t="s">
        <v>330</v>
      </c>
    </row>
    <row r="11" spans="1:24" s="205" customFormat="1" ht="8.1" customHeight="1">
      <c r="A11" s="163"/>
      <c r="B11" s="903">
        <f>(B10/S10)*100</f>
        <v>14.313436681820061</v>
      </c>
      <c r="C11" s="903">
        <f>(C10/S10)*100</f>
        <v>3.2822635290973818</v>
      </c>
      <c r="D11" s="903">
        <f>(D10/S10)*100</f>
        <v>1.4490632784142061</v>
      </c>
      <c r="E11" s="903">
        <f>(E10/S10)*100</f>
        <v>16.124368122516628</v>
      </c>
      <c r="F11" s="903">
        <f>(F10/S10)*100</f>
        <v>1.0245243223123932</v>
      </c>
      <c r="G11" s="903">
        <f>(G10/S10)*100</f>
        <v>6.1290127600281217</v>
      </c>
      <c r="H11" s="903">
        <f>(H10/S10)*100</f>
        <v>13.703112225258558</v>
      </c>
      <c r="I11" s="903">
        <f>(I10/S10)*100</f>
        <v>0.76763769282403505</v>
      </c>
      <c r="J11" s="903">
        <f>(J10/S10)*100</f>
        <v>9.4833317957250252</v>
      </c>
      <c r="K11" s="903">
        <f>(K10/S10)*100</f>
        <v>2.9747948883537307</v>
      </c>
      <c r="L11" s="903">
        <f>(L10/S10)*100</f>
        <v>7.1766012069695018</v>
      </c>
      <c r="M11" s="903">
        <f>(M10/S10)*100</f>
        <v>3.1278134255474148</v>
      </c>
      <c r="N11" s="903">
        <f>(N10/S10)*100</f>
        <v>2.2796898909146437</v>
      </c>
      <c r="O11" s="903">
        <f>(O10/S10)*100</f>
        <v>1.9348414619791883</v>
      </c>
      <c r="P11" s="903">
        <f>(P10/S10)*100</f>
        <v>11.484343435950132</v>
      </c>
      <c r="Q11" s="903">
        <f>(Q10/S10)*100</f>
        <v>95.25483471771102</v>
      </c>
      <c r="R11" s="903">
        <f>(R10/S10)*100</f>
        <v>4.7451652822889798</v>
      </c>
      <c r="S11" s="903">
        <f>(S10/S10)*100</f>
        <v>100</v>
      </c>
      <c r="T11" s="904"/>
      <c r="U11" s="904"/>
      <c r="V11" s="244"/>
    </row>
    <row r="12" spans="1:24" s="29" customFormat="1" ht="8.1" customHeight="1">
      <c r="A12" s="905" t="s">
        <v>85</v>
      </c>
      <c r="B12" s="901">
        <v>97807</v>
      </c>
      <c r="C12" s="901">
        <v>22793</v>
      </c>
      <c r="D12" s="901">
        <v>10963</v>
      </c>
      <c r="E12" s="901">
        <v>116197</v>
      </c>
      <c r="F12" s="901">
        <v>7012</v>
      </c>
      <c r="G12" s="901">
        <v>44180</v>
      </c>
      <c r="H12" s="901">
        <v>96094</v>
      </c>
      <c r="I12" s="901">
        <v>5790</v>
      </c>
      <c r="J12" s="901">
        <v>67185</v>
      </c>
      <c r="K12" s="901">
        <v>20003</v>
      </c>
      <c r="L12" s="901">
        <v>49448</v>
      </c>
      <c r="M12" s="901">
        <v>22464</v>
      </c>
      <c r="N12" s="901">
        <v>16250</v>
      </c>
      <c r="O12" s="901">
        <v>13368</v>
      </c>
      <c r="P12" s="901">
        <v>85366</v>
      </c>
      <c r="Q12" s="902">
        <f>SUM(B12:P12)</f>
        <v>674920</v>
      </c>
      <c r="R12" s="901">
        <v>30152</v>
      </c>
      <c r="S12" s="901">
        <f>Q12+R12</f>
        <v>705072</v>
      </c>
      <c r="T12" s="901">
        <v>55901</v>
      </c>
      <c r="U12" s="901">
        <f>S12+T12</f>
        <v>760973</v>
      </c>
      <c r="V12" s="914" t="s">
        <v>85</v>
      </c>
    </row>
    <row r="13" spans="1:24" s="205" customFormat="1" ht="8.1" customHeight="1">
      <c r="A13" s="163"/>
      <c r="B13" s="903">
        <f>(B12/S12)*100</f>
        <v>13.871916626954411</v>
      </c>
      <c r="C13" s="903">
        <f>(C12/S12)*100</f>
        <v>3.2327194953139538</v>
      </c>
      <c r="D13" s="903">
        <f>(D12/S12)*100</f>
        <v>1.5548766650781765</v>
      </c>
      <c r="E13" s="903">
        <f>(E12/S12)*100</f>
        <v>16.480160891369959</v>
      </c>
      <c r="F13" s="903">
        <f>(F12/S12)*100</f>
        <v>0.99450836226654871</v>
      </c>
      <c r="G13" s="903">
        <f>(G12/S12)*100</f>
        <v>6.266026732021694</v>
      </c>
      <c r="H13" s="903">
        <f>(H12/S12)*100</f>
        <v>13.628962715864478</v>
      </c>
      <c r="I13" s="903">
        <f>(I12/S12)*100</f>
        <v>0.82119272925318265</v>
      </c>
      <c r="J13" s="903">
        <f>(J12/S12)*100</f>
        <v>9.5288140785621902</v>
      </c>
      <c r="K13" s="903">
        <f>(K12/S12)*100</f>
        <v>2.8370152268137154</v>
      </c>
      <c r="L13" s="903">
        <f>(L12/S12)*100</f>
        <v>7.0131844691038641</v>
      </c>
      <c r="M13" s="903">
        <f>(M12/S12)*100</f>
        <v>3.1860575941180476</v>
      </c>
      <c r="N13" s="903">
        <f>(N12/S12)*100</f>
        <v>2.3047291624117823</v>
      </c>
      <c r="O13" s="903">
        <f>(O12/S12)*100</f>
        <v>1.8959765811151201</v>
      </c>
      <c r="P13" s="903">
        <f>(P12/S12)*100</f>
        <v>12.10741598021195</v>
      </c>
      <c r="Q13" s="903">
        <f>(Q12/S12)*100</f>
        <v>95.723557310459071</v>
      </c>
      <c r="R13" s="903">
        <f>(R12/S12)*100</f>
        <v>4.276442689540926</v>
      </c>
      <c r="S13" s="903">
        <f>(S12/S12)*100</f>
        <v>100</v>
      </c>
      <c r="T13" s="904"/>
      <c r="U13" s="904"/>
      <c r="V13" s="244"/>
    </row>
    <row r="14" spans="1:24" s="29" customFormat="1" ht="8.1" customHeight="1">
      <c r="A14" s="906" t="s">
        <v>81</v>
      </c>
      <c r="B14" s="907">
        <v>110990</v>
      </c>
      <c r="C14" s="907">
        <v>24601</v>
      </c>
      <c r="D14" s="907">
        <v>12645</v>
      </c>
      <c r="E14" s="907">
        <v>128573</v>
      </c>
      <c r="F14" s="907">
        <v>8346</v>
      </c>
      <c r="G14" s="907">
        <v>49474</v>
      </c>
      <c r="H14" s="907">
        <v>106606</v>
      </c>
      <c r="I14" s="907">
        <v>7028</v>
      </c>
      <c r="J14" s="907">
        <v>80454</v>
      </c>
      <c r="K14" s="907">
        <v>23448</v>
      </c>
      <c r="L14" s="907">
        <v>54432</v>
      </c>
      <c r="M14" s="907">
        <v>25426</v>
      </c>
      <c r="N14" s="907">
        <v>18257</v>
      </c>
      <c r="O14" s="907">
        <v>15326</v>
      </c>
      <c r="P14" s="907">
        <v>95692</v>
      </c>
      <c r="Q14" s="902">
        <f>SUM(B14:P14)</f>
        <v>761298</v>
      </c>
      <c r="R14" s="907">
        <v>36241</v>
      </c>
      <c r="S14" s="901">
        <f>Q14+R14</f>
        <v>797539</v>
      </c>
      <c r="T14" s="907">
        <v>64604</v>
      </c>
      <c r="U14" s="901">
        <f>S14+T14</f>
        <v>862143</v>
      </c>
      <c r="V14" s="937" t="s">
        <v>81</v>
      </c>
    </row>
    <row r="15" spans="1:24" s="205" customFormat="1" ht="8.1" customHeight="1">
      <c r="A15" s="163"/>
      <c r="B15" s="903">
        <f>(B14/S14)*100</f>
        <v>13.916560820223211</v>
      </c>
      <c r="C15" s="903">
        <f>(C14/S14)*100</f>
        <v>3.0846140439527097</v>
      </c>
      <c r="D15" s="903">
        <f>(D14/S14)*100</f>
        <v>1.5855024017634247</v>
      </c>
      <c r="E15" s="903">
        <f>(E14/S14)*100</f>
        <v>16.121217896554274</v>
      </c>
      <c r="F15" s="903">
        <f>(F14/S14)*100</f>
        <v>1.0464692008792047</v>
      </c>
      <c r="G15" s="903">
        <f>(G14/S14)*100</f>
        <v>6.2033330031509433</v>
      </c>
      <c r="H15" s="903">
        <f>(H14/S14)*100</f>
        <v>13.366869833324765</v>
      </c>
      <c r="I15" s="903">
        <f>(I14/S14)*100</f>
        <v>0.8812108247997904</v>
      </c>
      <c r="J15" s="903">
        <f>(J14/S14)*100</f>
        <v>10.08778254104188</v>
      </c>
      <c r="K15" s="903">
        <f>(K14/S14)*100</f>
        <v>2.9400443113126755</v>
      </c>
      <c r="L15" s="903">
        <f>(L14/S14)*100</f>
        <v>6.8249953920748698</v>
      </c>
      <c r="M15" s="903">
        <f>(M14/S14)*100</f>
        <v>3.1880572611496114</v>
      </c>
      <c r="N15" s="903">
        <f>(N14/S14)*100</f>
        <v>2.289167050137987</v>
      </c>
      <c r="O15" s="903">
        <f>(O14/S14)*100</f>
        <v>1.9216615112239026</v>
      </c>
      <c r="P15" s="903">
        <f>(P14/S14)*100</f>
        <v>11.998410109098113</v>
      </c>
      <c r="Q15" s="903">
        <f>(Q14/S14)*100</f>
        <v>95.455896200687363</v>
      </c>
      <c r="R15" s="903">
        <f>(R14/S14)*100</f>
        <v>4.5441037993126354</v>
      </c>
      <c r="S15" s="903">
        <f>(S14/S14)*100</f>
        <v>100</v>
      </c>
      <c r="T15" s="904"/>
      <c r="U15" s="904"/>
      <c r="V15" s="244"/>
    </row>
    <row r="16" spans="1:24" s="29" customFormat="1" ht="8.1" customHeight="1">
      <c r="A16" s="905" t="s">
        <v>189</v>
      </c>
      <c r="B16" s="901">
        <v>125469</v>
      </c>
      <c r="C16" s="901">
        <v>28482</v>
      </c>
      <c r="D16" s="901">
        <v>14208</v>
      </c>
      <c r="E16" s="901">
        <v>146503</v>
      </c>
      <c r="F16" s="901">
        <v>11589</v>
      </c>
      <c r="G16" s="901">
        <v>57072</v>
      </c>
      <c r="H16" s="901">
        <v>121332</v>
      </c>
      <c r="I16" s="901">
        <v>8228</v>
      </c>
      <c r="J16" s="901">
        <v>94571</v>
      </c>
      <c r="K16" s="901">
        <v>27545</v>
      </c>
      <c r="L16" s="901">
        <v>60119</v>
      </c>
      <c r="M16" s="901">
        <v>30282</v>
      </c>
      <c r="N16" s="901">
        <v>21392</v>
      </c>
      <c r="O16" s="901">
        <v>17731</v>
      </c>
      <c r="P16" s="901">
        <v>104608</v>
      </c>
      <c r="Q16" s="902">
        <f>SUM(B16:P16)</f>
        <v>869131</v>
      </c>
      <c r="R16" s="901">
        <v>46698</v>
      </c>
      <c r="S16" s="901">
        <f>Q16+R16</f>
        <v>915829</v>
      </c>
      <c r="T16" s="901">
        <v>72513</v>
      </c>
      <c r="U16" s="901">
        <f>S16+T16</f>
        <v>988342</v>
      </c>
      <c r="V16" s="914" t="s">
        <v>189</v>
      </c>
    </row>
    <row r="17" spans="1:22" s="205" customFormat="1" ht="8.1" customHeight="1">
      <c r="A17" s="163"/>
      <c r="B17" s="903">
        <f>(B16/S16)*100</f>
        <v>13.700046624424427</v>
      </c>
      <c r="C17" s="903">
        <f>(C16/S16)*100</f>
        <v>3.109969219144622</v>
      </c>
      <c r="D17" s="903">
        <f>(D16/S16)*100</f>
        <v>1.5513813168178776</v>
      </c>
      <c r="E17" s="903">
        <f>(E16/S16)*100</f>
        <v>15.996763587962381</v>
      </c>
      <c r="F17" s="903">
        <f>(F16/S16)*100</f>
        <v>1.2654109009432983</v>
      </c>
      <c r="G17" s="903">
        <f>(G16/S16)*100</f>
        <v>6.2317310327582991</v>
      </c>
      <c r="H17" s="903">
        <f>(H16/S16)*100</f>
        <v>13.248324741845913</v>
      </c>
      <c r="I17" s="903">
        <f>(I16/S16)*100</f>
        <v>0.89842099343873139</v>
      </c>
      <c r="J17" s="903">
        <f>(J16/S16)*100</f>
        <v>10.326272699379469</v>
      </c>
      <c r="K17" s="903">
        <f>(K16/S16)*100</f>
        <v>3.0076575430566188</v>
      </c>
      <c r="L17" s="903">
        <f>(L16/S16)*100</f>
        <v>6.5644350637509845</v>
      </c>
      <c r="M17" s="903">
        <f>(M16/S16)*100</f>
        <v>3.3065124602955356</v>
      </c>
      <c r="N17" s="903">
        <f>(N16/S16)*100</f>
        <v>2.3358072303890793</v>
      </c>
      <c r="O17" s="903">
        <f>(O16/S16)*100</f>
        <v>1.9360601160260269</v>
      </c>
      <c r="P17" s="903">
        <f>(P16/S16)*100</f>
        <v>11.422219650174869</v>
      </c>
      <c r="Q17" s="903">
        <f>(Q16/S16)*100</f>
        <v>94.901013180408128</v>
      </c>
      <c r="R17" s="903">
        <f>(R16/S16)*100</f>
        <v>5.0989868195918673</v>
      </c>
      <c r="S17" s="903">
        <f>(S16/S16)*100</f>
        <v>100</v>
      </c>
      <c r="T17" s="904"/>
      <c r="U17" s="904"/>
      <c r="V17" s="244"/>
    </row>
    <row r="18" spans="1:22" s="29" customFormat="1" ht="8.1" customHeight="1">
      <c r="A18" s="905" t="s">
        <v>701</v>
      </c>
      <c r="B18" s="901">
        <v>138879</v>
      </c>
      <c r="C18" s="901">
        <v>31827</v>
      </c>
      <c r="D18" s="901">
        <v>16650</v>
      </c>
      <c r="E18" s="901">
        <v>167928</v>
      </c>
      <c r="F18" s="901">
        <v>14189</v>
      </c>
      <c r="G18" s="901">
        <v>68305</v>
      </c>
      <c r="H18" s="901">
        <v>137396</v>
      </c>
      <c r="I18" s="901">
        <v>9755</v>
      </c>
      <c r="J18" s="901">
        <v>112702</v>
      </c>
      <c r="K18" s="901">
        <v>36316</v>
      </c>
      <c r="L18" s="901">
        <v>68715</v>
      </c>
      <c r="M18" s="901">
        <v>33499</v>
      </c>
      <c r="N18" s="901">
        <v>25048</v>
      </c>
      <c r="O18" s="901">
        <v>20133</v>
      </c>
      <c r="P18" s="901">
        <v>117293</v>
      </c>
      <c r="Q18" s="902">
        <f>SUM(B18:P18)</f>
        <v>998635</v>
      </c>
      <c r="R18" s="901">
        <v>56569</v>
      </c>
      <c r="S18" s="901">
        <f>Q18+R18</f>
        <v>1055204</v>
      </c>
      <c r="T18" s="901">
        <v>89302</v>
      </c>
      <c r="U18" s="901">
        <f>S18+T18</f>
        <v>1144506</v>
      </c>
      <c r="V18" s="914" t="s">
        <v>701</v>
      </c>
    </row>
    <row r="19" spans="1:22" s="205" customFormat="1" ht="8.1" customHeight="1">
      <c r="A19" s="163"/>
      <c r="B19" s="903">
        <f>(B18/S18)*100</f>
        <v>13.161341314096612</v>
      </c>
      <c r="C19" s="903">
        <f>(C18/S18)*100</f>
        <v>3.0161940250416035</v>
      </c>
      <c r="D19" s="903">
        <f>(D18/S18)*100</f>
        <v>1.5778939427826277</v>
      </c>
      <c r="E19" s="903">
        <f>(E18/S18)*100</f>
        <v>15.914268710126194</v>
      </c>
      <c r="F19" s="903">
        <f>(F18/S18)*100</f>
        <v>1.344668898146709</v>
      </c>
      <c r="G19" s="903">
        <f>(G18/S18)*100</f>
        <v>6.473155901607651</v>
      </c>
      <c r="H19" s="903">
        <f>(H18/S18)*100</f>
        <v>13.02079976952324</v>
      </c>
      <c r="I19" s="903">
        <f>(I18/S18)*100</f>
        <v>0.92446579050117317</v>
      </c>
      <c r="J19" s="903">
        <f>(J18/S18)*100</f>
        <v>10.68058877714641</v>
      </c>
      <c r="K19" s="903">
        <f>(K18/S18)*100</f>
        <v>3.441609394960595</v>
      </c>
      <c r="L19" s="903">
        <f>(L18/S18)*100</f>
        <v>6.5120109476461421</v>
      </c>
      <c r="M19" s="903">
        <f>(M18/S18)*100</f>
        <v>3.17464679815467</v>
      </c>
      <c r="N19" s="903">
        <f>(N18/S18)*100</f>
        <v>2.3737590077368926</v>
      </c>
      <c r="O19" s="903">
        <f>(O18/S18)*100</f>
        <v>1.9079722972998585</v>
      </c>
      <c r="P19" s="903">
        <f>(P18/S18)*100</f>
        <v>11.115670524372538</v>
      </c>
      <c r="Q19" s="903">
        <f>(Q18/S18)*100</f>
        <v>94.639046099142917</v>
      </c>
      <c r="R19" s="903">
        <f>(R18/S18)*100</f>
        <v>5.3609539008570861</v>
      </c>
      <c r="S19" s="903">
        <f>(S18/S18)*100</f>
        <v>100</v>
      </c>
      <c r="T19" s="904"/>
      <c r="U19" s="904"/>
      <c r="V19" s="244"/>
    </row>
    <row r="20" spans="1:22" s="29" customFormat="1" ht="8.1" customHeight="1">
      <c r="A20" s="905" t="s">
        <v>809</v>
      </c>
      <c r="B20" s="901">
        <v>148758</v>
      </c>
      <c r="C20" s="901">
        <v>36995</v>
      </c>
      <c r="D20" s="901">
        <v>19461</v>
      </c>
      <c r="E20" s="901">
        <v>197127</v>
      </c>
      <c r="F20" s="901">
        <v>16381</v>
      </c>
      <c r="G20" s="901">
        <v>82432</v>
      </c>
      <c r="H20" s="901">
        <v>154579</v>
      </c>
      <c r="I20" s="901">
        <v>11263</v>
      </c>
      <c r="J20" s="901">
        <v>124281</v>
      </c>
      <c r="K20" s="901">
        <v>42237</v>
      </c>
      <c r="L20" s="901">
        <v>78820</v>
      </c>
      <c r="M20" s="901">
        <v>37678</v>
      </c>
      <c r="N20" s="901">
        <v>28429</v>
      </c>
      <c r="O20" s="901">
        <v>23868</v>
      </c>
      <c r="P20" s="901">
        <v>138952</v>
      </c>
      <c r="Q20" s="902">
        <f>SUM(B20:P20)</f>
        <v>1141261</v>
      </c>
      <c r="R20" s="901">
        <v>57662</v>
      </c>
      <c r="S20" s="901">
        <f>Q20+R20</f>
        <v>1198923</v>
      </c>
      <c r="T20" s="901">
        <v>96429</v>
      </c>
      <c r="U20" s="901">
        <f>S20+T20</f>
        <v>1295352</v>
      </c>
      <c r="V20" s="914" t="s">
        <v>809</v>
      </c>
    </row>
    <row r="21" spans="1:22" s="205" customFormat="1" ht="8.1" customHeight="1">
      <c r="A21" s="163"/>
      <c r="B21" s="903">
        <f>(B20/S20)*100</f>
        <v>12.407635853178228</v>
      </c>
      <c r="C21" s="903">
        <f>(C20/S20)*100</f>
        <v>3.0856860699144151</v>
      </c>
      <c r="D21" s="903">
        <f>(D20/S20)*100</f>
        <v>1.623206828128245</v>
      </c>
      <c r="E21" s="903">
        <f>(E20/S20)*100</f>
        <v>16.442006701014162</v>
      </c>
      <c r="F21" s="903">
        <f>(F20/S20)*100</f>
        <v>1.3663095961959191</v>
      </c>
      <c r="G21" s="903">
        <f>(G20/S20)*100</f>
        <v>6.8755040982615228</v>
      </c>
      <c r="H21" s="903">
        <f>(H20/S20)*100</f>
        <v>12.893154939891888</v>
      </c>
      <c r="I21" s="903">
        <f>(I20/S20)*100</f>
        <v>0.93942646858889178</v>
      </c>
      <c r="J21" s="903">
        <f>(J20/S20)*100</f>
        <v>10.366053533045909</v>
      </c>
      <c r="K21" s="903">
        <f>(K20/S20)*100</f>
        <v>3.5229118133524842</v>
      </c>
      <c r="L21" s="903">
        <f>(L20/S20)*100</f>
        <v>6.5742337080863411</v>
      </c>
      <c r="M21" s="903">
        <f>(M20/S20)*100</f>
        <v>3.1426538651773299</v>
      </c>
      <c r="N21" s="903">
        <f>(N20/S20)*100</f>
        <v>2.3712114956506798</v>
      </c>
      <c r="O21" s="903">
        <f>(O20/S20)*100</f>
        <v>1.9907867310911542</v>
      </c>
      <c r="P21" s="903">
        <f>(P20/S20)*100</f>
        <v>11.589735120604075</v>
      </c>
      <c r="Q21" s="903">
        <f>(Q20/S20)*100</f>
        <v>95.190516822181237</v>
      </c>
      <c r="R21" s="903">
        <f>(R20/S20)*100</f>
        <v>4.809483177818759</v>
      </c>
      <c r="S21" s="903">
        <f>(S20/S20)*100</f>
        <v>100</v>
      </c>
      <c r="T21" s="904"/>
      <c r="U21" s="904"/>
      <c r="V21" s="244"/>
    </row>
    <row r="22" spans="1:22" s="29" customFormat="1" ht="8.1" customHeight="1">
      <c r="A22" s="908" t="s">
        <v>982</v>
      </c>
      <c r="B22" s="901">
        <v>163968</v>
      </c>
      <c r="C22" s="901">
        <v>42308</v>
      </c>
      <c r="D22" s="901">
        <v>21080</v>
      </c>
      <c r="E22" s="901">
        <v>223221</v>
      </c>
      <c r="F22" s="901">
        <v>18401</v>
      </c>
      <c r="G22" s="901">
        <v>90834</v>
      </c>
      <c r="H22" s="901">
        <v>172575</v>
      </c>
      <c r="I22" s="901">
        <v>13035</v>
      </c>
      <c r="J22" s="901">
        <v>134317</v>
      </c>
      <c r="K22" s="901">
        <v>48563</v>
      </c>
      <c r="L22" s="901">
        <v>91229</v>
      </c>
      <c r="M22" s="901">
        <v>44728</v>
      </c>
      <c r="N22" s="901">
        <v>32767</v>
      </c>
      <c r="O22" s="901">
        <v>26924</v>
      </c>
      <c r="P22" s="901">
        <v>156551</v>
      </c>
      <c r="Q22" s="902">
        <f>SUM(B22:P22)</f>
        <v>1280501</v>
      </c>
      <c r="R22" s="901">
        <v>63173</v>
      </c>
      <c r="S22" s="901">
        <f>Q22+R22</f>
        <v>1343674</v>
      </c>
      <c r="T22" s="901">
        <v>89549</v>
      </c>
      <c r="U22" s="901">
        <f>S22+T22</f>
        <v>1433223</v>
      </c>
      <c r="V22" s="914" t="s">
        <v>982</v>
      </c>
    </row>
    <row r="23" spans="1:22" s="205" customFormat="1" ht="8.1" customHeight="1">
      <c r="A23" s="163"/>
      <c r="B23" s="903">
        <f>(B22/S22)*100</f>
        <v>12.20295994415312</v>
      </c>
      <c r="C23" s="903">
        <f>(C22/S22)*100</f>
        <v>3.1486804090873233</v>
      </c>
      <c r="D23" s="903">
        <f>(D22/S22)*100</f>
        <v>1.5688329163174994</v>
      </c>
      <c r="E23" s="903">
        <f>(E22/S22)*100</f>
        <v>16.612734934217674</v>
      </c>
      <c r="F23" s="903">
        <f>(F22/S22)*100</f>
        <v>1.3694541979676618</v>
      </c>
      <c r="G23" s="903">
        <f>(G22/S22)*100</f>
        <v>6.7601218747999887</v>
      </c>
      <c r="H23" s="903">
        <f>(H22/S22)*100</f>
        <v>12.843517103106855</v>
      </c>
      <c r="I23" s="903">
        <f>(I22/S22)*100</f>
        <v>0.9701013787570496</v>
      </c>
      <c r="J23" s="903">
        <f>(J22/S22)*100</f>
        <v>9.9962490901811005</v>
      </c>
      <c r="K23" s="903">
        <f>(K22/S22)*100</f>
        <v>3.6141951098257463</v>
      </c>
      <c r="L23" s="903">
        <f>(L22/S22)*100</f>
        <v>6.7895188862774747</v>
      </c>
      <c r="M23" s="903">
        <f>(M22/S22)*100</f>
        <v>3.3287836186455944</v>
      </c>
      <c r="N23" s="903">
        <f>(N22/S22)*100</f>
        <v>2.4386123419817602</v>
      </c>
      <c r="O23" s="903">
        <f>(O22/S22)*100</f>
        <v>2.0037598405565635</v>
      </c>
      <c r="P23" s="903">
        <f>(P22/S22)*100</f>
        <v>11.650965933701181</v>
      </c>
      <c r="Q23" s="903">
        <f>(Q22/S22)*100</f>
        <v>95.298487579576602</v>
      </c>
      <c r="R23" s="903">
        <f>(R22/S22)*100</f>
        <v>4.7015124204234064</v>
      </c>
      <c r="S23" s="903">
        <f>(S22/S22)*100</f>
        <v>100</v>
      </c>
      <c r="T23" s="904"/>
      <c r="U23" s="904"/>
      <c r="V23" s="244"/>
    </row>
    <row r="24" spans="1:22" s="205" customFormat="1" ht="8.1" customHeight="1">
      <c r="A24" s="909" t="s">
        <v>1033</v>
      </c>
      <c r="B24" s="901">
        <v>176500</v>
      </c>
      <c r="C24" s="901">
        <v>47581</v>
      </c>
      <c r="D24" s="901">
        <v>23876</v>
      </c>
      <c r="E24" s="901">
        <v>254483</v>
      </c>
      <c r="F24" s="901">
        <v>19868</v>
      </c>
      <c r="G24" s="901">
        <v>108484</v>
      </c>
      <c r="H24" s="901">
        <v>192585</v>
      </c>
      <c r="I24" s="901">
        <v>14928</v>
      </c>
      <c r="J24" s="901">
        <v>150025</v>
      </c>
      <c r="K24" s="901">
        <v>55761</v>
      </c>
      <c r="L24" s="901">
        <v>106061</v>
      </c>
      <c r="M24" s="901">
        <v>50674</v>
      </c>
      <c r="N24" s="901">
        <v>37624</v>
      </c>
      <c r="O24" s="901">
        <v>30135</v>
      </c>
      <c r="P24" s="901">
        <v>176402</v>
      </c>
      <c r="Q24" s="902">
        <f>SUM(B24:P24)</f>
        <v>1444987</v>
      </c>
      <c r="R24" s="901">
        <v>70815</v>
      </c>
      <c r="S24" s="901">
        <f>Q24+R24</f>
        <v>1515802</v>
      </c>
      <c r="T24" s="901">
        <v>98402</v>
      </c>
      <c r="U24" s="901">
        <f>S24+T24</f>
        <v>1614204</v>
      </c>
      <c r="V24" s="938" t="s">
        <v>1033</v>
      </c>
    </row>
    <row r="25" spans="1:22" s="163" customFormat="1" ht="8.1" customHeight="1">
      <c r="B25" s="903">
        <f>(B24/S24)*100</f>
        <v>11.644000997491757</v>
      </c>
      <c r="C25" s="903">
        <f>(C24/S24)*100</f>
        <v>3.1389983652218429</v>
      </c>
      <c r="D25" s="903">
        <f>(D24/S24)*100</f>
        <v>1.5751397609978086</v>
      </c>
      <c r="E25" s="903">
        <f>(E24/S24)*100</f>
        <v>16.788670288071923</v>
      </c>
      <c r="F25" s="903">
        <f>(F24/S24)*100</f>
        <v>1.3107252794230382</v>
      </c>
      <c r="G25" s="903">
        <f>(G24/S24)*100</f>
        <v>7.1568714119654153</v>
      </c>
      <c r="H25" s="903">
        <f>(H24/S24)*100</f>
        <v>12.705155422673938</v>
      </c>
      <c r="I25" s="903">
        <f>(I24/S24)*100</f>
        <v>0.9848251948473481</v>
      </c>
      <c r="J25" s="903">
        <f>(J24/S24)*100</f>
        <v>9.8974008478679938</v>
      </c>
      <c r="K25" s="903">
        <f>(K24/S24)*100</f>
        <v>3.6786466834058804</v>
      </c>
      <c r="L25" s="903">
        <f>(L24/S24)*100</f>
        <v>6.9970220384984323</v>
      </c>
      <c r="M25" s="903">
        <f>(M24/S24)*100</f>
        <v>3.3430487623053673</v>
      </c>
      <c r="N25" s="903">
        <f>(N24/S24)*100</f>
        <v>2.4821183769384128</v>
      </c>
      <c r="O25" s="903">
        <f>(O24/S24)*100</f>
        <v>1.9880564875887483</v>
      </c>
      <c r="P25" s="903">
        <f>(P24/S24)*100</f>
        <v>11.637535773141874</v>
      </c>
      <c r="Q25" s="903">
        <f>(Q24/S24)*100</f>
        <v>95.328215690439777</v>
      </c>
      <c r="R25" s="903">
        <f>(R24/S24)*100</f>
        <v>4.6717843095602198</v>
      </c>
      <c r="S25" s="903">
        <f>(S24/S24)*100</f>
        <v>100</v>
      </c>
      <c r="T25" s="904"/>
      <c r="U25" s="904"/>
      <c r="V25" s="244"/>
    </row>
    <row r="26" spans="1:22" s="61" customFormat="1" ht="8.1" customHeight="1">
      <c r="A26" s="909" t="s">
        <v>1154</v>
      </c>
      <c r="B26" s="901">
        <v>190315</v>
      </c>
      <c r="C26" s="901">
        <v>53076</v>
      </c>
      <c r="D26" s="901">
        <v>28578</v>
      </c>
      <c r="E26" s="901">
        <v>295111</v>
      </c>
      <c r="F26" s="901">
        <v>23829</v>
      </c>
      <c r="G26" s="901">
        <v>126353</v>
      </c>
      <c r="H26" s="901">
        <v>214257</v>
      </c>
      <c r="I26" s="901">
        <v>17058</v>
      </c>
      <c r="J26" s="901">
        <v>169165</v>
      </c>
      <c r="K26" s="901">
        <v>63601</v>
      </c>
      <c r="L26" s="901">
        <v>123740</v>
      </c>
      <c r="M26" s="901">
        <v>66711</v>
      </c>
      <c r="N26" s="901">
        <v>46512</v>
      </c>
      <c r="O26" s="901">
        <v>34758</v>
      </c>
      <c r="P26" s="901">
        <v>194248</v>
      </c>
      <c r="Q26" s="902">
        <f>SUM(B26:P26)</f>
        <v>1647312</v>
      </c>
      <c r="R26" s="901">
        <v>85552</v>
      </c>
      <c r="S26" s="901">
        <f>Q26+R26</f>
        <v>1732864</v>
      </c>
      <c r="T26" s="901">
        <v>99811</v>
      </c>
      <c r="U26" s="901">
        <f>S26+T26</f>
        <v>1832675</v>
      </c>
      <c r="V26" s="938" t="s">
        <v>1154</v>
      </c>
    </row>
    <row r="27" spans="1:22" s="163" customFormat="1" ht="8.1" customHeight="1">
      <c r="B27" s="903">
        <f>(B26/S26)*100</f>
        <v>10.982685311715173</v>
      </c>
      <c r="C27" s="903">
        <f>(C26/S26)*100</f>
        <v>3.0629062638499041</v>
      </c>
      <c r="D27" s="903">
        <f>(D26/S26)*100</f>
        <v>1.6491773157039444</v>
      </c>
      <c r="E27" s="903">
        <f>(E26/S26)*100</f>
        <v>17.030245881961886</v>
      </c>
      <c r="F27" s="903">
        <f>(F26/S26)*100</f>
        <v>1.375122340818437</v>
      </c>
      <c r="G27" s="903">
        <f>(G26/S26)*100</f>
        <v>7.2915704867779585</v>
      </c>
      <c r="H27" s="903">
        <f>(H26/S26)*100</f>
        <v>12.364328648988034</v>
      </c>
      <c r="I27" s="903">
        <f>(I26/S26)*100</f>
        <v>0.98438192495198706</v>
      </c>
      <c r="J27" s="903">
        <f>(J26/S26)*100</f>
        <v>9.7621625240065004</v>
      </c>
      <c r="K27" s="903">
        <f>(K26/S26)*100</f>
        <v>3.6702822610429906</v>
      </c>
      <c r="L27" s="903">
        <f>(L26/S26)*100</f>
        <v>7.1407796572610422</v>
      </c>
      <c r="M27" s="903">
        <f>(M26/S26)*100</f>
        <v>3.8497539333727286</v>
      </c>
      <c r="N27" s="903">
        <f>(N26/S26)*100</f>
        <v>2.6841113901610281</v>
      </c>
      <c r="O27" s="903">
        <f>(O26/S26)*100</f>
        <v>2.0058123430344215</v>
      </c>
      <c r="P27" s="903">
        <f>(P26/S26)*100</f>
        <v>11.209650613089082</v>
      </c>
      <c r="Q27" s="903">
        <f>(Q26/S26)*100</f>
        <v>95.062970896735109</v>
      </c>
      <c r="R27" s="903">
        <f>(R26/S26)*100</f>
        <v>4.9370291032648836</v>
      </c>
      <c r="S27" s="903">
        <f>(S26/S26)*100</f>
        <v>100</v>
      </c>
      <c r="T27" s="904"/>
      <c r="U27" s="904"/>
      <c r="V27" s="244"/>
    </row>
    <row r="28" spans="1:22" s="61" customFormat="1" ht="8.1" customHeight="1">
      <c r="A28" s="905" t="s">
        <v>1178</v>
      </c>
      <c r="B28" s="901">
        <v>205398</v>
      </c>
      <c r="C28" s="901">
        <v>59627</v>
      </c>
      <c r="D28" s="901">
        <v>34127</v>
      </c>
      <c r="E28" s="901">
        <v>341829</v>
      </c>
      <c r="F28" s="901">
        <v>26244</v>
      </c>
      <c r="G28" s="901">
        <v>146107</v>
      </c>
      <c r="H28" s="901">
        <v>243958</v>
      </c>
      <c r="I28" s="901">
        <v>19318</v>
      </c>
      <c r="J28" s="901">
        <v>187076</v>
      </c>
      <c r="K28" s="901">
        <v>73205</v>
      </c>
      <c r="L28" s="901">
        <v>144539</v>
      </c>
      <c r="M28" s="901">
        <v>78441</v>
      </c>
      <c r="N28" s="901">
        <v>56856</v>
      </c>
      <c r="O28" s="901">
        <v>38987</v>
      </c>
      <c r="P28" s="901">
        <v>214213</v>
      </c>
      <c r="Q28" s="902">
        <f>SUM(B28:P28)</f>
        <v>1869925</v>
      </c>
      <c r="R28" s="901">
        <v>105892</v>
      </c>
      <c r="S28" s="901">
        <f>Q28+R28</f>
        <v>1975817</v>
      </c>
      <c r="T28" s="901">
        <v>84901</v>
      </c>
      <c r="U28" s="901">
        <f>S28+T28</f>
        <v>2060718</v>
      </c>
      <c r="V28" s="914" t="s">
        <v>1178</v>
      </c>
    </row>
    <row r="29" spans="1:22" s="163" customFormat="1" ht="8.1" customHeight="1">
      <c r="B29" s="903">
        <f>(B28/S28)*100</f>
        <v>10.395598377784987</v>
      </c>
      <c r="C29" s="903">
        <f>(C28/S28)*100</f>
        <v>3.017840214959179</v>
      </c>
      <c r="D29" s="903">
        <f>(D28/S28)*100</f>
        <v>1.7272348603134806</v>
      </c>
      <c r="E29" s="903">
        <f>(E28/S28)*100</f>
        <v>17.300640696987628</v>
      </c>
      <c r="F29" s="903">
        <f>(F28/S28)*100</f>
        <v>1.3282606638165377</v>
      </c>
      <c r="G29" s="903">
        <f>(G28/S28)*100</f>
        <v>7.3947637863223159</v>
      </c>
      <c r="H29" s="903">
        <f>(H28/S28)*100</f>
        <v>12.34719612190805</v>
      </c>
      <c r="I29" s="903">
        <f>(I28/S28)*100</f>
        <v>0.97772212709982753</v>
      </c>
      <c r="J29" s="903">
        <f>(J28/S28)*100</f>
        <v>9.4682857774783802</v>
      </c>
      <c r="K29" s="903">
        <f>(K28/S28)*100</f>
        <v>3.7050496073269943</v>
      </c>
      <c r="L29" s="903">
        <f>(L28/S28)*100</f>
        <v>7.315404210005279</v>
      </c>
      <c r="M29" s="903">
        <f>(M28/S28)*100</f>
        <v>3.9700539068142442</v>
      </c>
      <c r="N29" s="903">
        <f>(N28/S28)*100</f>
        <v>2.8775944330876797</v>
      </c>
      <c r="O29" s="903">
        <f>(O28/S28)*100</f>
        <v>1.9732090573165428</v>
      </c>
      <c r="P29" s="903">
        <f>(P28/S28)*100</f>
        <v>10.841742934694864</v>
      </c>
      <c r="Q29" s="903">
        <f>(Q28/S28)*100</f>
        <v>94.640596775915981</v>
      </c>
      <c r="R29" s="903">
        <f>(R28/S28)*100</f>
        <v>5.3594032240840122</v>
      </c>
      <c r="S29" s="903">
        <f>(S28/S28)*100</f>
        <v>100</v>
      </c>
      <c r="T29" s="904"/>
      <c r="U29" s="904"/>
      <c r="V29" s="244"/>
    </row>
    <row r="30" spans="1:22" s="61" customFormat="1" ht="8.1" customHeight="1">
      <c r="A30" s="905" t="s">
        <v>1298</v>
      </c>
      <c r="B30" s="901">
        <v>227353</v>
      </c>
      <c r="C30" s="901">
        <v>66882</v>
      </c>
      <c r="D30" s="901">
        <v>38884</v>
      </c>
      <c r="E30" s="901">
        <v>404144</v>
      </c>
      <c r="F30" s="901">
        <v>29336</v>
      </c>
      <c r="G30" s="901">
        <v>169855</v>
      </c>
      <c r="H30" s="901">
        <v>279823</v>
      </c>
      <c r="I30" s="901">
        <v>22123</v>
      </c>
      <c r="J30" s="901">
        <v>204630</v>
      </c>
      <c r="K30" s="901">
        <v>83728</v>
      </c>
      <c r="L30" s="901">
        <v>166419</v>
      </c>
      <c r="M30" s="907">
        <v>90228</v>
      </c>
      <c r="N30" s="901">
        <v>64478</v>
      </c>
      <c r="O30" s="901">
        <v>44064</v>
      </c>
      <c r="P30" s="901">
        <v>236378</v>
      </c>
      <c r="Q30" s="902">
        <f>SUM(B30:P30)</f>
        <v>2128325</v>
      </c>
      <c r="R30" s="901">
        <v>122156</v>
      </c>
      <c r="S30" s="901">
        <f>Q30+R30</f>
        <v>2250481</v>
      </c>
      <c r="T30" s="901">
        <v>102628</v>
      </c>
      <c r="U30" s="901">
        <f>S30+T30</f>
        <v>2353109</v>
      </c>
      <c r="V30" s="914" t="s">
        <v>1298</v>
      </c>
    </row>
    <row r="31" spans="1:22" s="163" customFormat="1" ht="8.1" customHeight="1">
      <c r="B31" s="903">
        <f>(B30/S30)*100</f>
        <v>10.102418105285048</v>
      </c>
      <c r="C31" s="903">
        <f>(C30/S30)*100</f>
        <v>2.97189800758149</v>
      </c>
      <c r="D31" s="903">
        <f>(D30/S30)*100</f>
        <v>1.7278084107353049</v>
      </c>
      <c r="E31" s="903">
        <f>(E30/S30)*100</f>
        <v>17.958116509315118</v>
      </c>
      <c r="F31" s="903">
        <f>(F30/S30)*100</f>
        <v>1.3035435535781019</v>
      </c>
      <c r="G31" s="903">
        <f>(G30/S30)*100</f>
        <v>7.5474976238413038</v>
      </c>
      <c r="H31" s="903">
        <f>(H30/S30)*100</f>
        <v>12.433919682059081</v>
      </c>
      <c r="I31" s="903">
        <f>(I30/S30)*100</f>
        <v>0.98303429355768834</v>
      </c>
      <c r="J31" s="903">
        <f>(J30/S30)*100</f>
        <v>9.0927228445830028</v>
      </c>
      <c r="K31" s="903">
        <f>(K30/S30)*100</f>
        <v>3.7204490951045575</v>
      </c>
      <c r="L31" s="903">
        <f>(L30/S30)*100</f>
        <v>7.3948191519946178</v>
      </c>
      <c r="M31" s="903">
        <f>(M30/S30)*100</f>
        <v>4.0092762391684262</v>
      </c>
      <c r="N31" s="903">
        <f>(N30/S30)*100</f>
        <v>2.8650763992230996</v>
      </c>
      <c r="O31" s="903">
        <f>(O30/S30)*100</f>
        <v>1.9579814270815885</v>
      </c>
      <c r="P31" s="903">
        <f>(P30/S30)*100</f>
        <v>10.503443486081419</v>
      </c>
      <c r="Q31" s="903">
        <f>(Q30/S30)*100</f>
        <v>94.572004829189851</v>
      </c>
      <c r="R31" s="903">
        <f>(R30/S30)*100</f>
        <v>5.427995170810151</v>
      </c>
      <c r="S31" s="903">
        <f>(S30/S30)*100</f>
        <v>100</v>
      </c>
      <c r="T31" s="904"/>
      <c r="U31" s="904"/>
      <c r="V31" s="244"/>
    </row>
    <row r="32" spans="1:22" s="61" customFormat="1" ht="8.1" customHeight="1">
      <c r="A32" s="905" t="s">
        <v>1407</v>
      </c>
      <c r="B32" s="901">
        <v>248119</v>
      </c>
      <c r="C32" s="901">
        <v>74275</v>
      </c>
      <c r="D32" s="901">
        <v>43964</v>
      </c>
      <c r="E32" s="901">
        <v>481359</v>
      </c>
      <c r="F32" s="901">
        <v>32087</v>
      </c>
      <c r="G32" s="901">
        <v>196403</v>
      </c>
      <c r="H32" s="901">
        <v>322722</v>
      </c>
      <c r="I32" s="901">
        <v>25234</v>
      </c>
      <c r="J32" s="901">
        <v>226025</v>
      </c>
      <c r="K32" s="901">
        <v>94202</v>
      </c>
      <c r="L32" s="901">
        <v>190487</v>
      </c>
      <c r="M32" s="901">
        <v>98957</v>
      </c>
      <c r="N32" s="901">
        <v>73091</v>
      </c>
      <c r="O32" s="901">
        <v>52006</v>
      </c>
      <c r="P32" s="901">
        <v>260961</v>
      </c>
      <c r="Q32" s="902">
        <f>SUM(B32:P32)</f>
        <v>2419892</v>
      </c>
      <c r="R32" s="901">
        <v>122592</v>
      </c>
      <c r="S32" s="901">
        <f>Q32+R32</f>
        <v>2542484</v>
      </c>
      <c r="T32" s="901">
        <v>113610</v>
      </c>
      <c r="U32" s="901">
        <f>S32+T32</f>
        <v>2656094</v>
      </c>
      <c r="V32" s="914" t="s">
        <v>1407</v>
      </c>
    </row>
    <row r="33" spans="1:22" s="163" customFormat="1" ht="8.1" customHeight="1">
      <c r="B33" s="903">
        <f>(B32/S32)*100</f>
        <v>9.7589208034347514</v>
      </c>
      <c r="C33" s="903">
        <f>(C32/S32)*100</f>
        <v>2.921355650615697</v>
      </c>
      <c r="D33" s="903">
        <f>(D32/S32)*100</f>
        <v>1.7291750901873915</v>
      </c>
      <c r="E33" s="903">
        <f>(E32/S32)*100</f>
        <v>18.932626518003655</v>
      </c>
      <c r="F33" s="903">
        <f>(F32/S32)*100</f>
        <v>1.2620335073888371</v>
      </c>
      <c r="G33" s="903">
        <f>(G32/S32)*100</f>
        <v>7.724847039352067</v>
      </c>
      <c r="H33" s="903">
        <f>(H32/S32)*100</f>
        <v>12.69317722353415</v>
      </c>
      <c r="I33" s="903">
        <f>(I32/S32)*100</f>
        <v>0.9924939547308852</v>
      </c>
      <c r="J33" s="903">
        <f>(J32/S32)*100</f>
        <v>8.8899281175417428</v>
      </c>
      <c r="K33" s="903">
        <f>(K32/S32)*100</f>
        <v>3.7051167283648585</v>
      </c>
      <c r="L33" s="903">
        <f>(L32/S32)*100</f>
        <v>7.4921612092740801</v>
      </c>
      <c r="M33" s="903">
        <f>(M32/S32)*100</f>
        <v>3.892138554264255</v>
      </c>
      <c r="N33" s="903">
        <f>(N32/S32)*100</f>
        <v>2.874787019308676</v>
      </c>
      <c r="O33" s="903">
        <f>(O32/S32)*100</f>
        <v>2.045479932223762</v>
      </c>
      <c r="P33" s="903">
        <f>(P32/S32)*100</f>
        <v>10.264017394013099</v>
      </c>
      <c r="Q33" s="903">
        <f>(Q32/S32)*100</f>
        <v>95.178258742237915</v>
      </c>
      <c r="R33" s="903">
        <f>(R32/S32)*100</f>
        <v>4.8217412577620937</v>
      </c>
      <c r="S33" s="903">
        <f>(S32/S32)*100</f>
        <v>100</v>
      </c>
      <c r="T33" s="904"/>
      <c r="U33" s="904"/>
      <c r="V33" s="244"/>
    </row>
    <row r="34" spans="1:22" s="205" customFormat="1" ht="8.1" customHeight="1">
      <c r="A34" s="900" t="s">
        <v>1487</v>
      </c>
      <c r="B34" s="901">
        <v>270751</v>
      </c>
      <c r="C34" s="901">
        <v>83091</v>
      </c>
      <c r="D34" s="901">
        <v>46548</v>
      </c>
      <c r="E34" s="901">
        <v>507100</v>
      </c>
      <c r="F34" s="901">
        <v>33010</v>
      </c>
      <c r="G34" s="901">
        <v>222537</v>
      </c>
      <c r="H34" s="901">
        <v>349066</v>
      </c>
      <c r="I34" s="901">
        <v>27262</v>
      </c>
      <c r="J34" s="901">
        <v>241277</v>
      </c>
      <c r="K34" s="901">
        <v>99809</v>
      </c>
      <c r="L34" s="901">
        <v>212524</v>
      </c>
      <c r="M34" s="901">
        <v>106897</v>
      </c>
      <c r="N34" s="901">
        <v>81095</v>
      </c>
      <c r="O34" s="901">
        <v>58777</v>
      </c>
      <c r="P34" s="901">
        <v>286167</v>
      </c>
      <c r="Q34" s="902">
        <f>SUM(B34:P34)</f>
        <v>2625911</v>
      </c>
      <c r="R34" s="901">
        <v>113421</v>
      </c>
      <c r="S34" s="901">
        <f>Q34+R34</f>
        <v>2739332</v>
      </c>
      <c r="T34" s="901">
        <v>133898</v>
      </c>
      <c r="U34" s="901">
        <f>S34+T34</f>
        <v>2873230</v>
      </c>
      <c r="V34" s="914" t="s">
        <v>1487</v>
      </c>
    </row>
    <row r="35" spans="1:22" s="205" customFormat="1" ht="8.1" customHeight="1">
      <c r="A35" s="163"/>
      <c r="B35" s="903">
        <f>(B34/S34)*100</f>
        <v>9.8838329928610325</v>
      </c>
      <c r="C35" s="903">
        <f>(C34/S34)*100</f>
        <v>3.0332577431286167</v>
      </c>
      <c r="D35" s="903">
        <f>(D34/S34)*100</f>
        <v>1.6992463856151792</v>
      </c>
      <c r="E35" s="903">
        <f>(E34/S34)*100</f>
        <v>18.511812368854887</v>
      </c>
      <c r="F35" s="903">
        <f>(F34/S34)*100</f>
        <v>1.2050383086095442</v>
      </c>
      <c r="G35" s="903">
        <f>(G34/S34)*100</f>
        <v>8.123768860437508</v>
      </c>
      <c r="H35" s="903">
        <f>(H34/S34)*100</f>
        <v>12.742741661105701</v>
      </c>
      <c r="I35" s="903">
        <f>(I34/S34)*100</f>
        <v>0.99520613054569518</v>
      </c>
      <c r="J35" s="903">
        <f>(J34/S34)*100</f>
        <v>8.8078772489059372</v>
      </c>
      <c r="K35" s="903">
        <f>(K34/S34)*100</f>
        <v>3.6435525157228117</v>
      </c>
      <c r="L35" s="903">
        <f>(L34/S34)*100</f>
        <v>7.758241790334286</v>
      </c>
      <c r="M35" s="903">
        <f>(M34/S34)*100</f>
        <v>3.90230172903467</v>
      </c>
      <c r="N35" s="903">
        <f>(N34/S34)*100</f>
        <v>2.9603932637591939</v>
      </c>
      <c r="O35" s="903">
        <f>(O34/S34)*100</f>
        <v>2.1456690901285422</v>
      </c>
      <c r="P35" s="903">
        <f>(P34/S34)*100</f>
        <v>10.446597929714251</v>
      </c>
      <c r="Q35" s="903">
        <f>(Q34/S34)*100</f>
        <v>95.85953801875786</v>
      </c>
      <c r="R35" s="903">
        <f>(R34/S34)*100</f>
        <v>4.1404619812421428</v>
      </c>
      <c r="S35" s="903">
        <f>(S34/S34)*100</f>
        <v>100</v>
      </c>
      <c r="T35" s="904"/>
      <c r="U35" s="904"/>
      <c r="V35" s="244"/>
    </row>
    <row r="36" spans="1:22" s="29" customFormat="1" ht="9" customHeight="1">
      <c r="A36" s="905" t="s">
        <v>1962</v>
      </c>
      <c r="B36" s="901">
        <v>292221</v>
      </c>
      <c r="C36" s="901">
        <v>92389</v>
      </c>
      <c r="D36" s="901">
        <v>48718</v>
      </c>
      <c r="E36" s="901">
        <v>559627</v>
      </c>
      <c r="F36" s="901">
        <v>34921</v>
      </c>
      <c r="G36" s="901">
        <v>251150</v>
      </c>
      <c r="H36" s="901">
        <v>387606</v>
      </c>
      <c r="I36" s="901">
        <v>30911</v>
      </c>
      <c r="J36" s="901">
        <v>265227</v>
      </c>
      <c r="K36" s="901">
        <v>107014</v>
      </c>
      <c r="L36" s="901">
        <v>236065</v>
      </c>
      <c r="M36" s="901">
        <v>117376</v>
      </c>
      <c r="N36" s="901">
        <v>90419</v>
      </c>
      <c r="O36" s="901">
        <v>66427</v>
      </c>
      <c r="P36" s="901">
        <v>313313</v>
      </c>
      <c r="Q36" s="902">
        <f>SUM(B36:P36)</f>
        <v>2893384</v>
      </c>
      <c r="R36" s="901">
        <v>117681</v>
      </c>
      <c r="S36" s="901">
        <f>Q36+R36</f>
        <v>3011065</v>
      </c>
      <c r="T36" s="901">
        <v>186746</v>
      </c>
      <c r="U36" s="901">
        <f>S36+T36</f>
        <v>3197811</v>
      </c>
      <c r="V36" s="914" t="s">
        <v>1962</v>
      </c>
    </row>
    <row r="37" spans="1:22" s="205" customFormat="1" ht="8.1" customHeight="1">
      <c r="A37" s="163"/>
      <c r="B37" s="903">
        <f>(B36/S36)*100</f>
        <v>9.7049050751146186</v>
      </c>
      <c r="C37" s="903">
        <f>(C36/S36)*100</f>
        <v>3.0683163598261745</v>
      </c>
      <c r="D37" s="903">
        <f>(D36/S36)*100</f>
        <v>1.6179657363756679</v>
      </c>
      <c r="E37" s="903">
        <f>(E36/S36)*100</f>
        <v>18.585683138690133</v>
      </c>
      <c r="F37" s="903">
        <f>(F36/S36)*100</f>
        <v>1.15975576747762</v>
      </c>
      <c r="G37" s="903">
        <f>(G36/S36)*100</f>
        <v>8.3409026374389121</v>
      </c>
      <c r="H37" s="903">
        <f>(H36/S36)*100</f>
        <v>12.872721113625909</v>
      </c>
      <c r="I37" s="903">
        <f>(I36/S36)*100</f>
        <v>1.0265802963403314</v>
      </c>
      <c r="J37" s="903">
        <f>(J36/S36)*100</f>
        <v>8.8084116417280924</v>
      </c>
      <c r="K37" s="903">
        <f>(K36/S36)*100</f>
        <v>3.5540249048094283</v>
      </c>
      <c r="L37" s="903">
        <f>(L36/S36)*100</f>
        <v>7.8399171057416561</v>
      </c>
      <c r="M37" s="903">
        <f>(M36/S36)*100</f>
        <v>3.8981556359626914</v>
      </c>
      <c r="N37" s="903">
        <f>(N36/S36)*100</f>
        <v>3.0028910036814218</v>
      </c>
      <c r="O37" s="903">
        <f>(O36/S36)*100</f>
        <v>2.2060965140241078</v>
      </c>
      <c r="P37" s="903">
        <f>(P36/S36)*100</f>
        <v>10.405388126792348</v>
      </c>
      <c r="Q37" s="903">
        <f>(Q36/S36)*100</f>
        <v>96.091715057629116</v>
      </c>
      <c r="R37" s="903">
        <f>(R36/S36)*100</f>
        <v>3.908284942370889</v>
      </c>
      <c r="S37" s="903">
        <f>(S36/S36)*100</f>
        <v>100</v>
      </c>
      <c r="T37" s="904"/>
      <c r="U37" s="904"/>
      <c r="V37" s="244"/>
    </row>
    <row r="38" spans="1:22" s="29" customFormat="1" ht="8.1" customHeight="1">
      <c r="A38" s="910" t="s">
        <v>1951</v>
      </c>
      <c r="B38" s="911"/>
      <c r="C38" s="912"/>
      <c r="D38" s="912"/>
      <c r="E38" s="912"/>
      <c r="F38" s="912"/>
      <c r="G38" s="912"/>
      <c r="H38" s="912"/>
      <c r="I38" s="912"/>
      <c r="J38" s="912"/>
      <c r="K38" s="912"/>
      <c r="L38" s="912"/>
      <c r="M38" s="912"/>
      <c r="N38" s="912"/>
      <c r="O38" s="912"/>
      <c r="P38" s="912"/>
      <c r="Q38" s="912"/>
      <c r="R38" s="912"/>
      <c r="S38" s="912"/>
      <c r="T38" s="913"/>
      <c r="U38" s="913"/>
      <c r="V38" s="914"/>
    </row>
    <row r="39" spans="1:22" s="205" customFormat="1" ht="8.1" customHeight="1">
      <c r="A39" s="1069" t="s">
        <v>558</v>
      </c>
      <c r="B39" s="915">
        <v>70171</v>
      </c>
      <c r="C39" s="915">
        <v>16814</v>
      </c>
      <c r="D39" s="915">
        <v>7009</v>
      </c>
      <c r="E39" s="915">
        <v>73834</v>
      </c>
      <c r="F39" s="915">
        <v>5553</v>
      </c>
      <c r="G39" s="915">
        <v>29825</v>
      </c>
      <c r="H39" s="915">
        <v>62352</v>
      </c>
      <c r="I39" s="915">
        <v>3467</v>
      </c>
      <c r="J39" s="915">
        <v>46497</v>
      </c>
      <c r="K39" s="915">
        <v>14216</v>
      </c>
      <c r="L39" s="915">
        <v>37935</v>
      </c>
      <c r="M39" s="915">
        <v>14089</v>
      </c>
      <c r="N39" s="915">
        <v>9962</v>
      </c>
      <c r="O39" s="915">
        <v>9288</v>
      </c>
      <c r="P39" s="915">
        <v>56600</v>
      </c>
      <c r="Q39" s="916">
        <f>SUM(B39:P39)</f>
        <v>457612</v>
      </c>
      <c r="R39" s="915">
        <v>24725</v>
      </c>
      <c r="S39" s="915">
        <f>Q39+R39</f>
        <v>482337</v>
      </c>
      <c r="T39" s="915">
        <v>27208</v>
      </c>
      <c r="U39" s="915">
        <f>S39+T39</f>
        <v>509545</v>
      </c>
      <c r="V39" s="244" t="s">
        <v>558</v>
      </c>
    </row>
    <row r="40" spans="1:22" s="29" customFormat="1" ht="8.1" customHeight="1">
      <c r="A40" s="905"/>
      <c r="B40" s="912">
        <f>(B39/S39)*100</f>
        <v>14.548127139323752</v>
      </c>
      <c r="C40" s="912">
        <f>(C39/S39)*100</f>
        <v>3.4859444745064136</v>
      </c>
      <c r="D40" s="912">
        <f>(D39/S39)*100</f>
        <v>1.4531333901400889</v>
      </c>
      <c r="E40" s="912">
        <f>(E39/S39)*100</f>
        <v>15.307554676502114</v>
      </c>
      <c r="F40" s="912">
        <f>(F39/S39)*100</f>
        <v>1.151269755378501</v>
      </c>
      <c r="G40" s="912">
        <f>(G39/S39)*100</f>
        <v>6.1834360623381581</v>
      </c>
      <c r="H40" s="912">
        <f>(H39/S39)*100</f>
        <v>12.927061369955032</v>
      </c>
      <c r="I40" s="912">
        <f>(I39/S39)*100</f>
        <v>0.71879204788353368</v>
      </c>
      <c r="J40" s="912">
        <f>(J39/S39)*100</f>
        <v>9.6399405394983173</v>
      </c>
      <c r="K40" s="912">
        <f>(K39/S39)*100</f>
        <v>2.9473169174249541</v>
      </c>
      <c r="L40" s="912">
        <f>(L39/S39)*100</f>
        <v>7.8648330938741999</v>
      </c>
      <c r="M40" s="912">
        <f>(M39/S39)*100</f>
        <v>2.9209867789533042</v>
      </c>
      <c r="N40" s="912">
        <f>(N39/S39)*100</f>
        <v>2.0653609405871829</v>
      </c>
      <c r="O40" s="912">
        <f>(O39/S39)*100</f>
        <v>1.9256246151549643</v>
      </c>
      <c r="P40" s="912">
        <f>(P39/S39)*100</f>
        <v>11.734534153506781</v>
      </c>
      <c r="Q40" s="912">
        <f>(Q39/S39)*100</f>
        <v>94.8739159550273</v>
      </c>
      <c r="R40" s="912">
        <f>(R39/S39)*100</f>
        <v>5.1260840449727052</v>
      </c>
      <c r="S40" s="912">
        <f>(S39/S39)*100</f>
        <v>100</v>
      </c>
      <c r="T40" s="913"/>
      <c r="U40" s="913"/>
      <c r="V40" s="914"/>
    </row>
    <row r="41" spans="1:22" s="205" customFormat="1" ht="8.1" customHeight="1">
      <c r="A41" s="163" t="s">
        <v>567</v>
      </c>
      <c r="B41" s="931">
        <v>74410</v>
      </c>
      <c r="C41" s="915">
        <v>18397</v>
      </c>
      <c r="D41" s="915">
        <v>7433</v>
      </c>
      <c r="E41" s="915">
        <v>81612</v>
      </c>
      <c r="F41" s="915">
        <v>5831</v>
      </c>
      <c r="G41" s="915">
        <v>31836</v>
      </c>
      <c r="H41" s="915">
        <v>67571</v>
      </c>
      <c r="I41" s="915">
        <v>3659</v>
      </c>
      <c r="J41" s="915">
        <v>50878</v>
      </c>
      <c r="K41" s="915">
        <v>15139</v>
      </c>
      <c r="L41" s="915">
        <v>39382</v>
      </c>
      <c r="M41" s="915">
        <v>15293</v>
      </c>
      <c r="N41" s="915">
        <v>10835</v>
      </c>
      <c r="O41" s="915">
        <v>9749</v>
      </c>
      <c r="P41" s="915">
        <v>58399</v>
      </c>
      <c r="Q41" s="697">
        <f>SUM(B41:P41)</f>
        <v>490424</v>
      </c>
      <c r="R41" s="915">
        <v>25959</v>
      </c>
      <c r="S41" s="784">
        <f>Q41+R41</f>
        <v>516383</v>
      </c>
      <c r="T41" s="915">
        <v>33121</v>
      </c>
      <c r="U41" s="784">
        <f>S41+T41</f>
        <v>549504</v>
      </c>
      <c r="V41" s="244" t="s">
        <v>567</v>
      </c>
    </row>
    <row r="42" spans="1:22" s="29" customFormat="1" ht="8.1" customHeight="1">
      <c r="A42" s="905"/>
      <c r="B42" s="912">
        <f t="shared" ref="B42:S42" si="0">(B41/$S41)*100</f>
        <v>14.409846954682862</v>
      </c>
      <c r="C42" s="912">
        <f t="shared" si="0"/>
        <v>3.562665695811055</v>
      </c>
      <c r="D42" s="912">
        <f t="shared" si="0"/>
        <v>1.4394354577900512</v>
      </c>
      <c r="E42" s="912">
        <f t="shared" si="0"/>
        <v>15.804548174513878</v>
      </c>
      <c r="F42" s="912">
        <f t="shared" si="0"/>
        <v>1.1292006127235017</v>
      </c>
      <c r="G42" s="912">
        <f t="shared" si="0"/>
        <v>6.1651913405359977</v>
      </c>
      <c r="H42" s="912">
        <f t="shared" si="0"/>
        <v>13.085442394501756</v>
      </c>
      <c r="I42" s="912">
        <f t="shared" si="0"/>
        <v>0.70858258308271183</v>
      </c>
      <c r="J42" s="912">
        <f t="shared" si="0"/>
        <v>9.8527643241547462</v>
      </c>
      <c r="K42" s="912">
        <f t="shared" si="0"/>
        <v>2.9317386513498702</v>
      </c>
      <c r="L42" s="912">
        <f t="shared" si="0"/>
        <v>7.6265097805311166</v>
      </c>
      <c r="M42" s="912">
        <f t="shared" si="0"/>
        <v>2.9615614766558931</v>
      </c>
      <c r="N42" s="912">
        <f t="shared" si="0"/>
        <v>2.0982487804594654</v>
      </c>
      <c r="O42" s="912">
        <f t="shared" si="0"/>
        <v>1.8879397656390702</v>
      </c>
      <c r="P42" s="912">
        <f t="shared" si="0"/>
        <v>11.309241396405382</v>
      </c>
      <c r="Q42" s="912">
        <f t="shared" si="0"/>
        <v>94.972917388837345</v>
      </c>
      <c r="R42" s="912">
        <f t="shared" si="0"/>
        <v>5.027082611162645</v>
      </c>
      <c r="S42" s="912">
        <f t="shared" si="0"/>
        <v>100</v>
      </c>
      <c r="T42" s="932"/>
      <c r="U42" s="932"/>
      <c r="V42" s="914"/>
    </row>
    <row r="43" spans="1:22" s="205" customFormat="1" ht="8.1" customHeight="1">
      <c r="A43" s="163" t="s">
        <v>330</v>
      </c>
      <c r="B43" s="931">
        <v>77292</v>
      </c>
      <c r="C43" s="915">
        <v>19685</v>
      </c>
      <c r="D43" s="915">
        <v>8003</v>
      </c>
      <c r="E43" s="915">
        <v>87596</v>
      </c>
      <c r="F43" s="915">
        <v>6284</v>
      </c>
      <c r="G43" s="915">
        <v>33742</v>
      </c>
      <c r="H43" s="915">
        <v>72481</v>
      </c>
      <c r="I43" s="915">
        <v>3866</v>
      </c>
      <c r="J43" s="915">
        <v>55079</v>
      </c>
      <c r="K43" s="915">
        <v>15733</v>
      </c>
      <c r="L43" s="915">
        <v>40877</v>
      </c>
      <c r="M43" s="915">
        <v>16289</v>
      </c>
      <c r="N43" s="915">
        <v>11609</v>
      </c>
      <c r="O43" s="915">
        <v>10321</v>
      </c>
      <c r="P43" s="915">
        <v>60261</v>
      </c>
      <c r="Q43" s="697">
        <f>SUM(B43:P43)</f>
        <v>519118</v>
      </c>
      <c r="R43" s="915">
        <v>28319</v>
      </c>
      <c r="S43" s="784">
        <f>Q43+R43</f>
        <v>547437</v>
      </c>
      <c r="T43" s="915">
        <v>42109</v>
      </c>
      <c r="U43" s="784">
        <f>S43+T43</f>
        <v>589546</v>
      </c>
      <c r="V43" s="244" t="s">
        <v>330</v>
      </c>
    </row>
    <row r="44" spans="1:22" s="29" customFormat="1" ht="8.1" customHeight="1">
      <c r="A44" s="905"/>
      <c r="B44" s="912">
        <f t="shared" ref="B44:S44" si="1">(B43/$S43)*100</f>
        <v>14.118884912784486</v>
      </c>
      <c r="C44" s="912">
        <f t="shared" si="1"/>
        <v>3.5958475587145191</v>
      </c>
      <c r="D44" s="912">
        <f t="shared" si="1"/>
        <v>1.4619033788362861</v>
      </c>
      <c r="E44" s="912">
        <f t="shared" si="1"/>
        <v>16.001110630081637</v>
      </c>
      <c r="F44" s="912">
        <f t="shared" si="1"/>
        <v>1.1478946435845585</v>
      </c>
      <c r="G44" s="912">
        <f t="shared" si="1"/>
        <v>6.1636316142314094</v>
      </c>
      <c r="H44" s="912">
        <f t="shared" si="1"/>
        <v>13.240062326806553</v>
      </c>
      <c r="I44" s="912">
        <f t="shared" si="1"/>
        <v>0.70619998282907448</v>
      </c>
      <c r="J44" s="912">
        <f t="shared" si="1"/>
        <v>10.061249056969112</v>
      </c>
      <c r="K44" s="912">
        <f t="shared" si="1"/>
        <v>2.8739380056517922</v>
      </c>
      <c r="L44" s="912">
        <f t="shared" si="1"/>
        <v>7.4669779353605987</v>
      </c>
      <c r="M44" s="912">
        <f t="shared" si="1"/>
        <v>2.9755022039065682</v>
      </c>
      <c r="N44" s="912">
        <f t="shared" si="1"/>
        <v>2.12060931212176</v>
      </c>
      <c r="O44" s="912">
        <f t="shared" si="1"/>
        <v>1.8853310974596162</v>
      </c>
      <c r="P44" s="912">
        <f t="shared" si="1"/>
        <v>11.007841998257334</v>
      </c>
      <c r="Q44" s="912">
        <f t="shared" si="1"/>
        <v>94.826984657595304</v>
      </c>
      <c r="R44" s="912">
        <f t="shared" si="1"/>
        <v>5.1730153424046961</v>
      </c>
      <c r="S44" s="912">
        <f t="shared" si="1"/>
        <v>100</v>
      </c>
      <c r="T44" s="932"/>
      <c r="U44" s="932"/>
      <c r="V44" s="914"/>
    </row>
    <row r="45" spans="1:22" s="205" customFormat="1" ht="8.1" customHeight="1">
      <c r="A45" s="163" t="s">
        <v>85</v>
      </c>
      <c r="B45" s="931">
        <v>79682</v>
      </c>
      <c r="C45" s="915">
        <v>20657</v>
      </c>
      <c r="D45" s="915">
        <v>8841</v>
      </c>
      <c r="E45" s="915">
        <v>93459</v>
      </c>
      <c r="F45" s="915">
        <v>6740</v>
      </c>
      <c r="G45" s="915">
        <v>35962</v>
      </c>
      <c r="H45" s="915">
        <v>76728</v>
      </c>
      <c r="I45" s="915">
        <v>4093</v>
      </c>
      <c r="J45" s="915">
        <v>59513</v>
      </c>
      <c r="K45" s="915">
        <v>15728</v>
      </c>
      <c r="L45" s="915">
        <v>42442</v>
      </c>
      <c r="M45" s="915">
        <v>17447</v>
      </c>
      <c r="N45" s="915">
        <v>12293</v>
      </c>
      <c r="O45" s="915">
        <v>10634</v>
      </c>
      <c r="P45" s="915">
        <v>62191</v>
      </c>
      <c r="Q45" s="697">
        <f>SUM(B45:P45)</f>
        <v>546410</v>
      </c>
      <c r="R45" s="915">
        <v>28646</v>
      </c>
      <c r="S45" s="784">
        <f>Q45+R45</f>
        <v>575056</v>
      </c>
      <c r="T45" s="915">
        <v>45558</v>
      </c>
      <c r="U45" s="784">
        <f>S45+T45</f>
        <v>620614</v>
      </c>
      <c r="V45" s="244" t="s">
        <v>85</v>
      </c>
    </row>
    <row r="46" spans="1:22" s="29" customFormat="1" ht="8.1" customHeight="1">
      <c r="A46" s="905"/>
      <c r="B46" s="912">
        <f t="shared" ref="B46:S46" si="2">(B45/$S45)*100</f>
        <v>13.856389638574329</v>
      </c>
      <c r="C46" s="912">
        <f t="shared" si="2"/>
        <v>3.5921718928243509</v>
      </c>
      <c r="D46" s="912">
        <f t="shared" si="2"/>
        <v>1.5374154864917504</v>
      </c>
      <c r="E46" s="912">
        <f t="shared" si="2"/>
        <v>16.252156311733117</v>
      </c>
      <c r="F46" s="912">
        <f t="shared" si="2"/>
        <v>1.1720597646142288</v>
      </c>
      <c r="G46" s="912">
        <f t="shared" si="2"/>
        <v>6.2536518182576994</v>
      </c>
      <c r="H46" s="912">
        <f t="shared" si="2"/>
        <v>13.342700536991181</v>
      </c>
      <c r="I46" s="912">
        <f t="shared" si="2"/>
        <v>0.71175676803650434</v>
      </c>
      <c r="J46" s="912">
        <f t="shared" si="2"/>
        <v>10.34907904621463</v>
      </c>
      <c r="K46" s="912">
        <f t="shared" si="2"/>
        <v>2.73503797890988</v>
      </c>
      <c r="L46" s="912">
        <f t="shared" si="2"/>
        <v>7.3804985949194517</v>
      </c>
      <c r="M46" s="912">
        <f t="shared" si="2"/>
        <v>3.0339653877187613</v>
      </c>
      <c r="N46" s="912">
        <f t="shared" si="2"/>
        <v>2.1377048496146465</v>
      </c>
      <c r="O46" s="912">
        <f t="shared" si="2"/>
        <v>1.8492112072563367</v>
      </c>
      <c r="P46" s="912">
        <f t="shared" si="2"/>
        <v>10.81477282212515</v>
      </c>
      <c r="Q46" s="912">
        <f t="shared" si="2"/>
        <v>95.018572104282015</v>
      </c>
      <c r="R46" s="912">
        <f t="shared" si="2"/>
        <v>4.9814278957179825</v>
      </c>
      <c r="S46" s="912">
        <f t="shared" si="2"/>
        <v>100</v>
      </c>
      <c r="T46" s="932"/>
      <c r="U46" s="932"/>
      <c r="V46" s="914"/>
    </row>
    <row r="47" spans="1:22" s="205" customFormat="1" ht="8.1" customHeight="1">
      <c r="A47" s="491" t="s">
        <v>81</v>
      </c>
      <c r="B47" s="931">
        <v>84904</v>
      </c>
      <c r="C47" s="915">
        <v>21607</v>
      </c>
      <c r="D47" s="915">
        <v>9561</v>
      </c>
      <c r="E47" s="915">
        <v>99671</v>
      </c>
      <c r="F47" s="915">
        <v>7412</v>
      </c>
      <c r="G47" s="915">
        <v>38554</v>
      </c>
      <c r="H47" s="915">
        <v>81219</v>
      </c>
      <c r="I47" s="915">
        <v>4339</v>
      </c>
      <c r="J47" s="915">
        <v>64006</v>
      </c>
      <c r="K47" s="915">
        <v>16711</v>
      </c>
      <c r="L47" s="915">
        <v>44078</v>
      </c>
      <c r="M47" s="915">
        <v>18882</v>
      </c>
      <c r="N47" s="915">
        <v>12930</v>
      </c>
      <c r="O47" s="915">
        <v>11360</v>
      </c>
      <c r="P47" s="915">
        <v>64191</v>
      </c>
      <c r="Q47" s="697">
        <f>SUM(B47:P47)</f>
        <v>579425</v>
      </c>
      <c r="R47" s="915">
        <v>27672</v>
      </c>
      <c r="S47" s="784">
        <f>Q47+R47</f>
        <v>607097</v>
      </c>
      <c r="T47" s="915">
        <v>49143</v>
      </c>
      <c r="U47" s="784">
        <f>S47+T47</f>
        <v>656240</v>
      </c>
      <c r="V47" s="939" t="s">
        <v>81</v>
      </c>
    </row>
    <row r="48" spans="1:22" s="29" customFormat="1" ht="8.1" customHeight="1">
      <c r="A48" s="905"/>
      <c r="B48" s="912">
        <f t="shared" ref="B48:S48" si="3">(B47/$S47)*100</f>
        <v>13.98524453258705</v>
      </c>
      <c r="C48" s="912">
        <f t="shared" si="3"/>
        <v>3.5590688143739801</v>
      </c>
      <c r="D48" s="912">
        <f t="shared" si="3"/>
        <v>1.5748718903239516</v>
      </c>
      <c r="E48" s="912">
        <f t="shared" si="3"/>
        <v>16.417640014692875</v>
      </c>
      <c r="F48" s="912">
        <f t="shared" si="3"/>
        <v>1.2208922132706963</v>
      </c>
      <c r="G48" s="912">
        <f t="shared" si="3"/>
        <v>6.3505502415594215</v>
      </c>
      <c r="H48" s="912">
        <f t="shared" si="3"/>
        <v>13.378257510743751</v>
      </c>
      <c r="I48" s="912">
        <f t="shared" si="3"/>
        <v>0.71471280536718185</v>
      </c>
      <c r="J48" s="912">
        <f t="shared" si="3"/>
        <v>10.54296100952566</v>
      </c>
      <c r="K48" s="912">
        <f t="shared" si="3"/>
        <v>2.7526079028557215</v>
      </c>
      <c r="L48" s="912">
        <f t="shared" si="3"/>
        <v>7.2604542601923576</v>
      </c>
      <c r="M48" s="912">
        <f t="shared" si="3"/>
        <v>3.1102113830244589</v>
      </c>
      <c r="N48" s="912">
        <f t="shared" si="3"/>
        <v>2.1298079219630472</v>
      </c>
      <c r="O48" s="912">
        <f t="shared" si="3"/>
        <v>1.8712001541763508</v>
      </c>
      <c r="P48" s="912">
        <f t="shared" si="3"/>
        <v>10.573433899360399</v>
      </c>
      <c r="Q48" s="912">
        <f t="shared" si="3"/>
        <v>95.441914554016904</v>
      </c>
      <c r="R48" s="912">
        <f t="shared" si="3"/>
        <v>4.5580854459830968</v>
      </c>
      <c r="S48" s="912">
        <f t="shared" si="3"/>
        <v>100</v>
      </c>
      <c r="T48" s="932"/>
      <c r="U48" s="932"/>
      <c r="V48" s="914"/>
    </row>
    <row r="49" spans="1:27" s="205" customFormat="1" ht="8.1" customHeight="1">
      <c r="A49" s="163" t="s">
        <v>189</v>
      </c>
      <c r="B49" s="915">
        <v>88206</v>
      </c>
      <c r="C49" s="915">
        <v>23051</v>
      </c>
      <c r="D49" s="915">
        <v>9907</v>
      </c>
      <c r="E49" s="915">
        <v>109651</v>
      </c>
      <c r="F49" s="915">
        <v>8402</v>
      </c>
      <c r="G49" s="915">
        <v>41235</v>
      </c>
      <c r="H49" s="915">
        <v>86650</v>
      </c>
      <c r="I49" s="915">
        <v>4608</v>
      </c>
      <c r="J49" s="915">
        <v>69409</v>
      </c>
      <c r="K49" s="915">
        <v>18456</v>
      </c>
      <c r="L49" s="915">
        <v>45790</v>
      </c>
      <c r="M49" s="915">
        <v>20552</v>
      </c>
      <c r="N49" s="915">
        <v>13659</v>
      </c>
      <c r="O49" s="915">
        <v>12080</v>
      </c>
      <c r="P49" s="915">
        <v>66265</v>
      </c>
      <c r="Q49" s="697">
        <f>SUM(B49:P49)</f>
        <v>617921</v>
      </c>
      <c r="R49" s="915">
        <v>28421</v>
      </c>
      <c r="S49" s="784">
        <f>Q49+R49</f>
        <v>646342</v>
      </c>
      <c r="T49" s="915">
        <v>51126</v>
      </c>
      <c r="U49" s="784">
        <f>S49+T49</f>
        <v>697468</v>
      </c>
      <c r="V49" s="244" t="s">
        <v>189</v>
      </c>
    </row>
    <row r="50" spans="1:27" s="29" customFormat="1" ht="8.1" customHeight="1">
      <c r="A50" s="905"/>
      <c r="B50" s="912">
        <f t="shared" ref="B50:S50" si="4">(B49/$S49)*100</f>
        <v>13.646954708188543</v>
      </c>
      <c r="C50" s="912">
        <f t="shared" si="4"/>
        <v>3.5663781713086879</v>
      </c>
      <c r="D50" s="912">
        <f t="shared" si="4"/>
        <v>1.5327798595789845</v>
      </c>
      <c r="E50" s="912">
        <f t="shared" si="4"/>
        <v>16.964857614080472</v>
      </c>
      <c r="F50" s="912">
        <f t="shared" si="4"/>
        <v>1.2999309962837011</v>
      </c>
      <c r="G50" s="912">
        <f t="shared" si="4"/>
        <v>6.3797494205853873</v>
      </c>
      <c r="H50" s="912">
        <f t="shared" si="4"/>
        <v>13.406215285406178</v>
      </c>
      <c r="I50" s="912">
        <f t="shared" si="4"/>
        <v>0.71293525718582429</v>
      </c>
      <c r="J50" s="912">
        <f t="shared" si="4"/>
        <v>10.738742028214165</v>
      </c>
      <c r="K50" s="912">
        <f t="shared" si="4"/>
        <v>2.8554542332078063</v>
      </c>
      <c r="L50" s="912">
        <f t="shared" si="4"/>
        <v>7.0844846845787526</v>
      </c>
      <c r="M50" s="912">
        <f t="shared" si="4"/>
        <v>3.1797407564416362</v>
      </c>
      <c r="N50" s="912">
        <f t="shared" si="4"/>
        <v>2.11327749086397</v>
      </c>
      <c r="O50" s="912">
        <f t="shared" si="4"/>
        <v>1.8689795804697822</v>
      </c>
      <c r="P50" s="912">
        <f t="shared" si="4"/>
        <v>10.25231224336342</v>
      </c>
      <c r="Q50" s="912">
        <f t="shared" si="4"/>
        <v>95.602792329757307</v>
      </c>
      <c r="R50" s="912">
        <f t="shared" si="4"/>
        <v>4.3972076702426888</v>
      </c>
      <c r="S50" s="912">
        <f t="shared" si="4"/>
        <v>100</v>
      </c>
      <c r="T50" s="932"/>
      <c r="U50" s="932"/>
      <c r="V50" s="914"/>
    </row>
    <row r="51" spans="1:27" s="205" customFormat="1" ht="8.1" customHeight="1">
      <c r="A51" s="163" t="s">
        <v>701</v>
      </c>
      <c r="B51" s="915">
        <v>90332</v>
      </c>
      <c r="C51" s="915">
        <v>24279</v>
      </c>
      <c r="D51" s="915">
        <v>10593</v>
      </c>
      <c r="E51" s="915">
        <v>120567</v>
      </c>
      <c r="F51" s="915">
        <v>9291</v>
      </c>
      <c r="G51" s="915">
        <v>44709</v>
      </c>
      <c r="H51" s="915">
        <v>92457</v>
      </c>
      <c r="I51" s="915">
        <v>4902</v>
      </c>
      <c r="J51" s="915">
        <v>75761</v>
      </c>
      <c r="K51" s="915">
        <v>21180</v>
      </c>
      <c r="L51" s="915">
        <v>47587</v>
      </c>
      <c r="M51" s="915">
        <v>22099</v>
      </c>
      <c r="N51" s="915">
        <v>14718</v>
      </c>
      <c r="O51" s="915">
        <v>12540</v>
      </c>
      <c r="P51" s="915">
        <v>68416</v>
      </c>
      <c r="Q51" s="697">
        <f>SUM(B51:P51)</f>
        <v>659431</v>
      </c>
      <c r="R51" s="915">
        <v>29062</v>
      </c>
      <c r="S51" s="784">
        <f>Q51+R51</f>
        <v>688493</v>
      </c>
      <c r="T51" s="915">
        <v>58267</v>
      </c>
      <c r="U51" s="784">
        <f>S51+T51</f>
        <v>746760</v>
      </c>
      <c r="V51" s="244" t="s">
        <v>701</v>
      </c>
    </row>
    <row r="52" spans="1:27" s="29" customFormat="1" ht="8.1" customHeight="1">
      <c r="A52" s="905"/>
      <c r="B52" s="912">
        <f t="shared" ref="B52:S52" si="5">(B51/$S51)*100</f>
        <v>13.120249588594218</v>
      </c>
      <c r="C52" s="912">
        <f t="shared" si="5"/>
        <v>3.5263975087618902</v>
      </c>
      <c r="D52" s="912">
        <f t="shared" si="5"/>
        <v>1.5385777342689033</v>
      </c>
      <c r="E52" s="912">
        <f t="shared" si="5"/>
        <v>17.511724883186901</v>
      </c>
      <c r="F52" s="912">
        <f t="shared" si="5"/>
        <v>1.3494690577827226</v>
      </c>
      <c r="G52" s="912">
        <f t="shared" si="5"/>
        <v>6.4937479393399791</v>
      </c>
      <c r="H52" s="912">
        <f t="shared" si="5"/>
        <v>13.428894701906918</v>
      </c>
      <c r="I52" s="912">
        <f t="shared" si="5"/>
        <v>0.71198980962769409</v>
      </c>
      <c r="J52" s="912">
        <f t="shared" si="5"/>
        <v>11.003888202203944</v>
      </c>
      <c r="K52" s="912">
        <f t="shared" si="5"/>
        <v>3.0762839999825706</v>
      </c>
      <c r="L52" s="912">
        <f t="shared" si="5"/>
        <v>6.9117623563347772</v>
      </c>
      <c r="M52" s="912">
        <f t="shared" si="5"/>
        <v>3.2097639336928627</v>
      </c>
      <c r="N52" s="912">
        <f t="shared" si="5"/>
        <v>2.1377123659935542</v>
      </c>
      <c r="O52" s="912">
        <f t="shared" si="5"/>
        <v>1.8213692804429384</v>
      </c>
      <c r="P52" s="912">
        <f t="shared" si="5"/>
        <v>9.9370654458360512</v>
      </c>
      <c r="Q52" s="912">
        <f t="shared" si="5"/>
        <v>95.778896807955931</v>
      </c>
      <c r="R52" s="912">
        <f t="shared" si="5"/>
        <v>4.2211031920440734</v>
      </c>
      <c r="S52" s="912">
        <f t="shared" si="5"/>
        <v>100</v>
      </c>
      <c r="T52" s="932"/>
      <c r="U52" s="932"/>
      <c r="V52" s="914"/>
    </row>
    <row r="53" spans="1:27" s="205" customFormat="1" ht="8.1" customHeight="1">
      <c r="A53" s="163" t="s">
        <v>809</v>
      </c>
      <c r="B53" s="915">
        <v>91656</v>
      </c>
      <c r="C53" s="915">
        <v>25779</v>
      </c>
      <c r="D53" s="915">
        <v>11584</v>
      </c>
      <c r="E53" s="915">
        <v>132994</v>
      </c>
      <c r="F53" s="915">
        <v>10126</v>
      </c>
      <c r="G53" s="915">
        <v>48305</v>
      </c>
      <c r="H53" s="915">
        <v>98173</v>
      </c>
      <c r="I53" s="915">
        <v>5220</v>
      </c>
      <c r="J53" s="915">
        <v>80514</v>
      </c>
      <c r="K53" s="915">
        <v>23110</v>
      </c>
      <c r="L53" s="915">
        <v>49509</v>
      </c>
      <c r="M53" s="915">
        <v>23542</v>
      </c>
      <c r="N53" s="915">
        <v>15645</v>
      </c>
      <c r="O53" s="915">
        <v>13137</v>
      </c>
      <c r="P53" s="915">
        <v>70642</v>
      </c>
      <c r="Q53" s="697">
        <f>SUM(B53:P53)</f>
        <v>699936</v>
      </c>
      <c r="R53" s="915">
        <v>29960</v>
      </c>
      <c r="S53" s="784">
        <f>Q53+R53</f>
        <v>729896</v>
      </c>
      <c r="T53" s="915">
        <v>58705</v>
      </c>
      <c r="U53" s="784">
        <f>S53+T53</f>
        <v>788601</v>
      </c>
      <c r="V53" s="244" t="s">
        <v>809</v>
      </c>
    </row>
    <row r="54" spans="1:27" s="29" customFormat="1" ht="8.1" customHeight="1">
      <c r="A54" s="905"/>
      <c r="B54" s="912">
        <f t="shared" ref="B54:S54" si="6">(B53/$S53)*100</f>
        <v>12.55740543858303</v>
      </c>
      <c r="C54" s="912">
        <f t="shared" si="6"/>
        <v>3.531873033966483</v>
      </c>
      <c r="D54" s="912">
        <f t="shared" si="6"/>
        <v>1.5870754189637977</v>
      </c>
      <c r="E54" s="912">
        <f t="shared" si="6"/>
        <v>18.220952026042067</v>
      </c>
      <c r="F54" s="912">
        <f t="shared" si="6"/>
        <v>1.3873209333932506</v>
      </c>
      <c r="G54" s="912">
        <f t="shared" si="6"/>
        <v>6.6180661354494337</v>
      </c>
      <c r="H54" s="912">
        <f t="shared" si="6"/>
        <v>13.450272367570173</v>
      </c>
      <c r="I54" s="912">
        <f t="shared" si="6"/>
        <v>0.71517038043776104</v>
      </c>
      <c r="J54" s="912">
        <f t="shared" si="6"/>
        <v>11.03088659206243</v>
      </c>
      <c r="K54" s="912">
        <f t="shared" si="6"/>
        <v>3.1662045003671757</v>
      </c>
      <c r="L54" s="912">
        <f t="shared" si="6"/>
        <v>6.7830211427381437</v>
      </c>
      <c r="M54" s="912">
        <f t="shared" si="6"/>
        <v>3.2253910146103006</v>
      </c>
      <c r="N54" s="912">
        <f t="shared" si="6"/>
        <v>2.1434560540131744</v>
      </c>
      <c r="O54" s="912">
        <f t="shared" si="6"/>
        <v>1.7998454574350318</v>
      </c>
      <c r="P54" s="912">
        <f t="shared" si="6"/>
        <v>9.6783651369510171</v>
      </c>
      <c r="Q54" s="912">
        <f t="shared" si="6"/>
        <v>95.895305632583273</v>
      </c>
      <c r="R54" s="912">
        <f t="shared" si="6"/>
        <v>4.1046943674167284</v>
      </c>
      <c r="S54" s="912">
        <f t="shared" si="6"/>
        <v>100</v>
      </c>
      <c r="T54" s="932"/>
      <c r="U54" s="932"/>
      <c r="V54" s="914"/>
    </row>
    <row r="55" spans="1:27" s="205" customFormat="1" ht="8.1" customHeight="1">
      <c r="A55" s="236" t="s">
        <v>982</v>
      </c>
      <c r="B55" s="915">
        <v>95151</v>
      </c>
      <c r="C55" s="915">
        <v>27419</v>
      </c>
      <c r="D55" s="915">
        <v>12127</v>
      </c>
      <c r="E55" s="915">
        <v>144653</v>
      </c>
      <c r="F55" s="915">
        <v>10585</v>
      </c>
      <c r="G55" s="915">
        <v>52209</v>
      </c>
      <c r="H55" s="915">
        <v>104776</v>
      </c>
      <c r="I55" s="915">
        <v>5570</v>
      </c>
      <c r="J55" s="915">
        <v>85382</v>
      </c>
      <c r="K55" s="915">
        <v>24790</v>
      </c>
      <c r="L55" s="915">
        <v>51615</v>
      </c>
      <c r="M55" s="915">
        <v>25165</v>
      </c>
      <c r="N55" s="915">
        <v>16781</v>
      </c>
      <c r="O55" s="915">
        <v>13802</v>
      </c>
      <c r="P55" s="915">
        <v>72955</v>
      </c>
      <c r="Q55" s="697">
        <f>SUM(B55:P55)</f>
        <v>742980</v>
      </c>
      <c r="R55" s="915">
        <v>31156</v>
      </c>
      <c r="S55" s="784">
        <f>Q55+R55</f>
        <v>774136</v>
      </c>
      <c r="T55" s="915">
        <v>51592</v>
      </c>
      <c r="U55" s="784">
        <f>S55+T55</f>
        <v>825728</v>
      </c>
      <c r="V55" s="244" t="s">
        <v>982</v>
      </c>
    </row>
    <row r="56" spans="1:27" s="29" customFormat="1" ht="8.1" customHeight="1">
      <c r="A56" s="905"/>
      <c r="B56" s="912">
        <f t="shared" ref="B56:S56" si="7">(B55/$S55)*100</f>
        <v>12.291251149668792</v>
      </c>
      <c r="C56" s="912">
        <f t="shared" si="7"/>
        <v>3.5418841133857617</v>
      </c>
      <c r="D56" s="912">
        <f t="shared" si="7"/>
        <v>1.5665206113654448</v>
      </c>
      <c r="E56" s="912">
        <f t="shared" si="7"/>
        <v>18.685734806287268</v>
      </c>
      <c r="F56" s="912">
        <f t="shared" si="7"/>
        <v>1.3673308049231658</v>
      </c>
      <c r="G56" s="912">
        <f t="shared" si="7"/>
        <v>6.7441638161770028</v>
      </c>
      <c r="H56" s="912">
        <f t="shared" si="7"/>
        <v>13.53457273657342</v>
      </c>
      <c r="I56" s="912">
        <f t="shared" si="7"/>
        <v>0.71951181704506706</v>
      </c>
      <c r="J56" s="912">
        <f t="shared" si="7"/>
        <v>11.029328180061384</v>
      </c>
      <c r="K56" s="912">
        <f t="shared" si="7"/>
        <v>3.2022797027912406</v>
      </c>
      <c r="L56" s="912">
        <f t="shared" si="7"/>
        <v>6.6674331125280322</v>
      </c>
      <c r="M56" s="912">
        <f t="shared" si="7"/>
        <v>3.2507208035797328</v>
      </c>
      <c r="N56" s="912">
        <f t="shared" si="7"/>
        <v>2.1677069662178221</v>
      </c>
      <c r="O56" s="912">
        <f t="shared" si="7"/>
        <v>1.7828908615540422</v>
      </c>
      <c r="P56" s="912">
        <f t="shared" si="7"/>
        <v>9.4240546880651461</v>
      </c>
      <c r="Q56" s="912">
        <f t="shared" si="7"/>
        <v>95.975384170223322</v>
      </c>
      <c r="R56" s="912">
        <f t="shared" si="7"/>
        <v>4.0246158297766801</v>
      </c>
      <c r="S56" s="912">
        <f t="shared" si="7"/>
        <v>100</v>
      </c>
      <c r="T56" s="932"/>
      <c r="U56" s="932"/>
      <c r="V56" s="914"/>
    </row>
    <row r="57" spans="1:27" s="205" customFormat="1" ht="8.1" customHeight="1">
      <c r="A57" s="917" t="s">
        <v>1033</v>
      </c>
      <c r="B57" s="915">
        <v>97480</v>
      </c>
      <c r="C57" s="915">
        <v>29170</v>
      </c>
      <c r="D57" s="915">
        <v>13290</v>
      </c>
      <c r="E57" s="915">
        <v>159568</v>
      </c>
      <c r="F57" s="915">
        <v>11243</v>
      </c>
      <c r="G57" s="915">
        <v>56698</v>
      </c>
      <c r="H57" s="915">
        <v>111426</v>
      </c>
      <c r="I57" s="915">
        <v>5950</v>
      </c>
      <c r="J57" s="915">
        <v>90475</v>
      </c>
      <c r="K57" s="915">
        <v>26719</v>
      </c>
      <c r="L57" s="915">
        <v>53888</v>
      </c>
      <c r="M57" s="915">
        <v>27637</v>
      </c>
      <c r="N57" s="915">
        <v>18125</v>
      </c>
      <c r="O57" s="915">
        <v>14517</v>
      </c>
      <c r="P57" s="915">
        <v>75352</v>
      </c>
      <c r="Q57" s="697">
        <f>SUM(B57:P57)</f>
        <v>791538</v>
      </c>
      <c r="R57" s="915">
        <v>33324</v>
      </c>
      <c r="S57" s="784">
        <f>Q57+R57</f>
        <v>824862</v>
      </c>
      <c r="T57" s="915">
        <v>53548</v>
      </c>
      <c r="U57" s="784">
        <f>S57+T57</f>
        <v>878410</v>
      </c>
      <c r="V57" s="940" t="s">
        <v>1033</v>
      </c>
    </row>
    <row r="58" spans="1:27" s="29" customFormat="1" ht="8.1" customHeight="1">
      <c r="A58" s="905"/>
      <c r="B58" s="912">
        <f t="shared" ref="B58:S60" si="8">(B57/$S57)*100</f>
        <v>11.817734360414226</v>
      </c>
      <c r="C58" s="912">
        <f t="shared" si="8"/>
        <v>3.5363491105178806</v>
      </c>
      <c r="D58" s="912">
        <f t="shared" si="8"/>
        <v>1.6111785971471591</v>
      </c>
      <c r="E58" s="912">
        <f t="shared" si="8"/>
        <v>19.344811616973505</v>
      </c>
      <c r="F58" s="912">
        <f t="shared" si="8"/>
        <v>1.3630158741704674</v>
      </c>
      <c r="G58" s="912">
        <f t="shared" si="8"/>
        <v>6.8736346200940286</v>
      </c>
      <c r="H58" s="912">
        <f t="shared" si="8"/>
        <v>13.50844141201801</v>
      </c>
      <c r="I58" s="912">
        <f t="shared" si="8"/>
        <v>0.72133278051358896</v>
      </c>
      <c r="J58" s="912">
        <f t="shared" si="8"/>
        <v>10.968501397809574</v>
      </c>
      <c r="K58" s="912">
        <f t="shared" si="8"/>
        <v>3.2392084979063167</v>
      </c>
      <c r="L58" s="912">
        <f t="shared" si="8"/>
        <v>6.5329715758514766</v>
      </c>
      <c r="M58" s="912">
        <f t="shared" si="8"/>
        <v>3.350499841185556</v>
      </c>
      <c r="N58" s="912">
        <f t="shared" si="8"/>
        <v>2.197337251564504</v>
      </c>
      <c r="O58" s="912">
        <f t="shared" si="8"/>
        <v>1.7599307520530707</v>
      </c>
      <c r="P58" s="912">
        <f t="shared" si="8"/>
        <v>9.1351038113041927</v>
      </c>
      <c r="Q58" s="912">
        <f t="shared" si="8"/>
        <v>95.960051499523559</v>
      </c>
      <c r="R58" s="912">
        <f t="shared" si="8"/>
        <v>4.0399485004764433</v>
      </c>
      <c r="S58" s="912">
        <f t="shared" si="8"/>
        <v>100</v>
      </c>
      <c r="T58" s="932"/>
      <c r="U58" s="932"/>
      <c r="V58" s="914"/>
    </row>
    <row r="59" spans="1:27" s="205" customFormat="1" ht="8.1" customHeight="1">
      <c r="A59" s="917" t="s">
        <v>1154</v>
      </c>
      <c r="B59" s="915">
        <v>99228</v>
      </c>
      <c r="C59" s="915">
        <v>30950</v>
      </c>
      <c r="D59" s="915">
        <v>14997</v>
      </c>
      <c r="E59" s="915">
        <v>178223</v>
      </c>
      <c r="F59" s="915">
        <v>12742</v>
      </c>
      <c r="G59" s="915">
        <v>61552</v>
      </c>
      <c r="H59" s="915">
        <v>118665</v>
      </c>
      <c r="I59" s="915">
        <v>6366</v>
      </c>
      <c r="J59" s="915">
        <v>95972</v>
      </c>
      <c r="K59" s="915">
        <v>28787</v>
      </c>
      <c r="L59" s="915">
        <v>56297</v>
      </c>
      <c r="M59" s="915">
        <v>30796</v>
      </c>
      <c r="N59" s="915">
        <v>20248</v>
      </c>
      <c r="O59" s="915">
        <v>15612</v>
      </c>
      <c r="P59" s="915">
        <v>77838</v>
      </c>
      <c r="Q59" s="697">
        <f>SUM(B59:P59)</f>
        <v>848273</v>
      </c>
      <c r="R59" s="915">
        <v>35266</v>
      </c>
      <c r="S59" s="784">
        <f>Q59+R59</f>
        <v>883539</v>
      </c>
      <c r="T59" s="915">
        <v>50891</v>
      </c>
      <c r="U59" s="784">
        <f>S59+T59</f>
        <v>934430</v>
      </c>
      <c r="V59" s="940" t="s">
        <v>1154</v>
      </c>
    </row>
    <row r="60" spans="1:27" s="29" customFormat="1" ht="8.1" customHeight="1">
      <c r="A60" s="905"/>
      <c r="B60" s="912">
        <f t="shared" si="8"/>
        <v>11.230743634406631</v>
      </c>
      <c r="C60" s="912">
        <f t="shared" si="8"/>
        <v>3.5029579905357884</v>
      </c>
      <c r="D60" s="912">
        <f t="shared" si="8"/>
        <v>1.6973783839762593</v>
      </c>
      <c r="E60" s="912">
        <f t="shared" si="8"/>
        <v>20.171492146922773</v>
      </c>
      <c r="F60" s="912">
        <f t="shared" si="8"/>
        <v>1.4421547888661395</v>
      </c>
      <c r="G60" s="912">
        <f t="shared" si="8"/>
        <v>6.9665289251521436</v>
      </c>
      <c r="H60" s="912">
        <f t="shared" si="8"/>
        <v>13.430646524941173</v>
      </c>
      <c r="I60" s="912">
        <f t="shared" si="8"/>
        <v>0.7205114884572158</v>
      </c>
      <c r="J60" s="912">
        <f t="shared" si="8"/>
        <v>10.862225662930555</v>
      </c>
      <c r="K60" s="912">
        <f t="shared" si="8"/>
        <v>3.2581470653813809</v>
      </c>
      <c r="L60" s="912">
        <f t="shared" si="8"/>
        <v>6.3717617445296693</v>
      </c>
      <c r="M60" s="912">
        <f t="shared" si="8"/>
        <v>3.4855280864794875</v>
      </c>
      <c r="N60" s="912">
        <f t="shared" si="8"/>
        <v>2.2916928398180501</v>
      </c>
      <c r="O60" s="912">
        <f t="shared" si="8"/>
        <v>1.7669848190062918</v>
      </c>
      <c r="P60" s="912">
        <f t="shared" si="8"/>
        <v>8.8097978697035444</v>
      </c>
      <c r="Q60" s="912">
        <f t="shared" si="8"/>
        <v>96.00855197110711</v>
      </c>
      <c r="R60" s="912">
        <f t="shared" si="8"/>
        <v>3.9914480288928953</v>
      </c>
      <c r="S60" s="912">
        <f t="shared" si="8"/>
        <v>100</v>
      </c>
      <c r="T60" s="932"/>
      <c r="U60" s="932"/>
      <c r="V60" s="914"/>
    </row>
    <row r="61" spans="1:27" s="205" customFormat="1" ht="8.1" customHeight="1">
      <c r="A61" s="163" t="s">
        <v>1178</v>
      </c>
      <c r="B61" s="915">
        <v>101173</v>
      </c>
      <c r="C61" s="915">
        <v>32879</v>
      </c>
      <c r="D61" s="915">
        <v>16330</v>
      </c>
      <c r="E61" s="915">
        <v>197765</v>
      </c>
      <c r="F61" s="915">
        <v>13820</v>
      </c>
      <c r="G61" s="915">
        <v>66951</v>
      </c>
      <c r="H61" s="915">
        <v>127417</v>
      </c>
      <c r="I61" s="915">
        <v>6820</v>
      </c>
      <c r="J61" s="915">
        <v>102463</v>
      </c>
      <c r="K61" s="915">
        <v>31413</v>
      </c>
      <c r="L61" s="915">
        <v>58997</v>
      </c>
      <c r="M61" s="915">
        <v>33615</v>
      </c>
      <c r="N61" s="915">
        <v>22547</v>
      </c>
      <c r="O61" s="915">
        <v>16804</v>
      </c>
      <c r="P61" s="915">
        <v>80653</v>
      </c>
      <c r="Q61" s="697">
        <f>SUM(B61:P61)</f>
        <v>909647</v>
      </c>
      <c r="R61" s="915">
        <v>38252</v>
      </c>
      <c r="S61" s="784">
        <f>Q61+R61</f>
        <v>947899</v>
      </c>
      <c r="T61" s="784">
        <v>40731</v>
      </c>
      <c r="U61" s="784">
        <f>S61+T61</f>
        <v>988630</v>
      </c>
      <c r="V61" s="244" t="s">
        <v>1178</v>
      </c>
    </row>
    <row r="62" spans="1:27" s="29" customFormat="1" ht="8.1" customHeight="1">
      <c r="A62" s="905"/>
      <c r="B62" s="912">
        <f t="shared" ref="B62:S68" si="9">(B61/$S61)*100</f>
        <v>10.673394528319999</v>
      </c>
      <c r="C62" s="912">
        <f t="shared" si="9"/>
        <v>3.4686184920545329</v>
      </c>
      <c r="D62" s="912">
        <f t="shared" si="9"/>
        <v>1.7227573823793463</v>
      </c>
      <c r="E62" s="912">
        <f t="shared" si="9"/>
        <v>20.863509719917417</v>
      </c>
      <c r="F62" s="912">
        <f t="shared" si="9"/>
        <v>1.4579612384863789</v>
      </c>
      <c r="G62" s="912">
        <f t="shared" si="9"/>
        <v>7.0630942748119789</v>
      </c>
      <c r="H62" s="912">
        <f t="shared" si="9"/>
        <v>13.442043930840732</v>
      </c>
      <c r="I62" s="912">
        <f t="shared" si="9"/>
        <v>0.71948593679284401</v>
      </c>
      <c r="J62" s="912">
        <f t="shared" si="9"/>
        <v>10.809484976774952</v>
      </c>
      <c r="K62" s="912">
        <f t="shared" si="9"/>
        <v>3.313960664585573</v>
      </c>
      <c r="L62" s="912">
        <f t="shared" si="9"/>
        <v>6.2239753391447818</v>
      </c>
      <c r="M62" s="912">
        <f t="shared" si="9"/>
        <v>3.5462638952040249</v>
      </c>
      <c r="N62" s="912">
        <f t="shared" si="9"/>
        <v>2.3786289467548758</v>
      </c>
      <c r="O62" s="912">
        <f t="shared" si="9"/>
        <v>1.7727627099511656</v>
      </c>
      <c r="P62" s="912">
        <f t="shared" si="9"/>
        <v>8.508606929641239</v>
      </c>
      <c r="Q62" s="912">
        <f t="shared" si="9"/>
        <v>95.964548965659844</v>
      </c>
      <c r="R62" s="912">
        <f t="shared" si="9"/>
        <v>4.0354510343401566</v>
      </c>
      <c r="S62" s="912">
        <f t="shared" si="9"/>
        <v>100</v>
      </c>
      <c r="T62" s="932"/>
      <c r="U62" s="932"/>
      <c r="V62" s="914"/>
      <c r="W62" s="61"/>
      <c r="X62" s="61"/>
      <c r="Y62" s="61"/>
      <c r="Z62" s="61"/>
      <c r="AA62" s="61"/>
    </row>
    <row r="63" spans="1:27" s="205" customFormat="1" ht="8.1" customHeight="1">
      <c r="A63" s="163" t="s">
        <v>1298</v>
      </c>
      <c r="B63" s="915">
        <v>104688</v>
      </c>
      <c r="C63" s="915">
        <v>34974</v>
      </c>
      <c r="D63" s="915">
        <v>17474</v>
      </c>
      <c r="E63" s="915">
        <v>224270</v>
      </c>
      <c r="F63" s="915">
        <v>15089</v>
      </c>
      <c r="G63" s="915">
        <v>73595</v>
      </c>
      <c r="H63" s="915">
        <v>136914</v>
      </c>
      <c r="I63" s="915">
        <v>7316</v>
      </c>
      <c r="J63" s="915">
        <v>109208</v>
      </c>
      <c r="K63" s="915">
        <v>33893</v>
      </c>
      <c r="L63" s="915">
        <v>61936</v>
      </c>
      <c r="M63" s="915">
        <v>36463</v>
      </c>
      <c r="N63" s="915">
        <v>24127</v>
      </c>
      <c r="O63" s="915">
        <v>17984</v>
      </c>
      <c r="P63" s="915">
        <v>83598</v>
      </c>
      <c r="Q63" s="697">
        <f>SUM(B63:P63)</f>
        <v>981529</v>
      </c>
      <c r="R63" s="915">
        <v>40909</v>
      </c>
      <c r="S63" s="784">
        <f>Q63+R63</f>
        <v>1022438</v>
      </c>
      <c r="T63" s="784">
        <v>46626</v>
      </c>
      <c r="U63" s="784">
        <f>S63+T63</f>
        <v>1069064</v>
      </c>
      <c r="V63" s="244" t="s">
        <v>1298</v>
      </c>
      <c r="W63" s="163"/>
      <c r="X63" s="918"/>
      <c r="Y63" s="163"/>
      <c r="Z63" s="163"/>
      <c r="AA63" s="163"/>
    </row>
    <row r="64" spans="1:27" ht="8.1" customHeight="1">
      <c r="A64" s="905"/>
      <c r="B64" s="912">
        <f t="shared" si="9"/>
        <v>10.239056060122961</v>
      </c>
      <c r="C64" s="912">
        <f t="shared" si="9"/>
        <v>3.4206475111449302</v>
      </c>
      <c r="D64" s="912">
        <f t="shared" si="9"/>
        <v>1.7090522848329188</v>
      </c>
      <c r="E64" s="912">
        <f t="shared" si="9"/>
        <v>21.934826365999697</v>
      </c>
      <c r="F64" s="912">
        <f t="shared" si="9"/>
        <v>1.4757863068469677</v>
      </c>
      <c r="G64" s="912">
        <f t="shared" si="9"/>
        <v>7.1979914674532841</v>
      </c>
      <c r="H64" s="912">
        <f t="shared" si="9"/>
        <v>13.390934218016154</v>
      </c>
      <c r="I64" s="912">
        <f t="shared" si="9"/>
        <v>0.7155446100399242</v>
      </c>
      <c r="J64" s="912">
        <f t="shared" si="9"/>
        <v>10.681136655718976</v>
      </c>
      <c r="K64" s="912">
        <f t="shared" si="9"/>
        <v>3.3149198288795998</v>
      </c>
      <c r="L64" s="912">
        <f t="shared" si="9"/>
        <v>6.05767782496347</v>
      </c>
      <c r="M64" s="912">
        <f t="shared" si="9"/>
        <v>3.5662798135437059</v>
      </c>
      <c r="N64" s="912">
        <f t="shared" si="9"/>
        <v>2.3597518871559937</v>
      </c>
      <c r="O64" s="912">
        <f t="shared" si="9"/>
        <v>1.7589330599997259</v>
      </c>
      <c r="P64" s="912">
        <f t="shared" si="9"/>
        <v>8.1763392988132289</v>
      </c>
      <c r="Q64" s="912">
        <f t="shared" si="9"/>
        <v>95.998877193531541</v>
      </c>
      <c r="R64" s="912">
        <f t="shared" si="9"/>
        <v>4.0011228064684605</v>
      </c>
      <c r="S64" s="912">
        <f t="shared" si="9"/>
        <v>100</v>
      </c>
      <c r="T64" s="932"/>
      <c r="U64" s="932"/>
      <c r="V64" s="914"/>
      <c r="W64" s="69"/>
      <c r="X64" s="546"/>
      <c r="Y64" s="69"/>
      <c r="Z64" s="69"/>
      <c r="AA64" s="69"/>
    </row>
    <row r="65" spans="1:27" s="393" customFormat="1" ht="9" customHeight="1">
      <c r="A65" s="163" t="s">
        <v>1407</v>
      </c>
      <c r="B65" s="915">
        <v>107991</v>
      </c>
      <c r="C65" s="915">
        <v>37146</v>
      </c>
      <c r="D65" s="915">
        <v>18501</v>
      </c>
      <c r="E65" s="915">
        <v>256118</v>
      </c>
      <c r="F65" s="915">
        <v>16535</v>
      </c>
      <c r="G65" s="915">
        <v>81139</v>
      </c>
      <c r="H65" s="915">
        <v>148058</v>
      </c>
      <c r="I65" s="915">
        <v>7870</v>
      </c>
      <c r="J65" s="915">
        <v>117056</v>
      </c>
      <c r="K65" s="915">
        <v>36394</v>
      </c>
      <c r="L65" s="915">
        <v>65173</v>
      </c>
      <c r="M65" s="915">
        <v>38795</v>
      </c>
      <c r="N65" s="915">
        <v>25976</v>
      </c>
      <c r="O65" s="915">
        <v>20105</v>
      </c>
      <c r="P65" s="915">
        <v>86706</v>
      </c>
      <c r="Q65" s="697">
        <f>SUM(B65:P65)</f>
        <v>1063563</v>
      </c>
      <c r="R65" s="915">
        <v>42231</v>
      </c>
      <c r="S65" s="784">
        <f>Q65+R65</f>
        <v>1105794</v>
      </c>
      <c r="T65" s="915">
        <v>49412</v>
      </c>
      <c r="U65" s="784">
        <f>S65+T65</f>
        <v>1155206</v>
      </c>
      <c r="V65" s="244" t="s">
        <v>1407</v>
      </c>
      <c r="W65" s="430"/>
      <c r="X65" s="919"/>
      <c r="Y65" s="430"/>
      <c r="Z65" s="430"/>
      <c r="AA65" s="430"/>
    </row>
    <row r="66" spans="1:27" ht="8.1" customHeight="1">
      <c r="A66" s="905"/>
      <c r="B66" s="912">
        <f t="shared" si="9"/>
        <v>9.765923852001368</v>
      </c>
      <c r="C66" s="912">
        <f t="shared" si="9"/>
        <v>3.3592151883623895</v>
      </c>
      <c r="D66" s="912">
        <f t="shared" si="9"/>
        <v>1.6730964356833189</v>
      </c>
      <c r="E66" s="912">
        <f t="shared" si="9"/>
        <v>23.161456835540797</v>
      </c>
      <c r="F66" s="912">
        <f t="shared" si="9"/>
        <v>1.4953056355885455</v>
      </c>
      <c r="G66" s="912">
        <f t="shared" si="9"/>
        <v>7.3376234633213784</v>
      </c>
      <c r="H66" s="912">
        <f t="shared" si="9"/>
        <v>13.389293123312299</v>
      </c>
      <c r="I66" s="912">
        <f t="shared" si="9"/>
        <v>0.71170579692058378</v>
      </c>
      <c r="J66" s="912">
        <f t="shared" si="9"/>
        <v>10.585696793435305</v>
      </c>
      <c r="K66" s="912">
        <f t="shared" si="9"/>
        <v>3.2912097551623538</v>
      </c>
      <c r="L66" s="912">
        <f t="shared" si="9"/>
        <v>5.8937740664174338</v>
      </c>
      <c r="M66" s="912">
        <f t="shared" si="9"/>
        <v>3.5083388045151267</v>
      </c>
      <c r="N66" s="912">
        <f t="shared" si="9"/>
        <v>2.349081293622501</v>
      </c>
      <c r="O66" s="912">
        <f t="shared" si="9"/>
        <v>1.8181505777748839</v>
      </c>
      <c r="P66" s="912">
        <f t="shared" si="9"/>
        <v>7.8410626210668539</v>
      </c>
      <c r="Q66" s="912">
        <f t="shared" si="9"/>
        <v>96.180934242725129</v>
      </c>
      <c r="R66" s="912">
        <f t="shared" si="9"/>
        <v>3.819065757274863</v>
      </c>
      <c r="S66" s="912">
        <f t="shared" si="9"/>
        <v>100</v>
      </c>
      <c r="T66" s="932"/>
      <c r="U66" s="932"/>
      <c r="V66" s="914"/>
      <c r="W66" s="69"/>
      <c r="X66" s="546"/>
      <c r="Y66" s="69"/>
      <c r="Z66" s="69"/>
      <c r="AA66" s="69"/>
    </row>
    <row r="67" spans="1:27" s="393" customFormat="1" ht="8.25" customHeight="1">
      <c r="A67" s="1069" t="s">
        <v>1487</v>
      </c>
      <c r="B67" s="915">
        <v>112423</v>
      </c>
      <c r="C67" s="915">
        <v>39383</v>
      </c>
      <c r="D67" s="915">
        <v>18681</v>
      </c>
      <c r="E67" s="915">
        <v>260728</v>
      </c>
      <c r="F67" s="915">
        <v>16814</v>
      </c>
      <c r="G67" s="915">
        <v>88169</v>
      </c>
      <c r="H67" s="915">
        <v>154029</v>
      </c>
      <c r="I67" s="915">
        <v>8007</v>
      </c>
      <c r="J67" s="915">
        <v>121355</v>
      </c>
      <c r="K67" s="915">
        <v>37521</v>
      </c>
      <c r="L67" s="915">
        <v>68317</v>
      </c>
      <c r="M67" s="915">
        <v>40906</v>
      </c>
      <c r="N67" s="915">
        <v>27290</v>
      </c>
      <c r="O67" s="915">
        <v>22109</v>
      </c>
      <c r="P67" s="915">
        <v>89319</v>
      </c>
      <c r="Q67" s="697">
        <f>SUM(B67:P67)</f>
        <v>1105051</v>
      </c>
      <c r="R67" s="915">
        <v>39546</v>
      </c>
      <c r="S67" s="784">
        <f>Q67+R67</f>
        <v>1144597</v>
      </c>
      <c r="T67" s="915">
        <v>55948</v>
      </c>
      <c r="U67" s="784">
        <f>S67+T67</f>
        <v>1200545</v>
      </c>
      <c r="V67" s="244" t="s">
        <v>1487</v>
      </c>
      <c r="W67" s="430"/>
      <c r="X67" s="430"/>
      <c r="Y67" s="430"/>
      <c r="Z67" s="430"/>
      <c r="AA67" s="430"/>
    </row>
    <row r="68" spans="1:27" ht="6.75" customHeight="1">
      <c r="A68" s="905"/>
      <c r="B68" s="912">
        <f>(B67/$S67)*100</f>
        <v>9.822059641952583</v>
      </c>
      <c r="C68" s="912">
        <f t="shared" si="9"/>
        <v>3.4407743511471724</v>
      </c>
      <c r="D68" s="912">
        <f t="shared" si="9"/>
        <v>1.6321028274580485</v>
      </c>
      <c r="E68" s="912">
        <f t="shared" si="9"/>
        <v>22.779021786707464</v>
      </c>
      <c r="F68" s="912">
        <f t="shared" si="9"/>
        <v>1.4689886484063823</v>
      </c>
      <c r="G68" s="912">
        <f t="shared" si="9"/>
        <v>7.7030605531903369</v>
      </c>
      <c r="H68" s="912">
        <f t="shared" si="9"/>
        <v>13.457050822254471</v>
      </c>
      <c r="I68" s="912">
        <f t="shared" si="9"/>
        <v>0.69954752633459638</v>
      </c>
      <c r="J68" s="912">
        <f t="shared" si="9"/>
        <v>10.602421638358305</v>
      </c>
      <c r="K68" s="912">
        <f t="shared" si="9"/>
        <v>3.2780970070688635</v>
      </c>
      <c r="L68" s="912">
        <f t="shared" si="9"/>
        <v>5.9686509749719772</v>
      </c>
      <c r="M68" s="912">
        <f t="shared" si="9"/>
        <v>3.5738342840318467</v>
      </c>
      <c r="N68" s="912">
        <f t="shared" si="9"/>
        <v>2.3842452845848801</v>
      </c>
      <c r="O68" s="912">
        <f t="shared" si="9"/>
        <v>1.9315968851919059</v>
      </c>
      <c r="P68" s="912">
        <f t="shared" si="9"/>
        <v>7.8035325970625475</v>
      </c>
      <c r="Q68" s="912">
        <f t="shared" si="9"/>
        <v>96.544984828721383</v>
      </c>
      <c r="R68" s="912">
        <f t="shared" si="9"/>
        <v>3.4550151712786246</v>
      </c>
      <c r="S68" s="912">
        <f t="shared" si="9"/>
        <v>100</v>
      </c>
      <c r="T68" s="932"/>
      <c r="U68" s="932"/>
      <c r="V68" s="914"/>
      <c r="W68" s="920"/>
      <c r="X68" s="69"/>
    </row>
    <row r="69" spans="1:27" s="393" customFormat="1" ht="10.5" customHeight="1">
      <c r="A69" s="163" t="s">
        <v>1539</v>
      </c>
      <c r="B69" s="915">
        <v>115405</v>
      </c>
      <c r="C69" s="915">
        <v>41643</v>
      </c>
      <c r="D69" s="915">
        <v>18735</v>
      </c>
      <c r="E69" s="915">
        <v>275764</v>
      </c>
      <c r="F69" s="915">
        <v>17611</v>
      </c>
      <c r="G69" s="915">
        <v>95824</v>
      </c>
      <c r="H69" s="915">
        <v>164109</v>
      </c>
      <c r="I69" s="915">
        <v>8556</v>
      </c>
      <c r="J69" s="915">
        <v>128718</v>
      </c>
      <c r="K69" s="915">
        <v>39139</v>
      </c>
      <c r="L69" s="915">
        <v>71662</v>
      </c>
      <c r="M69" s="915">
        <v>43424</v>
      </c>
      <c r="N69" s="915">
        <v>28807</v>
      </c>
      <c r="O69" s="915">
        <v>24308</v>
      </c>
      <c r="P69" s="915">
        <v>92044</v>
      </c>
      <c r="Q69" s="697">
        <f>SUM(B69:P69)</f>
        <v>1165749</v>
      </c>
      <c r="R69" s="915">
        <v>41497</v>
      </c>
      <c r="S69" s="784">
        <f>Q69+R69</f>
        <v>1207246</v>
      </c>
      <c r="T69" s="915">
        <v>74873</v>
      </c>
      <c r="U69" s="784">
        <f>S69+T69</f>
        <v>1282119</v>
      </c>
      <c r="V69" s="244" t="s">
        <v>1962</v>
      </c>
      <c r="W69" s="430"/>
      <c r="X69" s="430"/>
    </row>
    <row r="70" spans="1:27" ht="8.25" customHeight="1" thickBot="1">
      <c r="A70" s="731"/>
      <c r="B70" s="933">
        <f>(B69/$S69)*100</f>
        <v>9.5593607268112706</v>
      </c>
      <c r="C70" s="933">
        <f t="shared" ref="C70:S70" si="10">(C69/$S69)*100</f>
        <v>3.4494212447173158</v>
      </c>
      <c r="D70" s="933">
        <f t="shared" si="10"/>
        <v>1.5518792358806737</v>
      </c>
      <c r="E70" s="933">
        <f t="shared" si="10"/>
        <v>22.842403288145082</v>
      </c>
      <c r="F70" s="933">
        <f t="shared" si="10"/>
        <v>1.4587747650437441</v>
      </c>
      <c r="G70" s="933">
        <f t="shared" si="10"/>
        <v>7.9374046383255781</v>
      </c>
      <c r="H70" s="933">
        <f t="shared" si="10"/>
        <v>13.59366690798727</v>
      </c>
      <c r="I70" s="933">
        <f t="shared" si="10"/>
        <v>0.70872050932452879</v>
      </c>
      <c r="J70" s="933">
        <f t="shared" si="10"/>
        <v>10.6621185740106</v>
      </c>
      <c r="K70" s="933">
        <f t="shared" si="10"/>
        <v>3.2420070143119131</v>
      </c>
      <c r="L70" s="933">
        <f t="shared" si="10"/>
        <v>5.9359898479680195</v>
      </c>
      <c r="M70" s="933">
        <f t="shared" si="10"/>
        <v>3.5969471010879306</v>
      </c>
      <c r="N70" s="933">
        <f t="shared" si="10"/>
        <v>2.3861748144123069</v>
      </c>
      <c r="O70" s="933">
        <f t="shared" si="10"/>
        <v>2.0135084315872653</v>
      </c>
      <c r="P70" s="933">
        <f t="shared" si="10"/>
        <v>7.6242952968988922</v>
      </c>
      <c r="Q70" s="933">
        <f t="shared" si="10"/>
        <v>96.562672396512397</v>
      </c>
      <c r="R70" s="933">
        <f t="shared" si="10"/>
        <v>3.4373276034876077</v>
      </c>
      <c r="S70" s="933">
        <f t="shared" si="10"/>
        <v>100</v>
      </c>
      <c r="T70" s="934"/>
      <c r="U70" s="934"/>
      <c r="V70" s="732"/>
      <c r="W70" s="69"/>
      <c r="X70" s="69"/>
    </row>
    <row r="71" spans="1:27" ht="12.75" customHeight="1">
      <c r="A71" s="76" t="s">
        <v>270</v>
      </c>
      <c r="B71" s="2418" t="s">
        <v>1963</v>
      </c>
      <c r="C71" s="2418"/>
      <c r="D71" s="2418"/>
      <c r="E71" s="2418"/>
      <c r="F71" s="2418"/>
      <c r="G71" s="2418"/>
      <c r="H71" s="2418"/>
      <c r="I71" s="2418"/>
      <c r="J71" s="2418"/>
      <c r="K71" s="2418"/>
      <c r="L71" s="2419" t="s">
        <v>1964</v>
      </c>
      <c r="M71" s="2420"/>
      <c r="N71" s="2420"/>
      <c r="O71" s="2420"/>
      <c r="P71" s="2421"/>
      <c r="Q71" s="2420"/>
      <c r="R71" s="2420"/>
      <c r="S71" s="2420"/>
      <c r="T71" s="2420"/>
      <c r="U71" s="2422" t="s">
        <v>1543</v>
      </c>
      <c r="V71" s="2422"/>
      <c r="W71" s="69"/>
      <c r="X71" s="69"/>
    </row>
    <row r="72" spans="1:27">
      <c r="H72" s="921"/>
      <c r="W72" s="69"/>
      <c r="X72" s="69"/>
    </row>
    <row r="73" spans="1:27">
      <c r="H73" s="921"/>
      <c r="W73" s="69"/>
      <c r="X73" s="69"/>
    </row>
    <row r="74" spans="1:27">
      <c r="H74" s="922"/>
      <c r="W74" s="69"/>
      <c r="X74" s="69"/>
    </row>
    <row r="75" spans="1:27">
      <c r="H75" s="922"/>
      <c r="W75" s="69"/>
      <c r="X75" s="69"/>
    </row>
    <row r="76" spans="1:27">
      <c r="H76" s="923"/>
    </row>
    <row r="77" spans="1:27">
      <c r="H77" s="923"/>
    </row>
    <row r="78" spans="1:27">
      <c r="H78" s="922"/>
    </row>
    <row r="79" spans="1:27">
      <c r="H79" s="922"/>
    </row>
    <row r="80" spans="1:27">
      <c r="H80" s="922"/>
    </row>
    <row r="81" spans="8:8">
      <c r="H81" s="922"/>
    </row>
    <row r="82" spans="8:8">
      <c r="H82" s="922"/>
    </row>
    <row r="83" spans="8:8">
      <c r="H83" s="922"/>
    </row>
    <row r="84" spans="8:8">
      <c r="H84" s="923"/>
    </row>
  </sheetData>
  <customSheetViews>
    <customSheetView guid="{A374FC54-96E3-45F0-9C12-8450400C12DF}" scale="180">
      <pane xSplit="1" ySplit="4" topLeftCell="N68" activePane="bottomRight" state="frozen"/>
      <selection pane="bottomRight" activeCell="P73" sqref="P73"/>
      <pageMargins left="0.62992125984252001" right="0.511811023622047" top="0.31496062992126" bottom="0.31496062992126" header="0.25" footer="0"/>
      <pageSetup paperSize="132" firstPageNumber="46" orientation="portrait" useFirstPageNumber="1" r:id="rId1"/>
      <headerFooter>
        <oddFooter>&amp;C&amp;"Times New Roman,Regular"&amp;8&amp;P</oddFooter>
      </headerFooter>
    </customSheetView>
  </customSheetViews>
  <mergeCells count="11">
    <mergeCell ref="A1:K1"/>
    <mergeCell ref="U1:V1"/>
    <mergeCell ref="U2:V2"/>
    <mergeCell ref="L1:T1"/>
    <mergeCell ref="A3:A4"/>
    <mergeCell ref="V3:V4"/>
    <mergeCell ref="A5:C5"/>
    <mergeCell ref="B71:K71"/>
    <mergeCell ref="L71:O71"/>
    <mergeCell ref="P71:T71"/>
    <mergeCell ref="U71:V71"/>
  </mergeCells>
  <phoneticPr fontId="44" type="noConversion"/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codeName="Sheet21"/>
  <dimension ref="A1:AA66"/>
  <sheetViews>
    <sheetView zoomScale="130" zoomScaleNormal="130" workbookViewId="0">
      <pane ySplit="4" topLeftCell="A29" activePane="bottomLeft" state="frozen"/>
      <selection activeCell="X47" sqref="X47:X50"/>
      <selection pane="bottomLeft" activeCell="W26" sqref="W26"/>
    </sheetView>
  </sheetViews>
  <sheetFormatPr defaultColWidth="9.140625" defaultRowHeight="11.25"/>
  <cols>
    <col min="1" max="1" width="6.140625" style="8" customWidth="1"/>
    <col min="2" max="2" width="6.42578125" style="8" customWidth="1"/>
    <col min="3" max="3" width="6" style="8" customWidth="1"/>
    <col min="4" max="5" width="6.28515625" style="8" customWidth="1"/>
    <col min="6" max="6" width="6.140625" style="8" customWidth="1"/>
    <col min="7" max="7" width="5.5703125" style="8" customWidth="1"/>
    <col min="8" max="8" width="6.42578125" style="8" customWidth="1"/>
    <col min="9" max="9" width="5.42578125" style="8" customWidth="1"/>
    <col min="10" max="10" width="6" style="8" customWidth="1"/>
    <col min="11" max="11" width="5.42578125" style="8" customWidth="1"/>
    <col min="12" max="12" width="6.5703125" style="8" customWidth="1"/>
    <col min="13" max="13" width="6.7109375" style="8" customWidth="1"/>
    <col min="14" max="14" width="6.42578125" style="8" customWidth="1"/>
    <col min="15" max="15" width="5.42578125" style="8" customWidth="1"/>
    <col min="16" max="16" width="5.7109375" style="8" customWidth="1"/>
    <col min="17" max="17" width="5.140625" style="8" customWidth="1"/>
    <col min="18" max="18" width="6.140625" style="8" customWidth="1"/>
    <col min="19" max="19" width="4.85546875" style="8" customWidth="1"/>
    <col min="20" max="20" width="5.85546875" style="8" customWidth="1"/>
    <col min="21" max="21" width="6.85546875" style="8" customWidth="1"/>
    <col min="22" max="22" width="5.42578125" style="8" customWidth="1"/>
    <col min="23" max="23" width="6.7109375" style="8" customWidth="1"/>
    <col min="24" max="24" width="5.5703125" style="8" customWidth="1"/>
    <col min="25" max="25" width="6" style="8" customWidth="1"/>
    <col min="26" max="26" width="6.42578125" style="8" customWidth="1"/>
    <col min="27" max="16384" width="9.140625" style="8"/>
  </cols>
  <sheetData>
    <row r="1" spans="1:27" s="21" customFormat="1" ht="15.75" customHeight="1">
      <c r="A1" s="887"/>
      <c r="B1" s="887"/>
      <c r="C1" s="888" t="s">
        <v>1994</v>
      </c>
      <c r="D1" s="888"/>
      <c r="E1" s="2436" t="s">
        <v>2359</v>
      </c>
      <c r="F1" s="2436"/>
      <c r="G1" s="2436"/>
      <c r="H1" s="2436"/>
      <c r="I1" s="2436"/>
      <c r="J1" s="2436"/>
      <c r="K1" s="2436"/>
      <c r="L1" s="2436"/>
      <c r="M1" s="2436"/>
      <c r="N1" s="2435" t="s">
        <v>1932</v>
      </c>
      <c r="O1" s="2435"/>
      <c r="P1" s="2435"/>
      <c r="Q1" s="2435"/>
      <c r="R1" s="2435"/>
      <c r="S1" s="2435"/>
      <c r="T1" s="2435"/>
      <c r="U1" s="2435"/>
      <c r="V1" s="2435"/>
      <c r="W1" s="2435"/>
      <c r="X1" s="2435"/>
      <c r="Y1" s="2430" t="s">
        <v>1068</v>
      </c>
      <c r="Z1" s="2431"/>
      <c r="AA1" s="49"/>
    </row>
    <row r="2" spans="1:27" s="88" customFormat="1" ht="11.25" customHeight="1">
      <c r="A2" s="1539"/>
      <c r="B2" s="1539"/>
      <c r="E2" s="1539"/>
      <c r="F2" s="1539"/>
      <c r="G2" s="1539"/>
      <c r="H2" s="1539"/>
      <c r="I2" s="1539"/>
      <c r="J2" s="2432"/>
      <c r="K2" s="2432"/>
      <c r="L2" s="2432"/>
      <c r="M2" s="89"/>
      <c r="N2" s="89"/>
      <c r="O2" s="89"/>
      <c r="Y2" s="2433" t="s">
        <v>24</v>
      </c>
      <c r="Z2" s="2433"/>
    </row>
    <row r="3" spans="1:27" s="38" customFormat="1" ht="69" customHeight="1">
      <c r="A3" s="2332" t="s">
        <v>481</v>
      </c>
      <c r="B3" s="1536" t="s">
        <v>1933</v>
      </c>
      <c r="C3" s="1536" t="s">
        <v>1242</v>
      </c>
      <c r="D3" s="1536" t="s">
        <v>265</v>
      </c>
      <c r="E3" s="1536" t="s">
        <v>1934</v>
      </c>
      <c r="F3" s="1536" t="s">
        <v>1935</v>
      </c>
      <c r="G3" s="1536" t="s">
        <v>266</v>
      </c>
      <c r="H3" s="1536" t="s">
        <v>1251</v>
      </c>
      <c r="I3" s="1536" t="s">
        <v>1936</v>
      </c>
      <c r="J3" s="1536" t="s">
        <v>1937</v>
      </c>
      <c r="K3" s="1536" t="s">
        <v>1938</v>
      </c>
      <c r="L3" s="1536" t="s">
        <v>2566</v>
      </c>
      <c r="M3" s="1536" t="s">
        <v>1940</v>
      </c>
      <c r="N3" s="1536" t="s">
        <v>1941</v>
      </c>
      <c r="O3" s="1536" t="s">
        <v>1942</v>
      </c>
      <c r="P3" s="1536" t="s">
        <v>1247</v>
      </c>
      <c r="Q3" s="1536" t="s">
        <v>268</v>
      </c>
      <c r="R3" s="1536" t="s">
        <v>1943</v>
      </c>
      <c r="S3" s="1536" t="s">
        <v>1944</v>
      </c>
      <c r="T3" s="1536" t="s">
        <v>1945</v>
      </c>
      <c r="U3" s="1536" t="s">
        <v>1946</v>
      </c>
      <c r="V3" s="1536" t="s">
        <v>1947</v>
      </c>
      <c r="W3" s="1536" t="s">
        <v>1948</v>
      </c>
      <c r="X3" s="1665" t="s">
        <v>264</v>
      </c>
      <c r="Y3" s="1535" t="s">
        <v>1949</v>
      </c>
      <c r="Z3" s="2332" t="s">
        <v>481</v>
      </c>
    </row>
    <row r="4" spans="1:27" s="45" customFormat="1" ht="11.25" customHeight="1">
      <c r="A4" s="2251"/>
      <c r="B4" s="551">
        <v>1</v>
      </c>
      <c r="C4" s="551">
        <v>2</v>
      </c>
      <c r="D4" s="551">
        <v>3</v>
      </c>
      <c r="E4" s="551">
        <v>4</v>
      </c>
      <c r="F4" s="551">
        <v>5</v>
      </c>
      <c r="G4" s="551">
        <v>6</v>
      </c>
      <c r="H4" s="551">
        <v>7</v>
      </c>
      <c r="I4" s="551">
        <v>8</v>
      </c>
      <c r="J4" s="551">
        <v>9</v>
      </c>
      <c r="K4" s="551">
        <v>10</v>
      </c>
      <c r="L4" s="551">
        <v>11</v>
      </c>
      <c r="M4" s="551">
        <v>12</v>
      </c>
      <c r="N4" s="551">
        <v>13</v>
      </c>
      <c r="O4" s="551">
        <v>14</v>
      </c>
      <c r="P4" s="551">
        <v>15</v>
      </c>
      <c r="Q4" s="551">
        <v>16</v>
      </c>
      <c r="R4" s="551">
        <v>17</v>
      </c>
      <c r="S4" s="551">
        <v>18</v>
      </c>
      <c r="T4" s="551">
        <v>19</v>
      </c>
      <c r="U4" s="551">
        <v>20</v>
      </c>
      <c r="V4" s="551">
        <v>21</v>
      </c>
      <c r="W4" s="551">
        <v>22</v>
      </c>
      <c r="X4" s="551">
        <v>23</v>
      </c>
      <c r="Y4" s="551">
        <v>24</v>
      </c>
      <c r="Z4" s="2334"/>
    </row>
    <row r="5" spans="1:27" s="890" customFormat="1" ht="13.5" customHeight="1">
      <c r="A5" s="2434" t="s">
        <v>1950</v>
      </c>
      <c r="B5" s="2434"/>
      <c r="C5" s="2434"/>
      <c r="D5" s="889"/>
      <c r="E5" s="889"/>
      <c r="F5" s="889"/>
      <c r="G5" s="889"/>
      <c r="H5" s="889"/>
      <c r="I5" s="889"/>
      <c r="J5" s="889"/>
      <c r="K5" s="889"/>
      <c r="L5" s="889"/>
      <c r="M5" s="889"/>
      <c r="N5" s="889"/>
      <c r="O5" s="889"/>
      <c r="P5" s="889"/>
      <c r="Q5" s="889"/>
      <c r="R5" s="889"/>
      <c r="S5" s="889"/>
      <c r="T5" s="889"/>
      <c r="U5" s="889"/>
      <c r="V5" s="889"/>
      <c r="W5" s="889"/>
      <c r="X5" s="889"/>
      <c r="Y5" s="889"/>
      <c r="Z5" s="200"/>
    </row>
    <row r="6" spans="1:27" ht="12" customHeight="1">
      <c r="A6" s="354" t="s">
        <v>1154</v>
      </c>
      <c r="B6" s="255">
        <v>279505</v>
      </c>
      <c r="C6" s="255">
        <v>33052</v>
      </c>
      <c r="D6" s="255">
        <v>422387</v>
      </c>
      <c r="E6" s="255">
        <v>24555</v>
      </c>
      <c r="F6" s="255">
        <v>2103</v>
      </c>
      <c r="G6" s="255">
        <v>162843</v>
      </c>
      <c r="H6" s="255">
        <v>288510</v>
      </c>
      <c r="I6" s="255">
        <v>158030</v>
      </c>
      <c r="J6" s="255">
        <v>23886</v>
      </c>
      <c r="K6" s="255">
        <v>24833</v>
      </c>
      <c r="L6" s="255">
        <v>65072</v>
      </c>
      <c r="M6" s="255">
        <v>192509</v>
      </c>
      <c r="N6" s="255">
        <v>3906</v>
      </c>
      <c r="O6" s="255">
        <v>14244</v>
      </c>
      <c r="P6" s="255">
        <v>66730</v>
      </c>
      <c r="Q6" s="255">
        <v>54479</v>
      </c>
      <c r="R6" s="255">
        <v>54600</v>
      </c>
      <c r="S6" s="255">
        <v>3007</v>
      </c>
      <c r="T6" s="255">
        <v>113176</v>
      </c>
      <c r="U6" s="255">
        <f>SUM(B6:T6)</f>
        <v>1987427</v>
      </c>
      <c r="V6" s="255">
        <v>88394</v>
      </c>
      <c r="W6" s="255">
        <f>U6+V6</f>
        <v>2075821</v>
      </c>
      <c r="X6" s="255">
        <v>97254</v>
      </c>
      <c r="Y6" s="255">
        <f>W6+X6</f>
        <v>2173075</v>
      </c>
      <c r="Z6" s="312" t="s">
        <v>1154</v>
      </c>
    </row>
    <row r="7" spans="1:27" s="153" customFormat="1" ht="12" customHeight="1">
      <c r="A7" s="1532"/>
      <c r="B7" s="891">
        <f t="shared" ref="B7:W7" si="0">(B6/$W6)*100</f>
        <v>13.464792966252869</v>
      </c>
      <c r="C7" s="891">
        <f t="shared" si="0"/>
        <v>1.592237480977406</v>
      </c>
      <c r="D7" s="891">
        <f t="shared" si="0"/>
        <v>20.347949076534057</v>
      </c>
      <c r="E7" s="891">
        <f t="shared" si="0"/>
        <v>1.1829054624652124</v>
      </c>
      <c r="F7" s="891">
        <f t="shared" si="0"/>
        <v>0.10130931327893879</v>
      </c>
      <c r="G7" s="891">
        <f t="shared" si="0"/>
        <v>7.8447515464965427</v>
      </c>
      <c r="H7" s="891">
        <f t="shared" si="0"/>
        <v>13.898597229722601</v>
      </c>
      <c r="I7" s="891">
        <f t="shared" si="0"/>
        <v>7.6128914776370404</v>
      </c>
      <c r="J7" s="891">
        <f t="shared" si="0"/>
        <v>1.1506772501097158</v>
      </c>
      <c r="K7" s="891">
        <f t="shared" si="0"/>
        <v>1.1962977539970931</v>
      </c>
      <c r="L7" s="891">
        <f t="shared" si="0"/>
        <v>3.1347596926709964</v>
      </c>
      <c r="M7" s="891">
        <f t="shared" si="0"/>
        <v>9.2738728435640638</v>
      </c>
      <c r="N7" s="891">
        <f t="shared" si="0"/>
        <v>0.18816651339397761</v>
      </c>
      <c r="O7" s="891">
        <f t="shared" si="0"/>
        <v>0.68618633302197063</v>
      </c>
      <c r="P7" s="891">
        <f t="shared" si="0"/>
        <v>3.2146317047568167</v>
      </c>
      <c r="Q7" s="891">
        <f t="shared" si="0"/>
        <v>2.6244555768536881</v>
      </c>
      <c r="R7" s="891">
        <f>(R6/$W6)*100</f>
        <v>2.6302845958297945</v>
      </c>
      <c r="S7" s="891">
        <f>(S6/$W6)*100</f>
        <v>0.14485834761282404</v>
      </c>
      <c r="T7" s="891">
        <f t="shared" si="0"/>
        <v>5.4521078647918104</v>
      </c>
      <c r="U7" s="891">
        <f t="shared" si="0"/>
        <v>95.741733029967421</v>
      </c>
      <c r="V7" s="891">
        <f t="shared" si="0"/>
        <v>4.2582669700325804</v>
      </c>
      <c r="W7" s="891">
        <f t="shared" si="0"/>
        <v>100</v>
      </c>
      <c r="X7" s="230"/>
      <c r="Y7" s="230"/>
      <c r="Z7" s="336"/>
    </row>
    <row r="8" spans="1:27" ht="12" customHeight="1">
      <c r="A8" s="354" t="s">
        <v>1178</v>
      </c>
      <c r="B8" s="255">
        <v>301167</v>
      </c>
      <c r="C8" s="255">
        <v>39984</v>
      </c>
      <c r="D8" s="255">
        <v>466606</v>
      </c>
      <c r="E8" s="255">
        <v>29234</v>
      </c>
      <c r="F8" s="255">
        <v>2263</v>
      </c>
      <c r="G8" s="255">
        <v>188219</v>
      </c>
      <c r="H8" s="255">
        <v>324632</v>
      </c>
      <c r="I8" s="255">
        <v>178722</v>
      </c>
      <c r="J8" s="255">
        <v>26670</v>
      </c>
      <c r="K8" s="255">
        <v>27264</v>
      </c>
      <c r="L8" s="255">
        <v>72247</v>
      </c>
      <c r="M8" s="255">
        <v>214151</v>
      </c>
      <c r="N8" s="255">
        <v>4282</v>
      </c>
      <c r="O8" s="255">
        <v>15722</v>
      </c>
      <c r="P8" s="255">
        <v>78463</v>
      </c>
      <c r="Q8" s="255">
        <v>60858</v>
      </c>
      <c r="R8" s="255">
        <v>63515</v>
      </c>
      <c r="S8" s="255">
        <v>3365</v>
      </c>
      <c r="T8" s="255">
        <v>124429</v>
      </c>
      <c r="U8" s="255">
        <f>SUM(B8:T8)</f>
        <v>2221793</v>
      </c>
      <c r="V8" s="255">
        <v>102514</v>
      </c>
      <c r="W8" s="255">
        <f>U8+V8</f>
        <v>2324307</v>
      </c>
      <c r="X8" s="255">
        <v>80250</v>
      </c>
      <c r="Y8" s="255">
        <f>W8+X8</f>
        <v>2404557</v>
      </c>
      <c r="Z8" s="312" t="s">
        <v>1178</v>
      </c>
    </row>
    <row r="9" spans="1:27" s="153" customFormat="1" ht="12" customHeight="1">
      <c r="A9" s="1532"/>
      <c r="B9" s="891">
        <f t="shared" ref="B9:W9" si="1">(B8/$W8)*100</f>
        <v>12.95728146066763</v>
      </c>
      <c r="C9" s="891">
        <f t="shared" si="1"/>
        <v>1.7202546823633882</v>
      </c>
      <c r="D9" s="891">
        <f t="shared" si="1"/>
        <v>20.075058931543897</v>
      </c>
      <c r="E9" s="891">
        <f t="shared" si="1"/>
        <v>1.2577512350993221</v>
      </c>
      <c r="F9" s="891">
        <f t="shared" si="1"/>
        <v>9.7362353596147158E-2</v>
      </c>
      <c r="G9" s="891">
        <f t="shared" si="1"/>
        <v>8.0978545433111897</v>
      </c>
      <c r="H9" s="891">
        <f t="shared" si="1"/>
        <v>13.966829682997986</v>
      </c>
      <c r="I9" s="891">
        <f t="shared" si="1"/>
        <v>7.6892596373886928</v>
      </c>
      <c r="J9" s="891">
        <f t="shared" si="1"/>
        <v>1.1474387849797811</v>
      </c>
      <c r="K9" s="891">
        <f t="shared" si="1"/>
        <v>1.1729947894146513</v>
      </c>
      <c r="L9" s="891">
        <f t="shared" si="1"/>
        <v>3.1083243306499528</v>
      </c>
      <c r="M9" s="891">
        <f t="shared" si="1"/>
        <v>9.2135419288415861</v>
      </c>
      <c r="N9" s="891">
        <f t="shared" si="1"/>
        <v>0.18422695452881224</v>
      </c>
      <c r="O9" s="891">
        <f t="shared" si="1"/>
        <v>0.67641666957075808</v>
      </c>
      <c r="P9" s="891">
        <f t="shared" si="1"/>
        <v>3.3757588821098077</v>
      </c>
      <c r="Q9" s="891">
        <f t="shared" si="1"/>
        <v>2.6183288180089805</v>
      </c>
      <c r="R9" s="891">
        <f t="shared" si="1"/>
        <v>2.7326424607420621</v>
      </c>
      <c r="S9" s="891">
        <f t="shared" si="1"/>
        <v>0.14477433488777516</v>
      </c>
      <c r="T9" s="891">
        <f t="shared" si="1"/>
        <v>5.3533805990344652</v>
      </c>
      <c r="U9" s="891">
        <f t="shared" si="1"/>
        <v>95.589481079736885</v>
      </c>
      <c r="V9" s="891">
        <f t="shared" si="1"/>
        <v>4.4105189202631152</v>
      </c>
      <c r="W9" s="891">
        <f t="shared" si="1"/>
        <v>100</v>
      </c>
      <c r="X9" s="230"/>
      <c r="Y9" s="230"/>
      <c r="Z9" s="336"/>
    </row>
    <row r="10" spans="1:27" ht="12" customHeight="1">
      <c r="A10" s="354" t="s">
        <v>1298</v>
      </c>
      <c r="B10" s="255">
        <v>329380</v>
      </c>
      <c r="C10" s="255">
        <v>44276</v>
      </c>
      <c r="D10" s="255">
        <v>549024</v>
      </c>
      <c r="E10" s="255">
        <v>32625</v>
      </c>
      <c r="F10" s="255">
        <v>2487</v>
      </c>
      <c r="G10" s="255">
        <v>215693</v>
      </c>
      <c r="H10" s="255">
        <v>373716</v>
      </c>
      <c r="I10" s="257">
        <v>197806</v>
      </c>
      <c r="J10" s="255">
        <v>30106</v>
      </c>
      <c r="K10" s="255">
        <v>29460</v>
      </c>
      <c r="L10" s="255">
        <v>81724</v>
      </c>
      <c r="M10" s="255">
        <v>235990</v>
      </c>
      <c r="N10" s="255">
        <v>4714</v>
      </c>
      <c r="O10" s="255">
        <v>17269</v>
      </c>
      <c r="P10" s="255">
        <v>90249</v>
      </c>
      <c r="Q10" s="255">
        <v>68164</v>
      </c>
      <c r="R10" s="255">
        <v>73365</v>
      </c>
      <c r="S10" s="255">
        <v>3772</v>
      </c>
      <c r="T10" s="255">
        <v>136783</v>
      </c>
      <c r="U10" s="255">
        <f>SUM(B10:T10)</f>
        <v>2516603</v>
      </c>
      <c r="V10" s="255">
        <v>122645</v>
      </c>
      <c r="W10" s="255">
        <f>U10+V10</f>
        <v>2639248</v>
      </c>
      <c r="X10" s="255">
        <v>105543</v>
      </c>
      <c r="Y10" s="255">
        <f>W10+X10</f>
        <v>2744791</v>
      </c>
      <c r="Z10" s="312" t="s">
        <v>1298</v>
      </c>
    </row>
    <row r="11" spans="1:27" s="153" customFormat="1" ht="12" customHeight="1">
      <c r="A11" s="1532"/>
      <c r="B11" s="891">
        <f t="shared" ref="B11:W11" si="2">(B10/$W10)*100</f>
        <v>12.480070080568405</v>
      </c>
      <c r="C11" s="891">
        <f t="shared" si="2"/>
        <v>1.6775990736755317</v>
      </c>
      <c r="D11" s="891">
        <f t="shared" si="2"/>
        <v>20.802289136905664</v>
      </c>
      <c r="E11" s="891">
        <f t="shared" si="2"/>
        <v>1.2361475693076209</v>
      </c>
      <c r="F11" s="891">
        <f t="shared" si="2"/>
        <v>9.4231387122392429E-2</v>
      </c>
      <c r="G11" s="891">
        <f t="shared" si="2"/>
        <v>8.1725173231162813</v>
      </c>
      <c r="H11" s="891">
        <f t="shared" si="2"/>
        <v>14.159942529084041</v>
      </c>
      <c r="I11" s="891">
        <f t="shared" si="2"/>
        <v>7.4947863937000232</v>
      </c>
      <c r="J11" s="891">
        <f t="shared" si="2"/>
        <v>1.1407037156038387</v>
      </c>
      <c r="K11" s="891">
        <f t="shared" si="2"/>
        <v>1.116227046492031</v>
      </c>
      <c r="L11" s="891">
        <f t="shared" si="2"/>
        <v>3.0964880905470045</v>
      </c>
      <c r="M11" s="891">
        <f t="shared" si="2"/>
        <v>8.9415621419434625</v>
      </c>
      <c r="N11" s="891">
        <f t="shared" si="2"/>
        <v>0.17861148327099235</v>
      </c>
      <c r="O11" s="891">
        <f t="shared" si="2"/>
        <v>0.65431516856316652</v>
      </c>
      <c r="P11" s="891">
        <f t="shared" si="2"/>
        <v>3.4194967657453939</v>
      </c>
      <c r="Q11" s="891">
        <f t="shared" si="2"/>
        <v>2.5827053766830552</v>
      </c>
      <c r="R11" s="891">
        <f t="shared" si="2"/>
        <v>2.7797690857395745</v>
      </c>
      <c r="S11" s="891">
        <f t="shared" si="2"/>
        <v>0.14291949828132863</v>
      </c>
      <c r="T11" s="891">
        <f t="shared" si="2"/>
        <v>5.1826505125702473</v>
      </c>
      <c r="U11" s="891">
        <f t="shared" si="2"/>
        <v>95.353032378920062</v>
      </c>
      <c r="V11" s="891">
        <f t="shared" si="2"/>
        <v>4.646967621079944</v>
      </c>
      <c r="W11" s="891">
        <f t="shared" si="2"/>
        <v>100</v>
      </c>
      <c r="X11" s="230"/>
      <c r="Y11" s="230"/>
      <c r="Z11" s="336"/>
    </row>
    <row r="12" spans="1:27" ht="12" customHeight="1">
      <c r="A12" s="354" t="s">
        <v>1407</v>
      </c>
      <c r="B12" s="255">
        <v>353443</v>
      </c>
      <c r="C12" s="255">
        <v>52609</v>
      </c>
      <c r="D12" s="255">
        <v>625937</v>
      </c>
      <c r="E12" s="255">
        <v>38144</v>
      </c>
      <c r="F12" s="255">
        <v>2674</v>
      </c>
      <c r="G12" s="255">
        <v>250255</v>
      </c>
      <c r="H12" s="255">
        <v>418395</v>
      </c>
      <c r="I12" s="255">
        <v>219712</v>
      </c>
      <c r="J12" s="257">
        <v>33550</v>
      </c>
      <c r="K12" s="255">
        <v>32204</v>
      </c>
      <c r="L12" s="255">
        <v>93297</v>
      </c>
      <c r="M12" s="255">
        <v>260715</v>
      </c>
      <c r="N12" s="255">
        <v>5179</v>
      </c>
      <c r="O12" s="255">
        <v>20017</v>
      </c>
      <c r="P12" s="255">
        <v>99006</v>
      </c>
      <c r="Q12" s="255">
        <v>76961</v>
      </c>
      <c r="R12" s="255">
        <v>86811</v>
      </c>
      <c r="S12" s="255">
        <v>4244</v>
      </c>
      <c r="T12" s="255">
        <v>150690</v>
      </c>
      <c r="U12" s="255">
        <f>SUM(B12:T12)</f>
        <v>2823843</v>
      </c>
      <c r="V12" s="255">
        <v>127586</v>
      </c>
      <c r="W12" s="255">
        <f>U12+V12</f>
        <v>2951429</v>
      </c>
      <c r="X12" s="255">
        <v>120895</v>
      </c>
      <c r="Y12" s="255">
        <f>W12+X12</f>
        <v>3072324</v>
      </c>
      <c r="Z12" s="312" t="s">
        <v>1407</v>
      </c>
    </row>
    <row r="13" spans="1:27" s="153" customFormat="1" ht="12" customHeight="1">
      <c r="A13" s="1532"/>
      <c r="B13" s="891">
        <f t="shared" ref="B13:W13" si="3">(B12/$W12)*100</f>
        <v>11.975317718976129</v>
      </c>
      <c r="C13" s="891">
        <f t="shared" si="3"/>
        <v>1.7824924807610145</v>
      </c>
      <c r="D13" s="891">
        <f t="shared" si="3"/>
        <v>21.20793012469553</v>
      </c>
      <c r="E13" s="891">
        <f t="shared" si="3"/>
        <v>1.2923909062355896</v>
      </c>
      <c r="F13" s="891">
        <f t="shared" si="3"/>
        <v>9.0600180454959281E-2</v>
      </c>
      <c r="G13" s="891">
        <f t="shared" si="3"/>
        <v>8.4791129991607459</v>
      </c>
      <c r="H13" s="891">
        <f t="shared" si="3"/>
        <v>14.176014398449022</v>
      </c>
      <c r="I13" s="891">
        <f t="shared" si="3"/>
        <v>7.4442583575617105</v>
      </c>
      <c r="J13" s="891">
        <f t="shared" si="3"/>
        <v>1.1367374922452818</v>
      </c>
      <c r="K13" s="891">
        <f t="shared" si="3"/>
        <v>1.0911324649856053</v>
      </c>
      <c r="L13" s="891">
        <f t="shared" si="3"/>
        <v>3.1610789214309412</v>
      </c>
      <c r="M13" s="891">
        <f t="shared" si="3"/>
        <v>8.8335175943585291</v>
      </c>
      <c r="N13" s="891">
        <f t="shared" si="3"/>
        <v>0.17547432108310923</v>
      </c>
      <c r="O13" s="891">
        <f t="shared" si="3"/>
        <v>0.67821384149847408</v>
      </c>
      <c r="P13" s="891">
        <f t="shared" si="3"/>
        <v>3.3545106455212035</v>
      </c>
      <c r="Q13" s="891">
        <f t="shared" si="3"/>
        <v>2.6075843261010179</v>
      </c>
      <c r="R13" s="891">
        <f t="shared" si="3"/>
        <v>2.9413209668943416</v>
      </c>
      <c r="S13" s="891">
        <f t="shared" si="3"/>
        <v>0.14379475162709318</v>
      </c>
      <c r="T13" s="891">
        <f t="shared" si="3"/>
        <v>5.1056623757508648</v>
      </c>
      <c r="U13" s="891">
        <f t="shared" si="3"/>
        <v>95.677144867791171</v>
      </c>
      <c r="V13" s="891">
        <f t="shared" si="3"/>
        <v>4.3228551322088391</v>
      </c>
      <c r="W13" s="891">
        <f t="shared" si="3"/>
        <v>100</v>
      </c>
      <c r="X13" s="230"/>
      <c r="Y13" s="230"/>
      <c r="Z13" s="336"/>
    </row>
    <row r="14" spans="1:27" ht="12" customHeight="1">
      <c r="A14" s="354" t="s">
        <v>1487</v>
      </c>
      <c r="B14" s="255">
        <v>380446</v>
      </c>
      <c r="C14" s="255">
        <v>55224</v>
      </c>
      <c r="D14" s="255">
        <v>653064</v>
      </c>
      <c r="E14" s="255">
        <v>44523</v>
      </c>
      <c r="F14" s="255">
        <v>2761</v>
      </c>
      <c r="G14" s="255">
        <v>287880</v>
      </c>
      <c r="H14" s="255">
        <v>445757</v>
      </c>
      <c r="I14" s="255">
        <v>232252</v>
      </c>
      <c r="J14" s="255">
        <v>36015</v>
      </c>
      <c r="K14" s="255">
        <v>35107</v>
      </c>
      <c r="L14" s="255">
        <v>103217</v>
      </c>
      <c r="M14" s="255">
        <v>288001</v>
      </c>
      <c r="N14" s="255">
        <v>5656</v>
      </c>
      <c r="O14" s="255">
        <v>23005</v>
      </c>
      <c r="P14" s="255">
        <v>106965</v>
      </c>
      <c r="Q14" s="255">
        <v>85643</v>
      </c>
      <c r="R14" s="255">
        <v>101522</v>
      </c>
      <c r="S14" s="255">
        <v>4761</v>
      </c>
      <c r="T14" s="255">
        <v>165249</v>
      </c>
      <c r="U14" s="255">
        <f>SUM(B14:T14)</f>
        <v>3057048</v>
      </c>
      <c r="V14" s="255">
        <v>113421</v>
      </c>
      <c r="W14" s="255">
        <f>U14+V14</f>
        <v>3170469</v>
      </c>
      <c r="X14" s="255">
        <v>131232</v>
      </c>
      <c r="Y14" s="255">
        <f>W14+X14</f>
        <v>3301701</v>
      </c>
      <c r="Z14" s="312" t="s">
        <v>1487</v>
      </c>
    </row>
    <row r="15" spans="1:27" s="153" customFormat="1" ht="12" customHeight="1">
      <c r="A15" s="1532"/>
      <c r="B15" s="891">
        <f t="shared" ref="B15:W15" si="4">(B14/$W14)*100</f>
        <v>11.999675757750667</v>
      </c>
      <c r="C15" s="891">
        <f t="shared" si="4"/>
        <v>1.7418243168439749</v>
      </c>
      <c r="D15" s="891">
        <f t="shared" si="4"/>
        <v>20.598340497888483</v>
      </c>
      <c r="E15" s="891">
        <f t="shared" si="4"/>
        <v>1.4043032750044238</v>
      </c>
      <c r="F15" s="891">
        <f t="shared" si="4"/>
        <v>8.7084907627231173E-2</v>
      </c>
      <c r="G15" s="891">
        <f t="shared" si="4"/>
        <v>9.0800446243126807</v>
      </c>
      <c r="H15" s="891">
        <f t="shared" si="4"/>
        <v>14.059654896483769</v>
      </c>
      <c r="I15" s="891">
        <f t="shared" si="4"/>
        <v>7.3254777132342257</v>
      </c>
      <c r="J15" s="891">
        <f t="shared" si="4"/>
        <v>1.1359518102842197</v>
      </c>
      <c r="K15" s="891">
        <f t="shared" si="4"/>
        <v>1.1073125143314759</v>
      </c>
      <c r="L15" s="891">
        <f t="shared" si="4"/>
        <v>3.2555751215356468</v>
      </c>
      <c r="M15" s="891">
        <f t="shared" si="4"/>
        <v>9.0838610943680571</v>
      </c>
      <c r="N15" s="891">
        <f t="shared" si="4"/>
        <v>0.17839631928273073</v>
      </c>
      <c r="O15" s="891">
        <f t="shared" si="4"/>
        <v>0.72560242664413377</v>
      </c>
      <c r="P15" s="891">
        <f t="shared" si="4"/>
        <v>3.3737910700278095</v>
      </c>
      <c r="Q15" s="891">
        <f t="shared" si="4"/>
        <v>2.701272272335733</v>
      </c>
      <c r="R15" s="891">
        <f t="shared" si="4"/>
        <v>3.2021129996855358</v>
      </c>
      <c r="S15" s="891">
        <f t="shared" si="4"/>
        <v>0.15016705730287852</v>
      </c>
      <c r="T15" s="891">
        <f t="shared" si="4"/>
        <v>5.2121310758755248</v>
      </c>
      <c r="U15" s="891">
        <f t="shared" si="4"/>
        <v>96.42257975081921</v>
      </c>
      <c r="V15" s="891">
        <f t="shared" si="4"/>
        <v>3.5774202491807996</v>
      </c>
      <c r="W15" s="891">
        <f t="shared" si="4"/>
        <v>100</v>
      </c>
      <c r="X15" s="230"/>
      <c r="Y15" s="230"/>
      <c r="Z15" s="336"/>
    </row>
    <row r="16" spans="1:27" ht="12" customHeight="1">
      <c r="A16" s="354" t="s">
        <v>1539</v>
      </c>
      <c r="B16" s="257">
        <v>410661</v>
      </c>
      <c r="C16" s="257">
        <v>59102</v>
      </c>
      <c r="D16" s="257">
        <v>749659</v>
      </c>
      <c r="E16" s="257">
        <v>44902</v>
      </c>
      <c r="F16" s="257">
        <v>2968</v>
      </c>
      <c r="G16" s="257">
        <v>319490</v>
      </c>
      <c r="H16" s="257">
        <v>497652</v>
      </c>
      <c r="I16" s="257">
        <v>256215</v>
      </c>
      <c r="J16" s="257">
        <v>39857</v>
      </c>
      <c r="K16" s="257">
        <v>38448</v>
      </c>
      <c r="L16" s="257">
        <v>115271</v>
      </c>
      <c r="M16" s="257">
        <v>313028</v>
      </c>
      <c r="N16" s="257">
        <v>6273</v>
      </c>
      <c r="O16" s="257">
        <v>27138</v>
      </c>
      <c r="P16" s="257">
        <v>116996</v>
      </c>
      <c r="Q16" s="257">
        <v>95642</v>
      </c>
      <c r="R16" s="257">
        <v>118500</v>
      </c>
      <c r="S16" s="257">
        <v>5341</v>
      </c>
      <c r="T16" s="257">
        <v>180676</v>
      </c>
      <c r="U16" s="255">
        <f>SUM(B16:T16)</f>
        <v>3397819</v>
      </c>
      <c r="V16" s="257">
        <v>132366</v>
      </c>
      <c r="W16" s="255">
        <f>U16+V16</f>
        <v>3530185</v>
      </c>
      <c r="X16" s="257">
        <v>185812</v>
      </c>
      <c r="Y16" s="255">
        <f>W16+X16</f>
        <v>3715997</v>
      </c>
      <c r="Z16" s="312" t="s">
        <v>1539</v>
      </c>
    </row>
    <row r="17" spans="1:27" s="153" customFormat="1" ht="12" customHeight="1">
      <c r="A17" s="1532"/>
      <c r="B17" s="891">
        <f t="shared" ref="B17:W19" si="5">(B16/$W16)*100</f>
        <v>11.632846437226378</v>
      </c>
      <c r="C17" s="891">
        <f t="shared" si="5"/>
        <v>1.6741898795672183</v>
      </c>
      <c r="D17" s="891">
        <f t="shared" si="5"/>
        <v>21.235685948470124</v>
      </c>
      <c r="E17" s="891">
        <f t="shared" si="5"/>
        <v>1.2719446714548954</v>
      </c>
      <c r="F17" s="891">
        <f t="shared" si="5"/>
        <v>8.4074913920941824E-2</v>
      </c>
      <c r="G17" s="891">
        <f t="shared" si="5"/>
        <v>9.0502339112539421</v>
      </c>
      <c r="H17" s="891">
        <f t="shared" si="5"/>
        <v>14.097051570951663</v>
      </c>
      <c r="I17" s="891">
        <f t="shared" si="5"/>
        <v>7.2578349293308992</v>
      </c>
      <c r="J17" s="891">
        <f t="shared" si="5"/>
        <v>1.1290343140656933</v>
      </c>
      <c r="K17" s="891">
        <f t="shared" si="5"/>
        <v>1.0891213916551115</v>
      </c>
      <c r="L17" s="891">
        <f t="shared" si="5"/>
        <v>3.2652962946701094</v>
      </c>
      <c r="M17" s="891">
        <f t="shared" si="5"/>
        <v>8.8671840144355052</v>
      </c>
      <c r="N17" s="891">
        <f t="shared" si="5"/>
        <v>0.17769606975271834</v>
      </c>
      <c r="O17" s="891">
        <f t="shared" si="5"/>
        <v>0.76874158153184602</v>
      </c>
      <c r="P17" s="891">
        <f t="shared" si="5"/>
        <v>3.3141605893175572</v>
      </c>
      <c r="Q17" s="891">
        <f t="shared" si="5"/>
        <v>2.709263112273153</v>
      </c>
      <c r="R17" s="891">
        <f t="shared" si="5"/>
        <v>3.3567645888246651</v>
      </c>
      <c r="S17" s="891">
        <f t="shared" si="5"/>
        <v>0.15129518707943068</v>
      </c>
      <c r="T17" s="891">
        <f t="shared" si="5"/>
        <v>5.1180320578100016</v>
      </c>
      <c r="U17" s="891">
        <f t="shared" si="5"/>
        <v>96.250451463591844</v>
      </c>
      <c r="V17" s="891">
        <f t="shared" si="5"/>
        <v>3.7495485364081489</v>
      </c>
      <c r="W17" s="891">
        <f t="shared" si="5"/>
        <v>100</v>
      </c>
      <c r="X17" s="230"/>
      <c r="Y17" s="230"/>
      <c r="Z17" s="336"/>
    </row>
    <row r="18" spans="1:27" s="153" customFormat="1" ht="12" customHeight="1">
      <c r="A18" s="354" t="s">
        <v>1810</v>
      </c>
      <c r="B18" s="257">
        <v>445531</v>
      </c>
      <c r="C18" s="257">
        <v>58916</v>
      </c>
      <c r="D18" s="257">
        <v>864437</v>
      </c>
      <c r="E18" s="257">
        <v>50414</v>
      </c>
      <c r="F18" s="257">
        <v>3809</v>
      </c>
      <c r="G18" s="257">
        <v>369633</v>
      </c>
      <c r="H18" s="257">
        <v>567097</v>
      </c>
      <c r="I18" s="257">
        <v>285272</v>
      </c>
      <c r="J18" s="257">
        <v>44452</v>
      </c>
      <c r="K18" s="257">
        <v>41422</v>
      </c>
      <c r="L18" s="257">
        <v>129539</v>
      </c>
      <c r="M18" s="257">
        <v>340182</v>
      </c>
      <c r="N18" s="257">
        <v>6942</v>
      </c>
      <c r="O18" s="257">
        <v>31136</v>
      </c>
      <c r="P18" s="257">
        <v>127366</v>
      </c>
      <c r="Q18" s="257">
        <v>109514</v>
      </c>
      <c r="R18" s="257">
        <v>138207</v>
      </c>
      <c r="S18" s="257">
        <v>6074</v>
      </c>
      <c r="T18" s="257">
        <v>199886</v>
      </c>
      <c r="U18" s="255">
        <f>SUM(B18:T18)</f>
        <v>3819829</v>
      </c>
      <c r="V18" s="255">
        <v>151887</v>
      </c>
      <c r="W18" s="255">
        <f>U18+V18</f>
        <v>3971716</v>
      </c>
      <c r="X18" s="255">
        <v>157346</v>
      </c>
      <c r="Y18" s="255">
        <f>W18+X18</f>
        <v>4129062</v>
      </c>
      <c r="Z18" s="312" t="s">
        <v>1810</v>
      </c>
    </row>
    <row r="19" spans="1:27" s="153" customFormat="1" ht="12" customHeight="1">
      <c r="A19" s="1532"/>
      <c r="B19" s="891">
        <f>(B18/$W18)*100</f>
        <v>11.217594611497901</v>
      </c>
      <c r="C19" s="891">
        <f t="shared" si="5"/>
        <v>1.4833890439296262</v>
      </c>
      <c r="D19" s="891">
        <f t="shared" si="5"/>
        <v>21.764824071006082</v>
      </c>
      <c r="E19" s="891">
        <f t="shared" si="5"/>
        <v>1.2693253999027121</v>
      </c>
      <c r="F19" s="891">
        <f t="shared" si="5"/>
        <v>9.5903131039580869E-2</v>
      </c>
      <c r="G19" s="891">
        <f t="shared" si="5"/>
        <v>9.306632196259752</v>
      </c>
      <c r="H19" s="891">
        <f t="shared" si="5"/>
        <v>14.278387477855919</v>
      </c>
      <c r="I19" s="891">
        <f t="shared" si="5"/>
        <v>7.1825880803159148</v>
      </c>
      <c r="J19" s="891">
        <f t="shared" si="5"/>
        <v>1.1192139619247701</v>
      </c>
      <c r="K19" s="891">
        <f t="shared" si="5"/>
        <v>1.0429245192757992</v>
      </c>
      <c r="L19" s="891">
        <f t="shared" si="5"/>
        <v>3.261537330463709</v>
      </c>
      <c r="M19" s="891">
        <f t="shared" si="5"/>
        <v>8.565113920532081</v>
      </c>
      <c r="N19" s="891">
        <f t="shared" si="5"/>
        <v>0.17478591117793921</v>
      </c>
      <c r="O19" s="891">
        <f t="shared" si="5"/>
        <v>0.78394326281133897</v>
      </c>
      <c r="P19" s="891">
        <f t="shared" si="5"/>
        <v>3.2068254628477968</v>
      </c>
      <c r="Q19" s="891">
        <f t="shared" si="5"/>
        <v>2.7573472020658074</v>
      </c>
      <c r="R19" s="891">
        <f t="shared" si="5"/>
        <v>3.4797805281142966</v>
      </c>
      <c r="S19" s="891">
        <f t="shared" si="5"/>
        <v>0.15293137777222743</v>
      </c>
      <c r="T19" s="891">
        <f t="shared" si="5"/>
        <v>5.0327364796475882</v>
      </c>
      <c r="U19" s="891">
        <f t="shared" si="5"/>
        <v>96.17578396844084</v>
      </c>
      <c r="V19" s="891">
        <f t="shared" si="5"/>
        <v>3.8242160315591551</v>
      </c>
      <c r="W19" s="891">
        <f>(W18/$W18)*100</f>
        <v>100</v>
      </c>
      <c r="X19" s="230"/>
      <c r="Y19" s="230"/>
      <c r="Z19" s="336"/>
    </row>
    <row r="20" spans="1:27" s="153" customFormat="1" ht="12" customHeight="1">
      <c r="A20" s="354" t="s">
        <v>2056</v>
      </c>
      <c r="B20" s="257">
        <v>494158</v>
      </c>
      <c r="C20" s="257">
        <v>70244</v>
      </c>
      <c r="D20" s="257">
        <v>1003345</v>
      </c>
      <c r="E20" s="257">
        <v>55295</v>
      </c>
      <c r="F20" s="257">
        <v>4380</v>
      </c>
      <c r="G20" s="257">
        <v>420310</v>
      </c>
      <c r="H20" s="257">
        <v>647367</v>
      </c>
      <c r="I20" s="257">
        <v>324082</v>
      </c>
      <c r="J20" s="257">
        <v>51156</v>
      </c>
      <c r="K20" s="257">
        <v>47326</v>
      </c>
      <c r="L20" s="257">
        <v>144785</v>
      </c>
      <c r="M20" s="257">
        <v>373414</v>
      </c>
      <c r="N20" s="257">
        <v>8423</v>
      </c>
      <c r="O20" s="257">
        <v>37504</v>
      </c>
      <c r="P20" s="257">
        <v>147281</v>
      </c>
      <c r="Q20" s="257">
        <v>125974</v>
      </c>
      <c r="R20" s="257">
        <v>161533</v>
      </c>
      <c r="S20" s="257">
        <v>6912</v>
      </c>
      <c r="T20" s="257">
        <v>219599</v>
      </c>
      <c r="U20" s="257">
        <f>SUM(B20:T20)</f>
        <v>4343088</v>
      </c>
      <c r="V20" s="257">
        <v>147754</v>
      </c>
      <c r="W20" s="257">
        <f>U20+V20</f>
        <v>4490842</v>
      </c>
      <c r="X20" s="257">
        <v>179238</v>
      </c>
      <c r="Y20" s="257">
        <f>W20+X20</f>
        <v>4670080</v>
      </c>
      <c r="Z20" s="312" t="s">
        <v>2056</v>
      </c>
    </row>
    <row r="21" spans="1:27" s="153" customFormat="1" ht="12" customHeight="1">
      <c r="A21" s="1532"/>
      <c r="B21" s="891">
        <f>(B20/$W20)*100</f>
        <v>11.003682605622732</v>
      </c>
      <c r="C21" s="891">
        <f t="shared" ref="C21:W21" si="6">(C20/$W20)*100</f>
        <v>1.5641610192476154</v>
      </c>
      <c r="D21" s="891">
        <f t="shared" si="6"/>
        <v>22.342024056958586</v>
      </c>
      <c r="E21" s="891">
        <f t="shared" si="6"/>
        <v>1.2312835766655785</v>
      </c>
      <c r="F21" s="891">
        <f t="shared" si="6"/>
        <v>9.7531821426805929E-2</v>
      </c>
      <c r="G21" s="891">
        <f t="shared" si="6"/>
        <v>9.3592693753198173</v>
      </c>
      <c r="H21" s="891">
        <f t="shared" si="6"/>
        <v>14.415270009499331</v>
      </c>
      <c r="I21" s="891">
        <f t="shared" si="6"/>
        <v>7.2165086190963752</v>
      </c>
      <c r="J21" s="891">
        <f t="shared" si="6"/>
        <v>1.1391182321711608</v>
      </c>
      <c r="K21" s="891">
        <f t="shared" si="6"/>
        <v>1.0538335572705519</v>
      </c>
      <c r="L21" s="891">
        <f t="shared" si="6"/>
        <v>3.224005654173538</v>
      </c>
      <c r="M21" s="891">
        <f t="shared" si="6"/>
        <v>8.3150108598788375</v>
      </c>
      <c r="N21" s="891">
        <f t="shared" si="6"/>
        <v>0.18755948216392382</v>
      </c>
      <c r="O21" s="891">
        <f t="shared" si="6"/>
        <v>0.83512178785181046</v>
      </c>
      <c r="P21" s="891">
        <f t="shared" si="6"/>
        <v>3.279585431863334</v>
      </c>
      <c r="Q21" s="891">
        <f t="shared" si="6"/>
        <v>2.805130975438459</v>
      </c>
      <c r="R21" s="891">
        <f t="shared" si="6"/>
        <v>3.5969423996658092</v>
      </c>
      <c r="S21" s="891">
        <f t="shared" si="6"/>
        <v>0.15391323052558964</v>
      </c>
      <c r="T21" s="891">
        <f t="shared" si="6"/>
        <v>4.8899293272842819</v>
      </c>
      <c r="U21" s="891">
        <f t="shared" si="6"/>
        <v>96.709882022124134</v>
      </c>
      <c r="V21" s="891">
        <f t="shared" si="6"/>
        <v>3.2901179778758638</v>
      </c>
      <c r="W21" s="891">
        <f t="shared" si="6"/>
        <v>100</v>
      </c>
      <c r="X21" s="230"/>
      <c r="Y21" s="230"/>
      <c r="Z21" s="336"/>
      <c r="AA21" s="709"/>
    </row>
    <row r="22" spans="1:27" s="153" customFormat="1" ht="12" customHeight="1">
      <c r="A22" s="354" t="s">
        <v>2188</v>
      </c>
      <c r="B22" s="257">
        <v>558536</v>
      </c>
      <c r="C22" s="257">
        <v>73802</v>
      </c>
      <c r="D22" s="257">
        <v>1095229</v>
      </c>
      <c r="E22" s="257">
        <v>59646</v>
      </c>
      <c r="F22" s="257">
        <v>4708</v>
      </c>
      <c r="G22" s="257">
        <v>472379</v>
      </c>
      <c r="H22" s="257">
        <v>730353</v>
      </c>
      <c r="I22" s="257">
        <v>359554</v>
      </c>
      <c r="J22" s="257">
        <v>59718</v>
      </c>
      <c r="K22" s="257">
        <v>50188</v>
      </c>
      <c r="L22" s="257">
        <v>160769</v>
      </c>
      <c r="M22" s="257">
        <v>408979</v>
      </c>
      <c r="N22" s="257">
        <v>9907</v>
      </c>
      <c r="O22" s="257">
        <v>44634</v>
      </c>
      <c r="P22" s="257">
        <v>161463</v>
      </c>
      <c r="Q22" s="257">
        <v>147257</v>
      </c>
      <c r="R22" s="257">
        <v>186191</v>
      </c>
      <c r="S22" s="257">
        <v>7966</v>
      </c>
      <c r="T22" s="257">
        <v>245220</v>
      </c>
      <c r="U22" s="257">
        <v>4836497</v>
      </c>
      <c r="V22" s="257">
        <v>166157</v>
      </c>
      <c r="W22" s="257">
        <f>U22+V22</f>
        <v>5002654</v>
      </c>
      <c r="X22" s="257">
        <v>215427</v>
      </c>
      <c r="Y22" s="257">
        <f>W22+X22</f>
        <v>5218081</v>
      </c>
      <c r="Z22" s="312" t="s">
        <v>2188</v>
      </c>
      <c r="AA22" s="709"/>
    </row>
    <row r="23" spans="1:27" s="153" customFormat="1" ht="12" customHeight="1">
      <c r="A23" s="1532"/>
      <c r="B23" s="891">
        <f>(B22/$W22)*100</f>
        <v>11.164793727489448</v>
      </c>
      <c r="C23" s="891">
        <f t="shared" ref="C23:W27" si="7">(C22/$W22)*100</f>
        <v>1.4752569336196346</v>
      </c>
      <c r="D23" s="891">
        <f t="shared" si="7"/>
        <v>21.892959217247483</v>
      </c>
      <c r="E23" s="891">
        <f t="shared" si="7"/>
        <v>1.1922871339892787</v>
      </c>
      <c r="F23" s="891">
        <f t="shared" si="7"/>
        <v>9.4110046387377577E-2</v>
      </c>
      <c r="G23" s="891">
        <f t="shared" si="7"/>
        <v>9.4425678849666603</v>
      </c>
      <c r="H23" s="891">
        <f t="shared" si="7"/>
        <v>14.59931068588793</v>
      </c>
      <c r="I23" s="891">
        <f t="shared" si="7"/>
        <v>7.1872649997381393</v>
      </c>
      <c r="J23" s="891">
        <f t="shared" si="7"/>
        <v>1.1937263700427814</v>
      </c>
      <c r="K23" s="891">
        <f t="shared" si="7"/>
        <v>1.00322748684998</v>
      </c>
      <c r="L23" s="891">
        <f t="shared" si="7"/>
        <v>3.2136741817443304</v>
      </c>
      <c r="M23" s="891">
        <f t="shared" si="7"/>
        <v>8.1752405822989171</v>
      </c>
      <c r="N23" s="891">
        <f t="shared" si="7"/>
        <v>0.19803488308405898</v>
      </c>
      <c r="O23" s="891">
        <f t="shared" si="7"/>
        <v>0.89220641683394453</v>
      </c>
      <c r="P23" s="891">
        <f t="shared" si="7"/>
        <v>3.2275468181489262</v>
      </c>
      <c r="Q23" s="891">
        <f t="shared" si="7"/>
        <v>2.9435775490369709</v>
      </c>
      <c r="R23" s="891">
        <f t="shared" si="7"/>
        <v>3.7218444449686103</v>
      </c>
      <c r="S23" s="891">
        <f t="shared" si="7"/>
        <v>0.15923547780837932</v>
      </c>
      <c r="T23" s="891">
        <f t="shared" si="7"/>
        <v>4.9017981255549552</v>
      </c>
      <c r="U23" s="891">
        <f t="shared" si="7"/>
        <v>96.678622986918541</v>
      </c>
      <c r="V23" s="891">
        <f t="shared" si="7"/>
        <v>3.3213770130814564</v>
      </c>
      <c r="W23" s="891">
        <f t="shared" si="7"/>
        <v>100</v>
      </c>
      <c r="X23" s="230"/>
      <c r="Y23" s="230"/>
      <c r="Z23" s="336"/>
      <c r="AA23" s="709"/>
    </row>
    <row r="24" spans="1:27" s="153" customFormat="1" ht="12" customHeight="1">
      <c r="A24" s="354" t="s">
        <v>2439</v>
      </c>
      <c r="B24" s="257">
        <v>630038</v>
      </c>
      <c r="C24" s="257">
        <v>76882</v>
      </c>
      <c r="D24" s="257">
        <v>1237649</v>
      </c>
      <c r="E24" s="257">
        <v>66399</v>
      </c>
      <c r="F24" s="257">
        <v>4947</v>
      </c>
      <c r="G24" s="257">
        <v>490752</v>
      </c>
      <c r="H24" s="257">
        <v>820008</v>
      </c>
      <c r="I24" s="257">
        <v>398253</v>
      </c>
      <c r="J24" s="257">
        <v>68947</v>
      </c>
      <c r="K24" s="257">
        <v>54205</v>
      </c>
      <c r="L24" s="257">
        <v>179561</v>
      </c>
      <c r="M24" s="257">
        <v>445040</v>
      </c>
      <c r="N24" s="257">
        <v>11952</v>
      </c>
      <c r="O24" s="257">
        <v>54597</v>
      </c>
      <c r="P24" s="257">
        <v>172852</v>
      </c>
      <c r="Q24" s="257">
        <v>169656</v>
      </c>
      <c r="R24" s="257">
        <v>217022</v>
      </c>
      <c r="S24" s="257">
        <v>9193</v>
      </c>
      <c r="T24" s="257">
        <v>273962</v>
      </c>
      <c r="U24" s="257">
        <v>5381915</v>
      </c>
      <c r="V24" s="257">
        <v>133111</v>
      </c>
      <c r="W24" s="257">
        <f>U24+V24</f>
        <v>5515026</v>
      </c>
      <c r="X24" s="257">
        <v>302809</v>
      </c>
      <c r="Y24" s="257">
        <f>W24+X24</f>
        <v>5817835</v>
      </c>
      <c r="Z24" s="312" t="s">
        <v>2439</v>
      </c>
      <c r="AA24" s="709"/>
    </row>
    <row r="25" spans="1:27" s="153" customFormat="1" ht="12" customHeight="1">
      <c r="A25" s="1669"/>
      <c r="B25" s="891">
        <f>(B24/$W24)*100</f>
        <v>11.424025924809783</v>
      </c>
      <c r="C25" s="891">
        <f t="shared" ref="C25:W25" si="8">(C24/$W24)*100</f>
        <v>1.3940460117504434</v>
      </c>
      <c r="D25" s="891">
        <f t="shared" si="8"/>
        <v>22.441399188326582</v>
      </c>
      <c r="E25" s="891">
        <f t="shared" si="8"/>
        <v>1.2039653122215561</v>
      </c>
      <c r="F25" s="891">
        <f t="shared" si="8"/>
        <v>8.9700393071582979E-2</v>
      </c>
      <c r="G25" s="891">
        <f t="shared" si="8"/>
        <v>8.8984530625966229</v>
      </c>
      <c r="H25" s="891">
        <f t="shared" si="8"/>
        <v>14.868615306618683</v>
      </c>
      <c r="I25" s="891">
        <f t="shared" si="8"/>
        <v>7.2212352217378486</v>
      </c>
      <c r="J25" s="891">
        <f t="shared" si="8"/>
        <v>1.2501663636762548</v>
      </c>
      <c r="K25" s="891">
        <f t="shared" si="8"/>
        <v>0.98286028025978478</v>
      </c>
      <c r="L25" s="891">
        <f t="shared" si="8"/>
        <v>3.2558504710585225</v>
      </c>
      <c r="M25" s="891">
        <f t="shared" si="8"/>
        <v>8.0695902430922359</v>
      </c>
      <c r="N25" s="891">
        <f t="shared" si="8"/>
        <v>0.21671702001042242</v>
      </c>
      <c r="O25" s="891">
        <f t="shared" si="8"/>
        <v>0.9899681343297384</v>
      </c>
      <c r="P25" s="891">
        <f t="shared" si="8"/>
        <v>3.1342009992337299</v>
      </c>
      <c r="Q25" s="891">
        <f t="shared" si="8"/>
        <v>3.076250229826659</v>
      </c>
      <c r="R25" s="891">
        <f t="shared" si="8"/>
        <v>3.9351038417588602</v>
      </c>
      <c r="S25" s="891">
        <f t="shared" si="8"/>
        <v>0.16669005730888667</v>
      </c>
      <c r="T25" s="891">
        <f t="shared" si="8"/>
        <v>4.9675559099812041</v>
      </c>
      <c r="U25" s="891">
        <f t="shared" si="8"/>
        <v>97.586393971669395</v>
      </c>
      <c r="V25" s="891">
        <f t="shared" si="8"/>
        <v>2.4136060283306007</v>
      </c>
      <c r="W25" s="891">
        <f t="shared" si="8"/>
        <v>100</v>
      </c>
      <c r="X25" s="230"/>
      <c r="Y25" s="230"/>
      <c r="Z25" s="336"/>
      <c r="AA25" s="709"/>
    </row>
    <row r="26" spans="1:27" ht="12" customHeight="1">
      <c r="A26" s="354" t="s">
        <v>2927</v>
      </c>
      <c r="B26" s="257">
        <v>703680.4</v>
      </c>
      <c r="C26" s="257">
        <v>86329</v>
      </c>
      <c r="D26" s="257">
        <v>1345466.9</v>
      </c>
      <c r="E26" s="257">
        <v>76029.7</v>
      </c>
      <c r="F26" s="257">
        <v>5383.8</v>
      </c>
      <c r="G26" s="257">
        <v>516225.6</v>
      </c>
      <c r="H26" s="257">
        <v>898437.4</v>
      </c>
      <c r="I26" s="257">
        <v>449167.3</v>
      </c>
      <c r="J26" s="257">
        <v>78327.899999999994</v>
      </c>
      <c r="K26" s="257">
        <v>58663.4</v>
      </c>
      <c r="L26" s="257">
        <v>198120.2</v>
      </c>
      <c r="M26" s="257">
        <v>477314.6</v>
      </c>
      <c r="N26" s="257">
        <v>15094</v>
      </c>
      <c r="O26" s="257">
        <v>70554.2</v>
      </c>
      <c r="P26" s="257">
        <v>198250.2</v>
      </c>
      <c r="Q26" s="257">
        <v>195319.3</v>
      </c>
      <c r="R26" s="257">
        <v>250262.6</v>
      </c>
      <c r="S26" s="257">
        <v>10638.5</v>
      </c>
      <c r="T26" s="257">
        <v>306048.7</v>
      </c>
      <c r="U26" s="257">
        <v>5939313.7000000002</v>
      </c>
      <c r="V26" s="257">
        <v>180895.7</v>
      </c>
      <c r="W26" s="257">
        <f>U26+V26</f>
        <v>6120209.4000000004</v>
      </c>
      <c r="X26" s="257">
        <v>328214.40000000002</v>
      </c>
      <c r="Y26" s="257">
        <f>W26+X26</f>
        <v>6448423.8000000007</v>
      </c>
      <c r="Z26" s="312" t="s">
        <v>2927</v>
      </c>
    </row>
    <row r="27" spans="1:27" s="153" customFormat="1" ht="12" customHeight="1">
      <c r="A27" s="1532"/>
      <c r="B27" s="891">
        <f>(B26/$W26)*100</f>
        <v>11.497652351568231</v>
      </c>
      <c r="C27" s="891">
        <f t="shared" si="7"/>
        <v>1.4105563120111544</v>
      </c>
      <c r="D27" s="891">
        <f t="shared" si="7"/>
        <v>21.984001070290173</v>
      </c>
      <c r="E27" s="891">
        <f t="shared" si="7"/>
        <v>1.2422728542588755</v>
      </c>
      <c r="F27" s="891">
        <f t="shared" si="7"/>
        <v>8.7967578364230484E-2</v>
      </c>
      <c r="G27" s="891">
        <f t="shared" si="7"/>
        <v>8.4347702220776952</v>
      </c>
      <c r="H27" s="891">
        <f t="shared" si="7"/>
        <v>14.679847392149686</v>
      </c>
      <c r="I27" s="891">
        <f t="shared" si="7"/>
        <v>7.339083855529517</v>
      </c>
      <c r="J27" s="891">
        <f t="shared" si="7"/>
        <v>1.2798238570072455</v>
      </c>
      <c r="K27" s="891">
        <f t="shared" si="7"/>
        <v>0.95851949117950108</v>
      </c>
      <c r="L27" s="891">
        <f t="shared" si="7"/>
        <v>3.2371474087144794</v>
      </c>
      <c r="M27" s="891">
        <f t="shared" si="7"/>
        <v>7.798991322094305</v>
      </c>
      <c r="N27" s="891">
        <f t="shared" si="7"/>
        <v>0.24662554846571097</v>
      </c>
      <c r="O27" s="891">
        <f t="shared" si="7"/>
        <v>1.1528069611474405</v>
      </c>
      <c r="P27" s="891">
        <f t="shared" si="7"/>
        <v>3.2392715190431227</v>
      </c>
      <c r="Q27" s="891">
        <f t="shared" si="7"/>
        <v>3.1913826347183476</v>
      </c>
      <c r="R27" s="891">
        <f t="shared" si="7"/>
        <v>4.0891182579471872</v>
      </c>
      <c r="S27" s="891">
        <f t="shared" si="7"/>
        <v>0.17382575177901594</v>
      </c>
      <c r="T27" s="891">
        <f t="shared" si="7"/>
        <v>5.0006246518297237</v>
      </c>
      <c r="U27" s="891">
        <f t="shared" si="7"/>
        <v>97.044289040175642</v>
      </c>
      <c r="V27" s="891">
        <f t="shared" si="7"/>
        <v>2.9557109598243483</v>
      </c>
      <c r="W27" s="891">
        <f t="shared" si="7"/>
        <v>100</v>
      </c>
      <c r="X27" s="230"/>
      <c r="Y27" s="230"/>
      <c r="Z27" s="336"/>
    </row>
    <row r="28" spans="1:27" ht="12" customHeight="1">
      <c r="A28" s="1534" t="s">
        <v>1951</v>
      </c>
      <c r="B28" s="550"/>
      <c r="C28" s="550"/>
      <c r="D28" s="550"/>
      <c r="E28" s="550"/>
      <c r="F28" s="550"/>
      <c r="G28" s="550"/>
      <c r="H28" s="550"/>
      <c r="I28" s="550"/>
      <c r="J28" s="550"/>
      <c r="K28" s="550"/>
      <c r="L28" s="550"/>
      <c r="M28" s="550"/>
      <c r="N28" s="550"/>
      <c r="O28" s="550"/>
      <c r="P28" s="550"/>
      <c r="Q28" s="550"/>
      <c r="R28" s="550"/>
      <c r="S28" s="550"/>
      <c r="T28" s="550"/>
      <c r="U28" s="550"/>
      <c r="V28" s="550"/>
      <c r="W28" s="550"/>
      <c r="X28" s="255"/>
      <c r="Y28" s="255"/>
      <c r="Z28" s="312"/>
    </row>
    <row r="29" spans="1:27" s="153" customFormat="1" ht="12" customHeight="1">
      <c r="A29" s="1532" t="s">
        <v>1154</v>
      </c>
      <c r="B29" s="230">
        <v>279505</v>
      </c>
      <c r="C29" s="230">
        <v>33052</v>
      </c>
      <c r="D29" s="230">
        <v>422387</v>
      </c>
      <c r="E29" s="230">
        <v>24555</v>
      </c>
      <c r="F29" s="230">
        <v>2103</v>
      </c>
      <c r="G29" s="230">
        <v>162843</v>
      </c>
      <c r="H29" s="230">
        <v>288510</v>
      </c>
      <c r="I29" s="230">
        <v>158030</v>
      </c>
      <c r="J29" s="230">
        <v>23886</v>
      </c>
      <c r="K29" s="230">
        <v>24833</v>
      </c>
      <c r="L29" s="230">
        <v>65072</v>
      </c>
      <c r="M29" s="230">
        <v>192509</v>
      </c>
      <c r="N29" s="230">
        <v>3906</v>
      </c>
      <c r="O29" s="230">
        <v>14244</v>
      </c>
      <c r="P29" s="230">
        <v>66730</v>
      </c>
      <c r="Q29" s="230">
        <v>54479</v>
      </c>
      <c r="R29" s="230">
        <v>54600</v>
      </c>
      <c r="S29" s="230">
        <v>3007</v>
      </c>
      <c r="T29" s="230">
        <v>113176</v>
      </c>
      <c r="U29" s="230">
        <f>SUM(B29:T29)</f>
        <v>1987427</v>
      </c>
      <c r="V29" s="230">
        <v>88394</v>
      </c>
      <c r="W29" s="230">
        <f>U29+V29</f>
        <v>2075821</v>
      </c>
      <c r="X29" s="230">
        <v>97254</v>
      </c>
      <c r="Y29" s="230">
        <f>W29+X29</f>
        <v>2173075</v>
      </c>
      <c r="Z29" s="336" t="s">
        <v>1154</v>
      </c>
    </row>
    <row r="30" spans="1:27" ht="12" customHeight="1">
      <c r="A30" s="354"/>
      <c r="B30" s="550">
        <f t="shared" ref="B30:W30" si="9">(B29/$W29)*100</f>
        <v>13.464792966252869</v>
      </c>
      <c r="C30" s="550">
        <f t="shared" si="9"/>
        <v>1.592237480977406</v>
      </c>
      <c r="D30" s="550">
        <f t="shared" si="9"/>
        <v>20.347949076534057</v>
      </c>
      <c r="E30" s="550">
        <f t="shared" si="9"/>
        <v>1.1829054624652124</v>
      </c>
      <c r="F30" s="550">
        <f t="shared" si="9"/>
        <v>0.10130931327893879</v>
      </c>
      <c r="G30" s="550">
        <f t="shared" si="9"/>
        <v>7.8447515464965427</v>
      </c>
      <c r="H30" s="550">
        <f t="shared" si="9"/>
        <v>13.898597229722601</v>
      </c>
      <c r="I30" s="550">
        <f t="shared" si="9"/>
        <v>7.6128914776370404</v>
      </c>
      <c r="J30" s="550">
        <f t="shared" si="9"/>
        <v>1.1506772501097158</v>
      </c>
      <c r="K30" s="550">
        <f t="shared" si="9"/>
        <v>1.1962977539970931</v>
      </c>
      <c r="L30" s="550">
        <f t="shared" si="9"/>
        <v>3.1347596926709964</v>
      </c>
      <c r="M30" s="550">
        <f t="shared" si="9"/>
        <v>9.2738728435640638</v>
      </c>
      <c r="N30" s="550">
        <f t="shared" si="9"/>
        <v>0.18816651339397761</v>
      </c>
      <c r="O30" s="550">
        <f t="shared" si="9"/>
        <v>0.68618633302197063</v>
      </c>
      <c r="P30" s="550">
        <f t="shared" si="9"/>
        <v>3.2146317047568167</v>
      </c>
      <c r="Q30" s="550">
        <f t="shared" si="9"/>
        <v>2.6244555768536881</v>
      </c>
      <c r="R30" s="550">
        <f>(R29/$W29)*100</f>
        <v>2.6302845958297945</v>
      </c>
      <c r="S30" s="550">
        <f>(S29/$W29)*100</f>
        <v>0.14485834761282404</v>
      </c>
      <c r="T30" s="550">
        <f t="shared" si="9"/>
        <v>5.4521078647918104</v>
      </c>
      <c r="U30" s="550">
        <f t="shared" si="9"/>
        <v>95.741733029967421</v>
      </c>
      <c r="V30" s="550">
        <f t="shared" si="9"/>
        <v>4.2582669700325804</v>
      </c>
      <c r="W30" s="550">
        <f t="shared" si="9"/>
        <v>100</v>
      </c>
      <c r="X30" s="255"/>
      <c r="Y30" s="255"/>
      <c r="Z30" s="312"/>
    </row>
    <row r="31" spans="1:27" s="153" customFormat="1" ht="12" customHeight="1">
      <c r="A31" s="1532" t="s">
        <v>1178</v>
      </c>
      <c r="B31" s="230">
        <v>288438</v>
      </c>
      <c r="C31" s="230">
        <v>38766</v>
      </c>
      <c r="D31" s="230">
        <v>452319</v>
      </c>
      <c r="E31" s="230">
        <v>26291</v>
      </c>
      <c r="F31" s="230">
        <v>2180</v>
      </c>
      <c r="G31" s="230">
        <v>178734</v>
      </c>
      <c r="H31" s="230">
        <v>312225</v>
      </c>
      <c r="I31" s="230">
        <v>167710</v>
      </c>
      <c r="J31" s="230">
        <v>25173</v>
      </c>
      <c r="K31" s="230">
        <v>26907</v>
      </c>
      <c r="L31" s="230">
        <v>68524</v>
      </c>
      <c r="M31" s="230">
        <v>198921</v>
      </c>
      <c r="N31" s="230">
        <v>4061</v>
      </c>
      <c r="O31" s="230">
        <v>15155</v>
      </c>
      <c r="P31" s="230">
        <v>74220</v>
      </c>
      <c r="Q31" s="230">
        <v>57722</v>
      </c>
      <c r="R31" s="230">
        <v>60242</v>
      </c>
      <c r="S31" s="230">
        <v>3157</v>
      </c>
      <c r="T31" s="230">
        <v>116731</v>
      </c>
      <c r="U31" s="230">
        <f>SUM(B31:T31)</f>
        <v>2117476</v>
      </c>
      <c r="V31" s="230">
        <v>95147</v>
      </c>
      <c r="W31" s="230">
        <f>U31+V31</f>
        <v>2212623</v>
      </c>
      <c r="X31" s="230">
        <v>76394</v>
      </c>
      <c r="Y31" s="230">
        <f>W31+X31</f>
        <v>2289017</v>
      </c>
      <c r="Z31" s="336" t="s">
        <v>1178</v>
      </c>
    </row>
    <row r="32" spans="1:27" ht="12" customHeight="1">
      <c r="A32" s="354"/>
      <c r="B32" s="550">
        <f t="shared" ref="B32:W32" si="10">(B31/$W31)*100</f>
        <v>13.036021048321381</v>
      </c>
      <c r="C32" s="550">
        <f t="shared" si="10"/>
        <v>1.7520381917751011</v>
      </c>
      <c r="D32" s="550">
        <f t="shared" si="10"/>
        <v>20.442660136860187</v>
      </c>
      <c r="E32" s="550">
        <f t="shared" si="10"/>
        <v>1.1882277279048443</v>
      </c>
      <c r="F32" s="550">
        <f t="shared" si="10"/>
        <v>9.8525596091155146E-2</v>
      </c>
      <c r="G32" s="550">
        <f t="shared" si="10"/>
        <v>8.0779238035580381</v>
      </c>
      <c r="H32" s="550">
        <f t="shared" si="10"/>
        <v>14.111079926404091</v>
      </c>
      <c r="I32" s="550">
        <f t="shared" si="10"/>
        <v>7.5796916148842346</v>
      </c>
      <c r="J32" s="550">
        <f t="shared" si="10"/>
        <v>1.1376994634874535</v>
      </c>
      <c r="K32" s="550">
        <f t="shared" si="10"/>
        <v>1.2160679880847303</v>
      </c>
      <c r="L32" s="550">
        <f t="shared" si="10"/>
        <v>3.0969577736469338</v>
      </c>
      <c r="M32" s="550">
        <f t="shared" si="10"/>
        <v>8.9902798624076485</v>
      </c>
      <c r="N32" s="550">
        <f t="shared" si="10"/>
        <v>0.18353781914045006</v>
      </c>
      <c r="O32" s="550">
        <f t="shared" si="10"/>
        <v>0.68493367374378744</v>
      </c>
      <c r="P32" s="550">
        <f t="shared" si="10"/>
        <v>3.3543897898557504</v>
      </c>
      <c r="Q32" s="550">
        <f t="shared" si="10"/>
        <v>2.6087589254925039</v>
      </c>
      <c r="R32" s="550">
        <f t="shared" si="10"/>
        <v>2.7226508989556737</v>
      </c>
      <c r="S32" s="550">
        <f t="shared" si="10"/>
        <v>0.14268133342191597</v>
      </c>
      <c r="T32" s="550">
        <f t="shared" si="10"/>
        <v>5.2756841088608404</v>
      </c>
      <c r="U32" s="550">
        <f t="shared" si="10"/>
        <v>95.699809682896714</v>
      </c>
      <c r="V32" s="550">
        <f t="shared" si="10"/>
        <v>4.3001903171032749</v>
      </c>
      <c r="W32" s="550">
        <f t="shared" si="10"/>
        <v>100</v>
      </c>
      <c r="X32" s="255"/>
      <c r="Y32" s="255"/>
      <c r="Z32" s="312"/>
    </row>
    <row r="33" spans="1:26" s="153" customFormat="1" ht="12" customHeight="1">
      <c r="A33" s="1532" t="s">
        <v>1298</v>
      </c>
      <c r="B33" s="230">
        <v>298662</v>
      </c>
      <c r="C33" s="230">
        <v>42469</v>
      </c>
      <c r="D33" s="230">
        <v>499598</v>
      </c>
      <c r="E33" s="230">
        <v>28466</v>
      </c>
      <c r="F33" s="230">
        <v>2244</v>
      </c>
      <c r="G33" s="230">
        <v>196710</v>
      </c>
      <c r="H33" s="230">
        <v>339505</v>
      </c>
      <c r="I33" s="338">
        <v>179010</v>
      </c>
      <c r="J33" s="230">
        <v>26564</v>
      </c>
      <c r="K33" s="230">
        <v>28728</v>
      </c>
      <c r="L33" s="230">
        <v>73278</v>
      </c>
      <c r="M33" s="230">
        <v>205841</v>
      </c>
      <c r="N33" s="230">
        <v>4227</v>
      </c>
      <c r="O33" s="230">
        <v>16329</v>
      </c>
      <c r="P33" s="230">
        <v>80656</v>
      </c>
      <c r="Q33" s="230">
        <v>61120</v>
      </c>
      <c r="R33" s="230">
        <v>65783</v>
      </c>
      <c r="S33" s="230">
        <v>3322</v>
      </c>
      <c r="T33" s="230">
        <v>120489</v>
      </c>
      <c r="U33" s="230">
        <f>SUM(B33:T33)</f>
        <v>2273001</v>
      </c>
      <c r="V33" s="230">
        <v>101573</v>
      </c>
      <c r="W33" s="230">
        <f>U33+V33</f>
        <v>2374574</v>
      </c>
      <c r="X33" s="230">
        <v>94959</v>
      </c>
      <c r="Y33" s="230">
        <f>W33+X33</f>
        <v>2469533</v>
      </c>
      <c r="Z33" s="336" t="s">
        <v>1298</v>
      </c>
    </row>
    <row r="34" spans="1:26" ht="12" customHeight="1">
      <c r="A34" s="354"/>
      <c r="B34" s="550">
        <f t="shared" ref="B34:W34" si="11">(B33/$W33)*100</f>
        <v>12.577498111240162</v>
      </c>
      <c r="C34" s="550">
        <f t="shared" si="11"/>
        <v>1.7884892195400102</v>
      </c>
      <c r="D34" s="550">
        <f t="shared" si="11"/>
        <v>21.039479081300478</v>
      </c>
      <c r="E34" s="550">
        <f t="shared" si="11"/>
        <v>1.1987834449463357</v>
      </c>
      <c r="F34" s="550">
        <f t="shared" si="11"/>
        <v>9.4501161050361021E-2</v>
      </c>
      <c r="G34" s="550">
        <f t="shared" si="11"/>
        <v>8.2840122059788417</v>
      </c>
      <c r="H34" s="550">
        <f t="shared" si="11"/>
        <v>14.297511890553844</v>
      </c>
      <c r="I34" s="550">
        <f t="shared" si="11"/>
        <v>7.5386153474265276</v>
      </c>
      <c r="J34" s="550">
        <f t="shared" si="11"/>
        <v>1.1186848672646126</v>
      </c>
      <c r="K34" s="550">
        <f t="shared" si="11"/>
        <v>1.2098170029655846</v>
      </c>
      <c r="L34" s="550">
        <f t="shared" si="11"/>
        <v>3.0859429944065755</v>
      </c>
      <c r="M34" s="550">
        <f t="shared" si="11"/>
        <v>8.6685443367947261</v>
      </c>
      <c r="N34" s="550">
        <f t="shared" si="11"/>
        <v>0.1780108768983405</v>
      </c>
      <c r="O34" s="550">
        <f t="shared" si="11"/>
        <v>0.68766018662715922</v>
      </c>
      <c r="P34" s="550">
        <f t="shared" si="11"/>
        <v>3.3966513572539747</v>
      </c>
      <c r="Q34" s="550">
        <f t="shared" si="11"/>
        <v>2.5739353669331848</v>
      </c>
      <c r="R34" s="550">
        <f t="shared" si="11"/>
        <v>2.7703074319856951</v>
      </c>
      <c r="S34" s="550">
        <f t="shared" si="11"/>
        <v>0.1398987776333776</v>
      </c>
      <c r="T34" s="550">
        <f t="shared" si="11"/>
        <v>5.0741311915316185</v>
      </c>
      <c r="U34" s="550">
        <f t="shared" si="11"/>
        <v>95.722474852331402</v>
      </c>
      <c r="V34" s="550">
        <f t="shared" si="11"/>
        <v>4.2775251476685918</v>
      </c>
      <c r="W34" s="550">
        <f t="shared" si="11"/>
        <v>100</v>
      </c>
      <c r="X34" s="255"/>
      <c r="Y34" s="255"/>
      <c r="Z34" s="312"/>
    </row>
    <row r="35" spans="1:26" s="153" customFormat="1" ht="12" customHeight="1">
      <c r="A35" s="1532" t="s">
        <v>1407</v>
      </c>
      <c r="B35" s="230">
        <v>308399.90000000002</v>
      </c>
      <c r="C35" s="230">
        <v>47271</v>
      </c>
      <c r="D35" s="230">
        <v>561220</v>
      </c>
      <c r="E35" s="230">
        <v>30812</v>
      </c>
      <c r="F35" s="230">
        <v>2386</v>
      </c>
      <c r="G35" s="230">
        <v>217314</v>
      </c>
      <c r="H35" s="230">
        <v>369561</v>
      </c>
      <c r="I35" s="230">
        <v>191556</v>
      </c>
      <c r="J35" s="338">
        <v>28061</v>
      </c>
      <c r="K35" s="230">
        <v>30842</v>
      </c>
      <c r="L35" s="230">
        <v>79324</v>
      </c>
      <c r="M35" s="230">
        <v>213268</v>
      </c>
      <c r="N35" s="230">
        <v>4403</v>
      </c>
      <c r="O35" s="230">
        <v>17663</v>
      </c>
      <c r="P35" s="230">
        <v>85890</v>
      </c>
      <c r="Q35" s="230">
        <v>65434</v>
      </c>
      <c r="R35" s="230">
        <v>73809</v>
      </c>
      <c r="S35" s="230">
        <v>3504</v>
      </c>
      <c r="T35" s="230">
        <v>124429</v>
      </c>
      <c r="U35" s="230">
        <f>SUM(B35:T35)</f>
        <v>2455146.9</v>
      </c>
      <c r="V35" s="230">
        <v>106588</v>
      </c>
      <c r="W35" s="230">
        <f>U35+V35</f>
        <v>2561734.9</v>
      </c>
      <c r="X35" s="230">
        <v>104932</v>
      </c>
      <c r="Y35" s="230">
        <f>W35+X35</f>
        <v>2666666.9</v>
      </c>
      <c r="Z35" s="336" t="s">
        <v>1407</v>
      </c>
    </row>
    <row r="36" spans="1:26" ht="12" customHeight="1">
      <c r="A36" s="354"/>
      <c r="B36" s="550">
        <f t="shared" ref="B36:W36" si="12">(B35/$W35)*100</f>
        <v>12.038712514710246</v>
      </c>
      <c r="C36" s="550">
        <f t="shared" si="12"/>
        <v>1.8452729047022003</v>
      </c>
      <c r="D36" s="550">
        <f t="shared" si="12"/>
        <v>21.907809430241983</v>
      </c>
      <c r="E36" s="550">
        <f t="shared" si="12"/>
        <v>1.2027786325587397</v>
      </c>
      <c r="F36" s="550">
        <f t="shared" si="12"/>
        <v>9.314000445557423E-2</v>
      </c>
      <c r="G36" s="550">
        <f t="shared" si="12"/>
        <v>8.4830791820027915</v>
      </c>
      <c r="H36" s="550">
        <f t="shared" si="12"/>
        <v>14.426199994386618</v>
      </c>
      <c r="I36" s="550">
        <f t="shared" si="12"/>
        <v>7.4775887231735032</v>
      </c>
      <c r="J36" s="550">
        <f t="shared" si="12"/>
        <v>1.095390471512099</v>
      </c>
      <c r="K36" s="550">
        <f t="shared" si="12"/>
        <v>1.2039497139223891</v>
      </c>
      <c r="L36" s="550">
        <f t="shared" si="12"/>
        <v>3.0964952696705659</v>
      </c>
      <c r="M36" s="550">
        <f t="shared" si="12"/>
        <v>8.3251393420919548</v>
      </c>
      <c r="N36" s="550">
        <f t="shared" si="12"/>
        <v>0.17187570813826208</v>
      </c>
      <c r="O36" s="550">
        <f t="shared" si="12"/>
        <v>0.68949367087125213</v>
      </c>
      <c r="P36" s="550">
        <f t="shared" si="12"/>
        <v>3.3528059441279421</v>
      </c>
      <c r="Q36" s="550">
        <f t="shared" si="12"/>
        <v>2.5542845983009403</v>
      </c>
      <c r="R36" s="550">
        <f t="shared" si="12"/>
        <v>2.8812114789863696</v>
      </c>
      <c r="S36" s="550">
        <f t="shared" si="12"/>
        <v>0.1367823032742381</v>
      </c>
      <c r="T36" s="550">
        <f t="shared" si="12"/>
        <v>4.8572160999172862</v>
      </c>
      <c r="U36" s="550">
        <f t="shared" si="12"/>
        <v>95.839225987044955</v>
      </c>
      <c r="V36" s="550">
        <f t="shared" si="12"/>
        <v>4.1607740129550486</v>
      </c>
      <c r="W36" s="550">
        <f t="shared" si="12"/>
        <v>100</v>
      </c>
      <c r="X36" s="255"/>
      <c r="Y36" s="255"/>
      <c r="Z36" s="312"/>
    </row>
    <row r="37" spans="1:26" s="153" customFormat="1" ht="12" customHeight="1">
      <c r="A37" s="1532" t="s">
        <v>1487</v>
      </c>
      <c r="B37" s="230">
        <v>318950</v>
      </c>
      <c r="C37" s="230">
        <v>48765</v>
      </c>
      <c r="D37" s="230">
        <v>570654</v>
      </c>
      <c r="E37" s="230">
        <v>31020</v>
      </c>
      <c r="F37" s="230">
        <v>2438</v>
      </c>
      <c r="G37" s="230">
        <v>237146</v>
      </c>
      <c r="H37" s="230">
        <v>381439</v>
      </c>
      <c r="I37" s="230">
        <v>194870</v>
      </c>
      <c r="J37" s="230">
        <v>28535</v>
      </c>
      <c r="K37" s="230">
        <v>32868</v>
      </c>
      <c r="L37" s="230">
        <v>83068</v>
      </c>
      <c r="M37" s="230">
        <v>221109</v>
      </c>
      <c r="N37" s="230">
        <v>4552</v>
      </c>
      <c r="O37" s="230">
        <v>18781</v>
      </c>
      <c r="P37" s="230">
        <v>90602</v>
      </c>
      <c r="Q37" s="230">
        <v>68924</v>
      </c>
      <c r="R37" s="230">
        <v>81704</v>
      </c>
      <c r="S37" s="230">
        <v>3695</v>
      </c>
      <c r="T37" s="230">
        <v>128242</v>
      </c>
      <c r="U37" s="230">
        <f>SUM(B37:T37)</f>
        <v>2547362</v>
      </c>
      <c r="V37" s="230">
        <v>102703</v>
      </c>
      <c r="W37" s="230">
        <f>U37+V37</f>
        <v>2650065</v>
      </c>
      <c r="X37" s="230">
        <v>109691</v>
      </c>
      <c r="Y37" s="230">
        <f>W37+X37</f>
        <v>2759756</v>
      </c>
      <c r="Z37" s="336" t="s">
        <v>1487</v>
      </c>
    </row>
    <row r="38" spans="1:26" ht="12" customHeight="1">
      <c r="A38" s="354"/>
      <c r="B38" s="550">
        <f t="shared" ref="B38:W38" si="13">(B37/$W37)*100</f>
        <v>12.035553844905692</v>
      </c>
      <c r="C38" s="550">
        <f t="shared" si="13"/>
        <v>1.8401435436489293</v>
      </c>
      <c r="D38" s="550">
        <f t="shared" si="13"/>
        <v>21.533585025272963</v>
      </c>
      <c r="E38" s="550">
        <f t="shared" si="13"/>
        <v>1.1705373264429364</v>
      </c>
      <c r="F38" s="550">
        <f t="shared" si="13"/>
        <v>9.1997743451575714E-2</v>
      </c>
      <c r="G38" s="550">
        <f t="shared" si="13"/>
        <v>8.9486861643016304</v>
      </c>
      <c r="H38" s="550">
        <f t="shared" si="13"/>
        <v>14.393571478435435</v>
      </c>
      <c r="I38" s="550">
        <f t="shared" si="13"/>
        <v>7.3534045391339458</v>
      </c>
      <c r="J38" s="550">
        <f t="shared" si="13"/>
        <v>1.0767660415876592</v>
      </c>
      <c r="K38" s="550">
        <f t="shared" si="13"/>
        <v>1.2402714650395368</v>
      </c>
      <c r="L38" s="550">
        <f t="shared" si="13"/>
        <v>3.1345646238865843</v>
      </c>
      <c r="M38" s="550">
        <f t="shared" si="13"/>
        <v>8.3435311964046157</v>
      </c>
      <c r="N38" s="550">
        <f t="shared" si="13"/>
        <v>0.17176937169465653</v>
      </c>
      <c r="O38" s="550">
        <f t="shared" si="13"/>
        <v>0.7086995979343903</v>
      </c>
      <c r="P38" s="550">
        <f t="shared" si="13"/>
        <v>3.418859537407573</v>
      </c>
      <c r="Q38" s="550">
        <f t="shared" si="13"/>
        <v>2.6008418661429058</v>
      </c>
      <c r="R38" s="550">
        <f t="shared" si="13"/>
        <v>3.0830941882557599</v>
      </c>
      <c r="S38" s="550">
        <f t="shared" si="13"/>
        <v>0.13943054226971791</v>
      </c>
      <c r="T38" s="550">
        <f t="shared" si="13"/>
        <v>4.8392020573080288</v>
      </c>
      <c r="U38" s="550">
        <f t="shared" si="13"/>
        <v>96.12451015352454</v>
      </c>
      <c r="V38" s="550">
        <f t="shared" si="13"/>
        <v>3.8754898464754639</v>
      </c>
      <c r="W38" s="550">
        <f t="shared" si="13"/>
        <v>100</v>
      </c>
      <c r="X38" s="255"/>
      <c r="Y38" s="255"/>
      <c r="Z38" s="312"/>
    </row>
    <row r="39" spans="1:26" ht="12" customHeight="1">
      <c r="A39" s="1532" t="s">
        <v>1539</v>
      </c>
      <c r="B39" s="338">
        <v>329075</v>
      </c>
      <c r="C39" s="338">
        <v>51932</v>
      </c>
      <c r="D39" s="338">
        <v>636764</v>
      </c>
      <c r="E39" s="338">
        <v>33980</v>
      </c>
      <c r="F39" s="338">
        <v>2599</v>
      </c>
      <c r="G39" s="338">
        <v>256305</v>
      </c>
      <c r="H39" s="338">
        <v>410589</v>
      </c>
      <c r="I39" s="338">
        <v>202740</v>
      </c>
      <c r="J39" s="338">
        <v>29828</v>
      </c>
      <c r="K39" s="338">
        <v>35206</v>
      </c>
      <c r="L39" s="338">
        <v>87901</v>
      </c>
      <c r="M39" s="338">
        <v>228668</v>
      </c>
      <c r="N39" s="338">
        <v>4784</v>
      </c>
      <c r="O39" s="338">
        <v>19911</v>
      </c>
      <c r="P39" s="338">
        <v>96081</v>
      </c>
      <c r="Q39" s="338">
        <v>72932</v>
      </c>
      <c r="R39" s="338">
        <v>90364</v>
      </c>
      <c r="S39" s="338">
        <v>3908</v>
      </c>
      <c r="T39" s="338">
        <v>132197</v>
      </c>
      <c r="U39" s="230">
        <f>SUM(B39:T39)</f>
        <v>2725764</v>
      </c>
      <c r="V39" s="338">
        <v>108180</v>
      </c>
      <c r="W39" s="230">
        <f>U39+V39</f>
        <v>2833944</v>
      </c>
      <c r="X39" s="338">
        <v>149165</v>
      </c>
      <c r="Y39" s="230">
        <f>W39+X39</f>
        <v>2983109</v>
      </c>
      <c r="Z39" s="336" t="s">
        <v>1539</v>
      </c>
    </row>
    <row r="40" spans="1:26" ht="12" customHeight="1">
      <c r="A40" s="354"/>
      <c r="B40" s="550">
        <f t="shared" ref="B40:W44" si="14">(B39/$W39)*100</f>
        <v>11.61190905677741</v>
      </c>
      <c r="C40" s="550">
        <f t="shared" si="14"/>
        <v>1.8324991601810054</v>
      </c>
      <c r="D40" s="550">
        <f t="shared" si="14"/>
        <v>22.469180760099704</v>
      </c>
      <c r="E40" s="550">
        <f t="shared" si="14"/>
        <v>1.1990356901900672</v>
      </c>
      <c r="F40" s="550">
        <f t="shared" si="14"/>
        <v>9.1709645638728216E-2</v>
      </c>
      <c r="G40" s="550">
        <f t="shared" si="14"/>
        <v>9.0441095519177512</v>
      </c>
      <c r="H40" s="550">
        <f t="shared" si="14"/>
        <v>14.488253825763669</v>
      </c>
      <c r="I40" s="550">
        <f t="shared" si="14"/>
        <v>7.1539875170433849</v>
      </c>
      <c r="J40" s="550">
        <f t="shared" si="14"/>
        <v>1.0525260908472434</v>
      </c>
      <c r="K40" s="550">
        <f t="shared" si="14"/>
        <v>1.2422969543505447</v>
      </c>
      <c r="L40" s="550">
        <f t="shared" si="14"/>
        <v>3.10171972346666</v>
      </c>
      <c r="M40" s="550">
        <f t="shared" si="14"/>
        <v>8.068896209663988</v>
      </c>
      <c r="N40" s="550">
        <f t="shared" si="14"/>
        <v>0.16881067515801298</v>
      </c>
      <c r="O40" s="550">
        <f t="shared" si="14"/>
        <v>0.70258974771555116</v>
      </c>
      <c r="P40" s="550">
        <f t="shared" si="14"/>
        <v>3.3903633946189484</v>
      </c>
      <c r="Q40" s="550">
        <f t="shared" si="14"/>
        <v>2.5735159198629192</v>
      </c>
      <c r="R40" s="550">
        <f t="shared" si="14"/>
        <v>3.1886304034236388</v>
      </c>
      <c r="S40" s="550">
        <f t="shared" si="14"/>
        <v>0.13789969032556748</v>
      </c>
      <c r="T40" s="550">
        <f t="shared" si="14"/>
        <v>4.6647710752223759</v>
      </c>
      <c r="U40" s="550">
        <f t="shared" si="14"/>
        <v>96.18270509226717</v>
      </c>
      <c r="V40" s="550">
        <f t="shared" si="14"/>
        <v>3.8172949077328275</v>
      </c>
      <c r="W40" s="550">
        <f t="shared" si="14"/>
        <v>100</v>
      </c>
      <c r="X40" s="255"/>
      <c r="Y40" s="255"/>
      <c r="Z40" s="312"/>
    </row>
    <row r="41" spans="1:26" ht="12" customHeight="1">
      <c r="A41" s="1532" t="s">
        <v>1810</v>
      </c>
      <c r="B41" s="338">
        <v>339125</v>
      </c>
      <c r="C41" s="338">
        <v>51352</v>
      </c>
      <c r="D41" s="338">
        <v>709425</v>
      </c>
      <c r="E41" s="338">
        <v>36070</v>
      </c>
      <c r="F41" s="338">
        <v>2848</v>
      </c>
      <c r="G41" s="338">
        <v>278628</v>
      </c>
      <c r="H41" s="338">
        <v>445317</v>
      </c>
      <c r="I41" s="338">
        <v>214399</v>
      </c>
      <c r="J41" s="338">
        <v>31428</v>
      </c>
      <c r="K41" s="338">
        <v>36891</v>
      </c>
      <c r="L41" s="338">
        <v>93061</v>
      </c>
      <c r="M41" s="338">
        <v>237134</v>
      </c>
      <c r="N41" s="338">
        <v>4987</v>
      </c>
      <c r="O41" s="338">
        <v>21108</v>
      </c>
      <c r="P41" s="338">
        <v>100802</v>
      </c>
      <c r="Q41" s="338">
        <v>78675</v>
      </c>
      <c r="R41" s="338">
        <v>99289</v>
      </c>
      <c r="S41" s="338">
        <v>4145</v>
      </c>
      <c r="T41" s="338">
        <v>136410</v>
      </c>
      <c r="U41" s="230">
        <f>SUM(B41:T41)</f>
        <v>2921094</v>
      </c>
      <c r="V41" s="338">
        <v>114056</v>
      </c>
      <c r="W41" s="230">
        <f>U41+V41</f>
        <v>3035150</v>
      </c>
      <c r="X41" s="338">
        <v>120242</v>
      </c>
      <c r="Y41" s="230">
        <f>W41+X41</f>
        <v>3155392</v>
      </c>
      <c r="Z41" s="336" t="s">
        <v>1810</v>
      </c>
    </row>
    <row r="42" spans="1:26" ht="12" customHeight="1">
      <c r="A42" s="354"/>
      <c r="B42" s="550">
        <f>(B41/$W41)*100</f>
        <v>11.173253381216744</v>
      </c>
      <c r="C42" s="550">
        <f t="shared" si="14"/>
        <v>1.6919097902904305</v>
      </c>
      <c r="D42" s="550">
        <f t="shared" si="14"/>
        <v>23.373638864636014</v>
      </c>
      <c r="E42" s="550">
        <f t="shared" si="14"/>
        <v>1.1884091395812397</v>
      </c>
      <c r="F42" s="550">
        <f t="shared" si="14"/>
        <v>9.3833912656705598E-2</v>
      </c>
      <c r="G42" s="550">
        <f t="shared" si="14"/>
        <v>9.1800405251799742</v>
      </c>
      <c r="H42" s="550">
        <f t="shared" si="14"/>
        <v>14.671993146961434</v>
      </c>
      <c r="I42" s="550">
        <f t="shared" si="14"/>
        <v>7.0638683425860345</v>
      </c>
      <c r="J42" s="550">
        <f t="shared" si="14"/>
        <v>1.0354677693029999</v>
      </c>
      <c r="K42" s="550">
        <f t="shared" si="14"/>
        <v>1.2154588735317859</v>
      </c>
      <c r="L42" s="550">
        <f t="shared" si="14"/>
        <v>3.0661087590399156</v>
      </c>
      <c r="M42" s="550">
        <f t="shared" si="14"/>
        <v>7.8129252261008517</v>
      </c>
      <c r="N42" s="550">
        <f t="shared" si="14"/>
        <v>0.16430818905161193</v>
      </c>
      <c r="O42" s="550">
        <f t="shared" si="14"/>
        <v>0.69545162512561154</v>
      </c>
      <c r="P42" s="550">
        <f t="shared" si="14"/>
        <v>3.3211538144737491</v>
      </c>
      <c r="Q42" s="550">
        <f t="shared" si="14"/>
        <v>2.5921288898407</v>
      </c>
      <c r="R42" s="550">
        <f>(R41/$W41)*100</f>
        <v>3.2713045483748746</v>
      </c>
      <c r="S42" s="550">
        <f>(S41/$W41)*100</f>
        <v>0.13656656178442581</v>
      </c>
      <c r="T42" s="550">
        <f>(T41/$W41)*100</f>
        <v>4.4943413010889079</v>
      </c>
      <c r="U42" s="550">
        <f t="shared" si="14"/>
        <v>96.242162660824022</v>
      </c>
      <c r="V42" s="550">
        <f t="shared" si="14"/>
        <v>3.7578373391759881</v>
      </c>
      <c r="W42" s="550">
        <f t="shared" si="14"/>
        <v>100</v>
      </c>
      <c r="X42" s="255"/>
      <c r="Y42" s="255"/>
      <c r="Z42" s="312"/>
    </row>
    <row r="43" spans="1:26" ht="12" customHeight="1">
      <c r="A43" s="1532" t="s">
        <v>2056</v>
      </c>
      <c r="B43" s="338">
        <v>350559</v>
      </c>
      <c r="C43" s="338">
        <v>57888</v>
      </c>
      <c r="D43" s="338">
        <v>772522</v>
      </c>
      <c r="E43" s="338">
        <v>36959</v>
      </c>
      <c r="F43" s="338">
        <v>3100</v>
      </c>
      <c r="G43" s="338">
        <v>298079</v>
      </c>
      <c r="H43" s="338">
        <v>473716</v>
      </c>
      <c r="I43" s="338">
        <v>226164</v>
      </c>
      <c r="J43" s="338">
        <v>33265</v>
      </c>
      <c r="K43" s="338">
        <v>39235</v>
      </c>
      <c r="L43" s="338">
        <v>95433</v>
      </c>
      <c r="M43" s="338">
        <v>245870</v>
      </c>
      <c r="N43" s="338">
        <v>5426</v>
      </c>
      <c r="O43" s="338">
        <v>22694</v>
      </c>
      <c r="P43" s="338">
        <v>107890</v>
      </c>
      <c r="Q43" s="338">
        <v>83021</v>
      </c>
      <c r="R43" s="338">
        <v>106457</v>
      </c>
      <c r="S43" s="338">
        <v>4408</v>
      </c>
      <c r="T43" s="338">
        <v>140833</v>
      </c>
      <c r="U43" s="338">
        <f>SUM(B43:T43)</f>
        <v>3103519</v>
      </c>
      <c r="V43" s="338">
        <v>106914</v>
      </c>
      <c r="W43" s="230">
        <f>U43+V43</f>
        <v>3210433</v>
      </c>
      <c r="X43" s="338">
        <v>128135</v>
      </c>
      <c r="Y43" s="230">
        <f>W43+X43</f>
        <v>3338568</v>
      </c>
      <c r="Z43" s="336" t="s">
        <v>2056</v>
      </c>
    </row>
    <row r="44" spans="1:26" ht="12" customHeight="1">
      <c r="A44" s="354"/>
      <c r="B44" s="550">
        <f>(B43/$W43)*100</f>
        <v>10.919368197373998</v>
      </c>
      <c r="C44" s="550">
        <f t="shared" si="14"/>
        <v>1.8031212612130514</v>
      </c>
      <c r="D44" s="550">
        <f t="shared" si="14"/>
        <v>24.062860056571807</v>
      </c>
      <c r="E44" s="550">
        <f t="shared" si="14"/>
        <v>1.1512154279500615</v>
      </c>
      <c r="F44" s="550">
        <f t="shared" si="14"/>
        <v>9.6560183626320822E-2</v>
      </c>
      <c r="G44" s="550">
        <f t="shared" si="14"/>
        <v>9.2846977339193817</v>
      </c>
      <c r="H44" s="550">
        <f t="shared" si="14"/>
        <v>14.755517402169737</v>
      </c>
      <c r="I44" s="550">
        <f t="shared" si="14"/>
        <v>7.0446572160203935</v>
      </c>
      <c r="J44" s="550">
        <f t="shared" si="14"/>
        <v>1.0361530672030845</v>
      </c>
      <c r="K44" s="550">
        <f t="shared" si="14"/>
        <v>1.2221092917995797</v>
      </c>
      <c r="L44" s="550">
        <f t="shared" si="14"/>
        <v>2.9725896787131205</v>
      </c>
      <c r="M44" s="550">
        <f t="shared" si="14"/>
        <v>7.6584684994204828</v>
      </c>
      <c r="N44" s="550">
        <f t="shared" si="14"/>
        <v>0.16901146979239251</v>
      </c>
      <c r="O44" s="550">
        <f t="shared" si="14"/>
        <v>0.70688284103733046</v>
      </c>
      <c r="P44" s="550">
        <f t="shared" si="14"/>
        <v>3.3606058746592748</v>
      </c>
      <c r="Q44" s="550">
        <f t="shared" si="14"/>
        <v>2.5859751628518644</v>
      </c>
      <c r="R44" s="550">
        <f>(R43/$W43)*100</f>
        <v>3.3159701510668502</v>
      </c>
      <c r="S44" s="550">
        <f>(S43/$W43)*100</f>
        <v>0.13730235142736197</v>
      </c>
      <c r="T44" s="550">
        <f>(T43/$W43)*100</f>
        <v>4.3867291421437544</v>
      </c>
      <c r="U44" s="550">
        <f t="shared" si="14"/>
        <v>96.669795008959852</v>
      </c>
      <c r="V44" s="550">
        <f t="shared" si="14"/>
        <v>3.3302049910401497</v>
      </c>
      <c r="W44" s="550">
        <f>(W43/$W43)*100</f>
        <v>100</v>
      </c>
      <c r="X44" s="255"/>
      <c r="Y44" s="255"/>
      <c r="Z44" s="312"/>
    </row>
    <row r="45" spans="1:26" ht="12" customHeight="1">
      <c r="A45" s="1532" t="s">
        <v>2188</v>
      </c>
      <c r="B45" s="338">
        <v>362141</v>
      </c>
      <c r="C45" s="338">
        <v>57224</v>
      </c>
      <c r="D45" s="338">
        <v>796907</v>
      </c>
      <c r="E45" s="338">
        <v>37320</v>
      </c>
      <c r="F45" s="338">
        <v>3223</v>
      </c>
      <c r="G45" s="338">
        <v>314847</v>
      </c>
      <c r="H45" s="338">
        <v>501036</v>
      </c>
      <c r="I45" s="338">
        <v>237794</v>
      </c>
      <c r="J45" s="338">
        <v>35128</v>
      </c>
      <c r="K45" s="338">
        <v>40826</v>
      </c>
      <c r="L45" s="338">
        <v>96585</v>
      </c>
      <c r="M45" s="338">
        <v>254477</v>
      </c>
      <c r="N45" s="338">
        <v>5840</v>
      </c>
      <c r="O45" s="338">
        <v>24704</v>
      </c>
      <c r="P45" s="338">
        <v>113914</v>
      </c>
      <c r="Q45" s="338">
        <v>88464</v>
      </c>
      <c r="R45" s="338">
        <v>116325</v>
      </c>
      <c r="S45" s="338">
        <v>4690</v>
      </c>
      <c r="T45" s="338">
        <v>145262</v>
      </c>
      <c r="U45" s="338">
        <f>SUM(B45:T45)</f>
        <v>3236707</v>
      </c>
      <c r="V45" s="338">
        <v>109311</v>
      </c>
      <c r="W45" s="338">
        <f>U45+V45</f>
        <v>3346018</v>
      </c>
      <c r="X45" s="338">
        <v>144088</v>
      </c>
      <c r="Y45" s="230">
        <f>W45+X45</f>
        <v>3490106</v>
      </c>
      <c r="Z45" s="336" t="s">
        <v>2188</v>
      </c>
    </row>
    <row r="46" spans="1:26" ht="12" customHeight="1">
      <c r="A46" s="354"/>
      <c r="B46" s="550">
        <f>(B45/$W45)*100</f>
        <v>10.823043988406518</v>
      </c>
      <c r="C46" s="550">
        <f t="shared" ref="C46:Q50" si="15">(C45/$W45)*100</f>
        <v>1.7102119594096625</v>
      </c>
      <c r="D46" s="550">
        <f t="shared" si="15"/>
        <v>23.816578392584859</v>
      </c>
      <c r="E46" s="550">
        <f t="shared" si="15"/>
        <v>1.1153556257019537</v>
      </c>
      <c r="F46" s="550">
        <f t="shared" si="15"/>
        <v>9.6323450740551902E-2</v>
      </c>
      <c r="G46" s="550">
        <f t="shared" si="15"/>
        <v>9.4096026978934368</v>
      </c>
      <c r="H46" s="550">
        <f t="shared" si="15"/>
        <v>14.974097569110507</v>
      </c>
      <c r="I46" s="550">
        <f t="shared" si="15"/>
        <v>7.1067758750849519</v>
      </c>
      <c r="J46" s="550">
        <f t="shared" si="15"/>
        <v>1.0498449201408959</v>
      </c>
      <c r="K46" s="550">
        <f t="shared" si="15"/>
        <v>1.2201368910747044</v>
      </c>
      <c r="L46" s="550">
        <f t="shared" si="15"/>
        <v>2.886565463784116</v>
      </c>
      <c r="M46" s="550">
        <f t="shared" si="15"/>
        <v>7.6053685305936787</v>
      </c>
      <c r="N46" s="550">
        <f t="shared" si="15"/>
        <v>0.17453582138530038</v>
      </c>
      <c r="O46" s="550">
        <f t="shared" si="15"/>
        <v>0.73831043347644876</v>
      </c>
      <c r="P46" s="550">
        <f t="shared" si="15"/>
        <v>3.4044646502200528</v>
      </c>
      <c r="Q46" s="550">
        <f t="shared" si="15"/>
        <v>2.643859058737879</v>
      </c>
      <c r="R46" s="550">
        <f>(R45/$W45)*100</f>
        <v>3.4765204490830595</v>
      </c>
      <c r="S46" s="550">
        <f>(S45/$W45)*100</f>
        <v>0.1401666099823731</v>
      </c>
      <c r="T46" s="550">
        <f>(T45/$W45)*100</f>
        <v>4.341339466793066</v>
      </c>
      <c r="U46" s="550">
        <f t="shared" ref="U46:V50" si="16">(U45/$W45)*100</f>
        <v>96.733101854204008</v>
      </c>
      <c r="V46" s="550">
        <f t="shared" si="16"/>
        <v>3.266898145795988</v>
      </c>
      <c r="W46" s="550">
        <f>(W45/$W45)*100</f>
        <v>100</v>
      </c>
      <c r="X46" s="255"/>
      <c r="Y46" s="255"/>
      <c r="Z46" s="312"/>
    </row>
    <row r="47" spans="1:26" ht="11.25" customHeight="1">
      <c r="A47" s="1664" t="s">
        <v>2439</v>
      </c>
      <c r="B47" s="338">
        <v>370902</v>
      </c>
      <c r="C47" s="338">
        <v>58171</v>
      </c>
      <c r="D47" s="338">
        <v>843340</v>
      </c>
      <c r="E47" s="338">
        <v>39282</v>
      </c>
      <c r="F47" s="338">
        <v>3330</v>
      </c>
      <c r="G47" s="338">
        <v>310282</v>
      </c>
      <c r="H47" s="338">
        <v>524932</v>
      </c>
      <c r="I47" s="338">
        <v>248100</v>
      </c>
      <c r="J47" s="338">
        <v>36667</v>
      </c>
      <c r="K47" s="338">
        <v>41923</v>
      </c>
      <c r="L47" s="338">
        <v>98170</v>
      </c>
      <c r="M47" s="338">
        <v>262562</v>
      </c>
      <c r="N47" s="338">
        <v>6197</v>
      </c>
      <c r="O47" s="338">
        <v>27092</v>
      </c>
      <c r="P47" s="338">
        <v>120410</v>
      </c>
      <c r="Q47" s="338">
        <v>92670</v>
      </c>
      <c r="R47" s="338">
        <v>123991</v>
      </c>
      <c r="S47" s="338">
        <v>4998</v>
      </c>
      <c r="T47" s="338">
        <v>149719</v>
      </c>
      <c r="U47" s="338">
        <v>3362736</v>
      </c>
      <c r="V47" s="338">
        <v>100054</v>
      </c>
      <c r="W47" s="338">
        <f>U47+V47</f>
        <v>3462790</v>
      </c>
      <c r="X47" s="338">
        <v>190129</v>
      </c>
      <c r="Y47" s="230">
        <f>W47+X47</f>
        <v>3652919</v>
      </c>
      <c r="Z47" s="336" t="s">
        <v>2439</v>
      </c>
    </row>
    <row r="48" spans="1:26" ht="9.75" customHeight="1">
      <c r="A48" s="354"/>
      <c r="B48" s="550">
        <f>(B47/$W47)*100</f>
        <v>10.711074018349366</v>
      </c>
      <c r="C48" s="550">
        <f t="shared" si="15"/>
        <v>1.6798881826504062</v>
      </c>
      <c r="D48" s="550">
        <f>(D47/$W47)*100</f>
        <v>24.354350104973157</v>
      </c>
      <c r="E48" s="550">
        <f t="shared" si="15"/>
        <v>1.1344031835600774</v>
      </c>
      <c r="F48" s="550">
        <f t="shared" si="15"/>
        <v>9.6165230926507236E-2</v>
      </c>
      <c r="G48" s="550">
        <f t="shared" si="15"/>
        <v>8.9604625172187742</v>
      </c>
      <c r="H48" s="550">
        <f t="shared" si="15"/>
        <v>15.159221321535524</v>
      </c>
      <c r="I48" s="550">
        <f t="shared" si="15"/>
        <v>7.1647428807406737</v>
      </c>
      <c r="J48" s="550">
        <f t="shared" si="15"/>
        <v>1.0588860427574298</v>
      </c>
      <c r="K48" s="550">
        <f t="shared" si="15"/>
        <v>1.2106711640035925</v>
      </c>
      <c r="L48" s="550">
        <f t="shared" si="15"/>
        <v>2.8349972132297943</v>
      </c>
      <c r="M48" s="550">
        <f t="shared" si="15"/>
        <v>7.5823829917494274</v>
      </c>
      <c r="N48" s="550">
        <f t="shared" si="15"/>
        <v>0.17895974055602565</v>
      </c>
      <c r="O48" s="550">
        <f t="shared" si="15"/>
        <v>0.78237490578406432</v>
      </c>
      <c r="P48" s="550">
        <f t="shared" si="15"/>
        <v>3.4772538906488695</v>
      </c>
      <c r="Q48" s="550">
        <f t="shared" si="15"/>
        <v>2.6761657507385661</v>
      </c>
      <c r="R48" s="550">
        <f>(R47/$W47)*100</f>
        <v>3.5806676119545222</v>
      </c>
      <c r="S48" s="550">
        <f>(S47/$W47)*100</f>
        <v>0.14433448173293789</v>
      </c>
      <c r="T48" s="550">
        <f>(T47/$W47)*100</f>
        <v>4.3236523150407615</v>
      </c>
      <c r="U48" s="550">
        <f t="shared" si="16"/>
        <v>97.110595791255022</v>
      </c>
      <c r="V48" s="550">
        <f t="shared" si="16"/>
        <v>2.8894042087449714</v>
      </c>
      <c r="W48" s="550">
        <f>(W47/$W47)*100</f>
        <v>100</v>
      </c>
      <c r="X48" s="255"/>
      <c r="Y48" s="255"/>
      <c r="Z48" s="312"/>
    </row>
    <row r="49" spans="1:26" ht="9.75" customHeight="1">
      <c r="A49" s="1664" t="s">
        <v>2927</v>
      </c>
      <c r="B49" s="338">
        <v>381219</v>
      </c>
      <c r="C49" s="338">
        <v>59688</v>
      </c>
      <c r="D49" s="338">
        <v>871233</v>
      </c>
      <c r="E49" s="338">
        <v>41548</v>
      </c>
      <c r="F49" s="338">
        <v>3586</v>
      </c>
      <c r="G49" s="338">
        <v>314272</v>
      </c>
      <c r="H49" s="338">
        <v>546585</v>
      </c>
      <c r="I49" s="338">
        <v>259527</v>
      </c>
      <c r="J49" s="338">
        <v>38609</v>
      </c>
      <c r="K49" s="338">
        <v>43083</v>
      </c>
      <c r="L49" s="338">
        <v>99751</v>
      </c>
      <c r="M49" s="338">
        <v>273602</v>
      </c>
      <c r="N49" s="338">
        <v>6563</v>
      </c>
      <c r="O49" s="338">
        <v>29176</v>
      </c>
      <c r="P49" s="338">
        <v>130374</v>
      </c>
      <c r="Q49" s="338">
        <v>98293</v>
      </c>
      <c r="R49" s="338">
        <v>131801</v>
      </c>
      <c r="S49" s="338">
        <v>5344</v>
      </c>
      <c r="T49" s="338">
        <v>154534</v>
      </c>
      <c r="U49" s="338">
        <v>3488786</v>
      </c>
      <c r="V49" s="338">
        <v>117224</v>
      </c>
      <c r="W49" s="338">
        <f>U49+V49</f>
        <v>3606010</v>
      </c>
      <c r="X49" s="338">
        <v>193383</v>
      </c>
      <c r="Y49" s="230">
        <f>W49+X49</f>
        <v>3799393</v>
      </c>
      <c r="Z49" s="1723" t="s">
        <v>2927</v>
      </c>
    </row>
    <row r="50" spans="1:26" ht="9.75" customHeight="1" thickBot="1">
      <c r="A50" s="731"/>
      <c r="B50" s="531">
        <f>(B49/$W49)*100</f>
        <v>10.571767687832258</v>
      </c>
      <c r="C50" s="531">
        <f t="shared" si="15"/>
        <v>1.6552366743297995</v>
      </c>
      <c r="D50" s="531">
        <f>(D49/$W49)*100</f>
        <v>24.160581917410102</v>
      </c>
      <c r="E50" s="531">
        <f t="shared" si="15"/>
        <v>1.1521875979267944</v>
      </c>
      <c r="F50" s="531">
        <f t="shared" si="15"/>
        <v>9.9445093052986544E-2</v>
      </c>
      <c r="G50" s="531">
        <f t="shared" si="15"/>
        <v>8.7152281884964271</v>
      </c>
      <c r="H50" s="531">
        <f t="shared" si="15"/>
        <v>15.157611875729685</v>
      </c>
      <c r="I50" s="531">
        <f t="shared" si="15"/>
        <v>7.1970682277642046</v>
      </c>
      <c r="J50" s="531">
        <f t="shared" si="15"/>
        <v>1.0706847734753924</v>
      </c>
      <c r="K50" s="531">
        <f t="shared" si="15"/>
        <v>1.1947554221979417</v>
      </c>
      <c r="L50" s="531">
        <f t="shared" si="15"/>
        <v>2.76624302206594</v>
      </c>
      <c r="M50" s="531">
        <f t="shared" si="15"/>
        <v>7.5873888314230964</v>
      </c>
      <c r="N50" s="531">
        <f t="shared" si="15"/>
        <v>0.18200171380556349</v>
      </c>
      <c r="O50" s="531">
        <f t="shared" si="15"/>
        <v>0.80909370744950793</v>
      </c>
      <c r="P50" s="531">
        <f t="shared" si="15"/>
        <v>3.615464183404927</v>
      </c>
      <c r="Q50" s="531">
        <f t="shared" si="15"/>
        <v>2.7258105218787523</v>
      </c>
      <c r="R50" s="531">
        <f>(R49/$W49)*100</f>
        <v>3.6550370076622083</v>
      </c>
      <c r="S50" s="531">
        <f>(S49/$W49)*100</f>
        <v>0.14819703772313442</v>
      </c>
      <c r="T50" s="531">
        <f>(T49/$W49)*100</f>
        <v>4.285456779099337</v>
      </c>
      <c r="U50" s="531">
        <f t="shared" si="16"/>
        <v>96.749204799764826</v>
      </c>
      <c r="V50" s="531">
        <f t="shared" si="16"/>
        <v>3.2507952002351632</v>
      </c>
      <c r="W50" s="531">
        <f>(W49/$W49)*100</f>
        <v>100</v>
      </c>
      <c r="X50" s="695"/>
      <c r="Y50" s="695"/>
      <c r="Z50" s="732"/>
    </row>
    <row r="51" spans="1:26" ht="9.75" customHeight="1">
      <c r="A51" s="76" t="s">
        <v>1952</v>
      </c>
      <c r="B51" s="2429" t="s">
        <v>1953</v>
      </c>
      <c r="C51" s="2429"/>
      <c r="D51" s="2429"/>
      <c r="E51" s="2429"/>
      <c r="F51" s="2429"/>
      <c r="G51" s="2429"/>
      <c r="H51" s="2429"/>
      <c r="I51" s="2429"/>
      <c r="J51" s="2429"/>
      <c r="K51" s="234"/>
      <c r="L51" s="1091"/>
      <c r="M51" s="543"/>
      <c r="N51" s="631" t="s">
        <v>1954</v>
      </c>
      <c r="O51" s="7"/>
      <c r="P51" s="7"/>
      <c r="Q51" s="7"/>
      <c r="R51" s="51"/>
      <c r="S51" s="956"/>
      <c r="T51" s="956"/>
      <c r="U51" s="51" t="s">
        <v>2141</v>
      </c>
      <c r="V51" s="956"/>
      <c r="W51" s="7"/>
      <c r="X51" s="2422"/>
      <c r="Y51" s="2422"/>
      <c r="Z51" s="7"/>
    </row>
    <row r="52" spans="1:26" ht="9.75" customHeight="1">
      <c r="B52" s="2427"/>
      <c r="C52" s="2427"/>
      <c r="D52" s="2427"/>
      <c r="E52" s="1537"/>
      <c r="F52" s="2422"/>
      <c r="G52" s="2422"/>
      <c r="H52" s="1537"/>
      <c r="I52" s="1537"/>
      <c r="J52" s="1537"/>
      <c r="K52" s="1537"/>
      <c r="L52" s="1537"/>
      <c r="P52" s="2428"/>
      <c r="Q52" s="2428"/>
      <c r="R52" s="2428"/>
      <c r="S52" s="1533"/>
    </row>
    <row r="53" spans="1:26" ht="9.75" customHeight="1"/>
    <row r="54" spans="1:26" ht="9.75" customHeight="1">
      <c r="D54" s="657"/>
      <c r="H54" s="1092"/>
    </row>
    <row r="55" spans="1:26" ht="9.75" customHeight="1">
      <c r="B55" s="657"/>
      <c r="C55" s="657"/>
      <c r="D55" s="657"/>
      <c r="E55" s="657"/>
      <c r="F55" s="657"/>
      <c r="G55" s="657"/>
      <c r="H55" s="657"/>
      <c r="I55" s="657"/>
      <c r="J55" s="657"/>
      <c r="K55" s="657"/>
      <c r="L55" s="657"/>
      <c r="M55" s="657"/>
      <c r="N55" s="657"/>
      <c r="O55" s="657"/>
      <c r="P55" s="657"/>
      <c r="Q55" s="657"/>
      <c r="R55" s="657"/>
      <c r="S55" s="657"/>
      <c r="T55" s="657"/>
      <c r="U55" s="657"/>
    </row>
    <row r="56" spans="1:26" ht="9.75" customHeight="1">
      <c r="B56" s="657"/>
      <c r="C56" s="657"/>
      <c r="D56" s="657"/>
      <c r="E56" s="657"/>
      <c r="F56" s="657"/>
      <c r="G56" s="657"/>
      <c r="H56" s="657"/>
      <c r="I56" s="657"/>
      <c r="J56" s="657"/>
      <c r="K56" s="657"/>
      <c r="L56" s="657"/>
      <c r="M56" s="657"/>
      <c r="N56" s="657"/>
      <c r="O56" s="657"/>
      <c r="P56" s="657"/>
      <c r="Q56" s="657"/>
      <c r="R56" s="657"/>
      <c r="S56" s="657"/>
      <c r="T56" s="657"/>
      <c r="U56" s="657"/>
      <c r="V56" s="657"/>
      <c r="W56" s="657"/>
      <c r="X56" s="657"/>
      <c r="Y56" s="657"/>
      <c r="Z56" s="657"/>
    </row>
    <row r="57" spans="1:26" ht="9.75" customHeight="1">
      <c r="B57" s="657"/>
      <c r="C57" s="657"/>
      <c r="D57" s="657"/>
      <c r="E57" s="657"/>
      <c r="F57" s="657"/>
      <c r="G57" s="657"/>
      <c r="H57" s="657"/>
      <c r="I57" s="657"/>
      <c r="J57" s="657"/>
      <c r="K57" s="657"/>
      <c r="L57" s="657"/>
      <c r="M57" s="657"/>
      <c r="N57" s="657"/>
      <c r="O57" s="657"/>
      <c r="P57" s="657"/>
      <c r="Q57" s="657"/>
      <c r="R57" s="657"/>
      <c r="S57" s="657"/>
      <c r="T57" s="657"/>
      <c r="U57" s="657"/>
      <c r="V57" s="657"/>
      <c r="W57" s="657"/>
      <c r="X57" s="657"/>
      <c r="Y57" s="657"/>
      <c r="Z57" s="657"/>
    </row>
    <row r="58" spans="1:26" ht="9.75" customHeight="1"/>
    <row r="59" spans="1:26" ht="9.75" customHeight="1"/>
    <row r="60" spans="1:26" ht="9.75" customHeight="1"/>
    <row r="61" spans="1:26" ht="9.75" customHeight="1"/>
    <row r="62" spans="1:26" ht="9.75" customHeight="1"/>
    <row r="63" spans="1:26" ht="9.75" customHeight="1"/>
    <row r="64" spans="1:26" ht="9.75" customHeight="1"/>
    <row r="65" ht="9.75" customHeight="1"/>
    <row r="66" ht="9.75" customHeight="1"/>
  </sheetData>
  <customSheetViews>
    <customSheetView guid="{A374FC54-96E3-45F0-9C12-8450400C12DF}" scale="170" topLeftCell="O1">
      <pane ySplit="4" topLeftCell="A35" activePane="bottomLeft" state="frozen"/>
      <selection pane="bottomLeft" activeCell="X40" sqref="X40"/>
      <pageMargins left="0.62992125984252001" right="0.511811023622047" top="0.511811023622047" bottom="0.511811023622047" header="0.25" footer="0"/>
      <pageSetup paperSize="132" firstPageNumber="48" orientation="portrait" useFirstPageNumber="1" r:id="rId1"/>
      <headerFooter>
        <oddFooter>&amp;C&amp;"Times New Roman,Regular"&amp;8&amp;P</oddFooter>
      </headerFooter>
    </customSheetView>
  </customSheetViews>
  <mergeCells count="13">
    <mergeCell ref="Y1:Z1"/>
    <mergeCell ref="J2:L2"/>
    <mergeCell ref="Y2:Z2"/>
    <mergeCell ref="Z3:Z4"/>
    <mergeCell ref="A5:C5"/>
    <mergeCell ref="A3:A4"/>
    <mergeCell ref="N1:X1"/>
    <mergeCell ref="E1:M1"/>
    <mergeCell ref="X51:Y51"/>
    <mergeCell ref="B52:D52"/>
    <mergeCell ref="F52:G52"/>
    <mergeCell ref="P52:R52"/>
    <mergeCell ref="B51:J51"/>
  </mergeCells>
  <phoneticPr fontId="44" type="noConversion"/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AM22925"/>
  <sheetViews>
    <sheetView showWhiteSpace="0" zoomScale="150" zoomScaleNormal="150" workbookViewId="0">
      <pane ySplit="1" topLeftCell="A32" activePane="bottomLeft" state="frozen"/>
      <selection activeCell="X47" sqref="X47:X50"/>
      <selection pane="bottomLeft" activeCell="AE64" sqref="AE64"/>
    </sheetView>
  </sheetViews>
  <sheetFormatPr defaultColWidth="9.140625" defaultRowHeight="11.25"/>
  <cols>
    <col min="1" max="1" width="7" style="1732" customWidth="1"/>
    <col min="2" max="2" width="8.28515625" style="1732" customWidth="1"/>
    <col min="3" max="3" width="6.7109375" style="1732" customWidth="1"/>
    <col min="4" max="4" width="6.85546875" style="1732" customWidth="1"/>
    <col min="5" max="5" width="7.7109375" style="1732" customWidth="1"/>
    <col min="6" max="6" width="7.140625" style="1732" customWidth="1"/>
    <col min="7" max="7" width="9.28515625" style="1732" customWidth="1"/>
    <col min="8" max="8" width="7.7109375" style="1732" customWidth="1"/>
    <col min="9" max="9" width="9.5703125" style="1216" customWidth="1"/>
    <col min="10" max="10" width="7.140625" style="1732" customWidth="1"/>
    <col min="11" max="11" width="12.140625" style="1732" customWidth="1"/>
    <col min="12" max="12" width="9.5703125" style="1732" customWidth="1"/>
    <col min="13" max="13" width="7.140625" style="1732" customWidth="1"/>
    <col min="14" max="14" width="8.5703125" style="1732" customWidth="1"/>
    <col min="15" max="15" width="6.85546875" style="1732" customWidth="1"/>
    <col min="16" max="16" width="7.42578125" style="1732" customWidth="1"/>
    <col min="17" max="17" width="8.28515625" style="1732" customWidth="1"/>
    <col min="18" max="18" width="7.85546875" style="1743" customWidth="1"/>
    <col min="19" max="19" width="7.85546875" style="1732" customWidth="1"/>
    <col min="20" max="20" width="7.28515625" style="1732" customWidth="1"/>
    <col min="21" max="21" width="9" style="1732" customWidth="1"/>
    <col min="22" max="22" width="7" style="1732" customWidth="1"/>
    <col min="23" max="23" width="7.28515625" style="1732" customWidth="1"/>
    <col min="24" max="24" width="6.5703125" style="1732" customWidth="1"/>
    <col min="25" max="25" width="7.42578125" style="1732" customWidth="1"/>
    <col min="26" max="26" width="9.140625" style="1732" customWidth="1"/>
    <col min="27" max="27" width="7.140625" style="1732" customWidth="1"/>
    <col min="28" max="28" width="9.140625" style="1732" customWidth="1"/>
    <col min="29" max="29" width="7.5703125" style="1732" customWidth="1"/>
    <col min="30" max="30" width="12" style="1732" customWidth="1"/>
    <col min="31" max="31" width="9.7109375" style="1732" customWidth="1"/>
    <col min="32" max="32" width="8.140625" style="1732" customWidth="1"/>
    <col min="33" max="33" width="10.28515625" style="1732" customWidth="1"/>
    <col min="34" max="34" width="9.85546875" style="1732" customWidth="1"/>
    <col min="35" max="35" width="7" style="1732" customWidth="1"/>
    <col min="36" max="36" width="9" style="1732" customWidth="1"/>
    <col min="37" max="37" width="5.7109375" style="1732" customWidth="1"/>
    <col min="38" max="38" width="6.7109375" style="1732" customWidth="1"/>
    <col min="39" max="16384" width="9.140625" style="1732"/>
  </cols>
  <sheetData>
    <row r="1" spans="1:39" s="459" customFormat="1" ht="12.75" customHeight="1">
      <c r="A1" s="1207"/>
      <c r="B1" s="1207"/>
      <c r="C1" s="1208" t="s">
        <v>1994</v>
      </c>
      <c r="D1" s="2012" t="s">
        <v>2209</v>
      </c>
      <c r="E1" s="2012"/>
      <c r="F1" s="2012"/>
      <c r="G1" s="2012"/>
      <c r="H1" s="2012"/>
      <c r="I1" s="2012"/>
      <c r="J1" s="2012"/>
      <c r="K1" s="2448" t="s">
        <v>2284</v>
      </c>
      <c r="L1" s="2448"/>
      <c r="M1" s="2448"/>
      <c r="N1" s="2448"/>
      <c r="O1" s="2448"/>
      <c r="P1" s="2448"/>
      <c r="Q1" s="2448"/>
      <c r="R1" s="2448"/>
      <c r="S1" s="2448"/>
      <c r="T1" s="2448"/>
      <c r="U1" s="1207"/>
      <c r="V1" s="1208" t="s">
        <v>1994</v>
      </c>
      <c r="W1" s="1208"/>
      <c r="X1" s="2012" t="s">
        <v>2209</v>
      </c>
      <c r="Y1" s="2012"/>
      <c r="Z1" s="2012"/>
      <c r="AA1" s="2012"/>
      <c r="AB1" s="2012"/>
      <c r="AC1" s="2012"/>
      <c r="AD1" s="2050" t="s">
        <v>2285</v>
      </c>
      <c r="AE1" s="2050"/>
      <c r="AF1" s="2050"/>
      <c r="AG1" s="2050"/>
      <c r="AH1" s="2050"/>
      <c r="AI1" s="2050"/>
      <c r="AJ1" s="2050"/>
      <c r="AK1" s="2050"/>
      <c r="AL1" s="2050"/>
      <c r="AM1" s="2050"/>
    </row>
    <row r="2" spans="1:39" s="379" customFormat="1" ht="9.75" customHeight="1">
      <c r="A2" s="1209"/>
      <c r="B2" s="1209"/>
      <c r="E2" s="1209"/>
      <c r="F2" s="1209"/>
      <c r="G2" s="1209"/>
      <c r="H2" s="1209"/>
      <c r="I2" s="1209"/>
      <c r="J2" s="2444"/>
      <c r="K2" s="2444"/>
      <c r="L2" s="1210"/>
      <c r="M2" s="1210"/>
      <c r="N2" s="1210"/>
      <c r="Q2" s="2449" t="s">
        <v>2210</v>
      </c>
      <c r="R2" s="2449"/>
      <c r="S2" s="2449"/>
      <c r="T2" s="1209"/>
      <c r="U2" s="1209"/>
      <c r="X2" s="1209"/>
      <c r="Y2" s="1209"/>
      <c r="Z2" s="1209"/>
      <c r="AA2" s="1209"/>
      <c r="AB2" s="1209"/>
      <c r="AC2" s="2444"/>
      <c r="AD2" s="2444"/>
      <c r="AE2" s="1210"/>
      <c r="AF2" s="1210"/>
      <c r="AG2" s="1210"/>
      <c r="AJ2" s="2445" t="s">
        <v>24</v>
      </c>
      <c r="AK2" s="2445"/>
      <c r="AL2" s="2445"/>
    </row>
    <row r="3" spans="1:39" s="321" customFormat="1" ht="11.25" customHeight="1">
      <c r="A3" s="2440" t="s">
        <v>481</v>
      </c>
      <c r="B3" s="1211" t="s">
        <v>147</v>
      </c>
      <c r="C3" s="2437" t="s">
        <v>2195</v>
      </c>
      <c r="D3" s="2438"/>
      <c r="E3" s="2438"/>
      <c r="F3" s="2438"/>
      <c r="G3" s="2439"/>
      <c r="H3" s="2437" t="s">
        <v>329</v>
      </c>
      <c r="I3" s="2438"/>
      <c r="J3" s="2438"/>
      <c r="K3" s="2438"/>
      <c r="L3" s="2438"/>
      <c r="M3" s="2438"/>
      <c r="N3" s="2439"/>
      <c r="O3" s="2446" t="s">
        <v>2200</v>
      </c>
      <c r="P3" s="2440" t="s">
        <v>1947</v>
      </c>
      <c r="Q3" s="2440" t="s">
        <v>2201</v>
      </c>
      <c r="R3" s="2441" t="s">
        <v>2202</v>
      </c>
      <c r="S3" s="2440" t="s">
        <v>481</v>
      </c>
      <c r="T3" s="2440" t="s">
        <v>481</v>
      </c>
      <c r="U3" s="1212" t="s">
        <v>147</v>
      </c>
      <c r="V3" s="2437" t="s">
        <v>2195</v>
      </c>
      <c r="W3" s="2438"/>
      <c r="X3" s="2438"/>
      <c r="Y3" s="2438"/>
      <c r="Z3" s="2439"/>
      <c r="AA3" s="2437" t="s">
        <v>329</v>
      </c>
      <c r="AB3" s="2438"/>
      <c r="AC3" s="2438"/>
      <c r="AD3" s="2438"/>
      <c r="AE3" s="2438"/>
      <c r="AF3" s="2438"/>
      <c r="AG3" s="2439"/>
      <c r="AH3" s="2446" t="s">
        <v>2200</v>
      </c>
      <c r="AI3" s="2440" t="s">
        <v>1947</v>
      </c>
      <c r="AJ3" s="2440" t="s">
        <v>2213</v>
      </c>
      <c r="AK3" s="2441" t="s">
        <v>2202</v>
      </c>
      <c r="AL3" s="2440" t="s">
        <v>481</v>
      </c>
    </row>
    <row r="4" spans="1:39" s="160" customFormat="1" ht="58.5" customHeight="1">
      <c r="A4" s="2443"/>
      <c r="B4" s="1975" t="s">
        <v>1933</v>
      </c>
      <c r="C4" s="1975" t="s">
        <v>1242</v>
      </c>
      <c r="D4" s="1975" t="s">
        <v>265</v>
      </c>
      <c r="E4" s="1975" t="s">
        <v>2194</v>
      </c>
      <c r="F4" s="1975" t="s">
        <v>266</v>
      </c>
      <c r="G4" s="1975" t="s">
        <v>477</v>
      </c>
      <c r="H4" s="1975" t="s">
        <v>2196</v>
      </c>
      <c r="I4" s="1975" t="s">
        <v>2275</v>
      </c>
      <c r="J4" s="1975" t="s">
        <v>1939</v>
      </c>
      <c r="K4" s="1975" t="s">
        <v>2197</v>
      </c>
      <c r="L4" s="1975" t="s">
        <v>2198</v>
      </c>
      <c r="M4" s="1975" t="s">
        <v>2199</v>
      </c>
      <c r="N4" s="1975" t="s">
        <v>477</v>
      </c>
      <c r="O4" s="2447"/>
      <c r="P4" s="2347"/>
      <c r="Q4" s="2347"/>
      <c r="R4" s="2442"/>
      <c r="S4" s="2443"/>
      <c r="T4" s="2443"/>
      <c r="U4" s="1975" t="s">
        <v>2276</v>
      </c>
      <c r="V4" s="1975" t="s">
        <v>1957</v>
      </c>
      <c r="W4" s="1975" t="s">
        <v>265</v>
      </c>
      <c r="X4" s="1975" t="s">
        <v>2194</v>
      </c>
      <c r="Y4" s="1975" t="s">
        <v>266</v>
      </c>
      <c r="Z4" s="1975" t="s">
        <v>477</v>
      </c>
      <c r="AA4" s="1975" t="s">
        <v>2196</v>
      </c>
      <c r="AB4" s="1975" t="s">
        <v>2275</v>
      </c>
      <c r="AC4" s="1975" t="s">
        <v>1939</v>
      </c>
      <c r="AD4" s="1975" t="s">
        <v>2197</v>
      </c>
      <c r="AE4" s="1975" t="s">
        <v>2198</v>
      </c>
      <c r="AF4" s="1975" t="s">
        <v>2199</v>
      </c>
      <c r="AG4" s="1975" t="s">
        <v>477</v>
      </c>
      <c r="AH4" s="2447"/>
      <c r="AI4" s="2347"/>
      <c r="AJ4" s="2347"/>
      <c r="AK4" s="2442"/>
      <c r="AL4" s="2443"/>
    </row>
    <row r="5" spans="1:39" s="890" customFormat="1" ht="11.25" customHeight="1">
      <c r="A5" s="2347"/>
      <c r="B5" s="1213">
        <v>1</v>
      </c>
      <c r="C5" s="1213">
        <v>2</v>
      </c>
      <c r="D5" s="1213">
        <v>3</v>
      </c>
      <c r="E5" s="1213">
        <v>4</v>
      </c>
      <c r="F5" s="1213">
        <v>5</v>
      </c>
      <c r="G5" s="1213" t="s">
        <v>2203</v>
      </c>
      <c r="H5" s="1213">
        <v>7</v>
      </c>
      <c r="I5" s="1213">
        <v>8</v>
      </c>
      <c r="J5" s="1213">
        <v>9</v>
      </c>
      <c r="K5" s="1213">
        <v>10</v>
      </c>
      <c r="L5" s="1213">
        <v>11</v>
      </c>
      <c r="M5" s="1213">
        <v>12</v>
      </c>
      <c r="N5" s="1213" t="s">
        <v>2277</v>
      </c>
      <c r="O5" s="1213" t="s">
        <v>2278</v>
      </c>
      <c r="P5" s="1213">
        <v>15</v>
      </c>
      <c r="Q5" s="1213" t="s">
        <v>2279</v>
      </c>
      <c r="R5" s="1214">
        <v>17</v>
      </c>
      <c r="S5" s="2347"/>
      <c r="T5" s="2347"/>
      <c r="U5" s="1213">
        <v>18</v>
      </c>
      <c r="V5" s="1213">
        <v>19</v>
      </c>
      <c r="W5" s="1213">
        <v>20</v>
      </c>
      <c r="X5" s="1213">
        <v>21</v>
      </c>
      <c r="Y5" s="1213">
        <v>22</v>
      </c>
      <c r="Z5" s="1213" t="s">
        <v>2280</v>
      </c>
      <c r="AA5" s="1213">
        <v>24</v>
      </c>
      <c r="AB5" s="1213">
        <v>25</v>
      </c>
      <c r="AC5" s="1213">
        <v>26</v>
      </c>
      <c r="AD5" s="1213">
        <v>27</v>
      </c>
      <c r="AE5" s="1213">
        <v>28</v>
      </c>
      <c r="AF5" s="1213">
        <v>29</v>
      </c>
      <c r="AG5" s="1213" t="s">
        <v>2281</v>
      </c>
      <c r="AH5" s="1213" t="s">
        <v>2282</v>
      </c>
      <c r="AI5" s="1213">
        <v>32</v>
      </c>
      <c r="AJ5" s="1213" t="s">
        <v>2283</v>
      </c>
      <c r="AK5" s="1213">
        <v>34</v>
      </c>
      <c r="AL5" s="2347"/>
    </row>
    <row r="6" spans="1:39" s="890" customFormat="1" ht="9.9499999999999993" customHeight="1">
      <c r="A6" s="2434" t="s">
        <v>1950</v>
      </c>
      <c r="B6" s="2434"/>
      <c r="C6" s="2434"/>
      <c r="D6" s="889"/>
      <c r="E6" s="889"/>
      <c r="F6" s="889"/>
      <c r="G6" s="889"/>
      <c r="H6" s="889"/>
      <c r="I6" s="889"/>
      <c r="J6" s="889"/>
      <c r="K6" s="889"/>
      <c r="L6" s="889"/>
      <c r="M6" s="889"/>
      <c r="N6" s="889"/>
      <c r="O6" s="889"/>
      <c r="P6" s="889"/>
      <c r="Q6" s="889"/>
      <c r="R6" s="1167"/>
      <c r="S6" s="200"/>
      <c r="T6" s="2434" t="s">
        <v>1951</v>
      </c>
      <c r="U6" s="2434"/>
      <c r="V6" s="2434"/>
      <c r="W6" s="889"/>
      <c r="X6" s="889"/>
      <c r="Y6" s="889"/>
      <c r="Z6" s="889"/>
      <c r="AA6" s="889"/>
      <c r="AB6" s="889"/>
      <c r="AC6" s="889"/>
      <c r="AD6" s="889"/>
      <c r="AE6" s="889"/>
      <c r="AF6" s="889"/>
      <c r="AG6" s="889"/>
      <c r="AH6" s="889"/>
      <c r="AI6" s="889"/>
      <c r="AJ6" s="889"/>
      <c r="AK6" s="1167"/>
      <c r="AL6" s="200"/>
    </row>
    <row r="7" spans="1:39" s="177" customFormat="1" ht="9.9499999999999993" customHeight="1">
      <c r="A7" s="1977" t="s">
        <v>1154</v>
      </c>
      <c r="B7" s="437">
        <f>B8+B9+B11+B10</f>
        <v>279505</v>
      </c>
      <c r="C7" s="437">
        <f>C8+C9+C11+C10</f>
        <v>33052.700000000004</v>
      </c>
      <c r="D7" s="437">
        <f>D8+D9+D11+D10</f>
        <v>422387</v>
      </c>
      <c r="E7" s="437">
        <f>E8+E9+E11+E10</f>
        <v>26657.779163406947</v>
      </c>
      <c r="F7" s="437">
        <f>F8+F9+F11+F10</f>
        <v>162842.6354222786</v>
      </c>
      <c r="G7" s="437">
        <f>C7+D7+E7+F7</f>
        <v>644940.11458568554</v>
      </c>
      <c r="H7" s="437">
        <f t="shared" ref="H7:M7" si="0">H8+H9+H10+H11</f>
        <v>288509.99349568604</v>
      </c>
      <c r="I7" s="437">
        <f t="shared" si="0"/>
        <v>206749.31619233981</v>
      </c>
      <c r="J7" s="437">
        <f t="shared" si="0"/>
        <v>65071.599999999991</v>
      </c>
      <c r="K7" s="437">
        <f t="shared" si="0"/>
        <v>210659.19999999998</v>
      </c>
      <c r="L7" s="437">
        <f t="shared" si="0"/>
        <v>175808.73129047974</v>
      </c>
      <c r="M7" s="437">
        <f t="shared" si="0"/>
        <v>116183.67851939965</v>
      </c>
      <c r="N7" s="437">
        <f>H7+I7+J7+K7+L7+M7</f>
        <v>1062982.5194979052</v>
      </c>
      <c r="O7" s="437">
        <f>B7+G7+N7</f>
        <v>1987427.6340835907</v>
      </c>
      <c r="P7" s="437">
        <f>P8+P9+P10+P11</f>
        <v>88393.670000000042</v>
      </c>
      <c r="Q7" s="437">
        <f>O7+P7</f>
        <v>2075821.3040835909</v>
      </c>
      <c r="R7" s="295" t="s">
        <v>292</v>
      </c>
      <c r="S7" s="318" t="s">
        <v>1154</v>
      </c>
      <c r="T7" s="1977" t="s">
        <v>1154</v>
      </c>
      <c r="U7" s="437">
        <f>U8+U9+U11+U10</f>
        <v>279505</v>
      </c>
      <c r="V7" s="437">
        <f>V8+V9+V11+V10</f>
        <v>33052.699999999997</v>
      </c>
      <c r="W7" s="437">
        <f>W8+W9+W11+W10</f>
        <v>422387</v>
      </c>
      <c r="X7" s="437">
        <f>X8+X9+X11+X10</f>
        <v>26657.779163406947</v>
      </c>
      <c r="Y7" s="437">
        <f>Y8+Y9+Y11+Y10</f>
        <v>162842.63542227857</v>
      </c>
      <c r="Z7" s="437">
        <f>V7+W7+X7+Y7</f>
        <v>644940.11458568554</v>
      </c>
      <c r="AA7" s="437">
        <f t="shared" ref="AA7:AF7" si="1">AA8+AA9+AA10+AA11</f>
        <v>288509.9934956861</v>
      </c>
      <c r="AB7" s="437">
        <f t="shared" si="1"/>
        <v>206749.31619233973</v>
      </c>
      <c r="AC7" s="437">
        <f t="shared" si="1"/>
        <v>65071.600000000006</v>
      </c>
      <c r="AD7" s="437">
        <f t="shared" si="1"/>
        <v>210659.19999999998</v>
      </c>
      <c r="AE7" s="437">
        <f t="shared" si="1"/>
        <v>175808.73129047977</v>
      </c>
      <c r="AF7" s="437">
        <f t="shared" si="1"/>
        <v>116183.67851939966</v>
      </c>
      <c r="AG7" s="437">
        <f>AA7+AB7+AC7+AD7+AE7+AF7</f>
        <v>1062982.5194979052</v>
      </c>
      <c r="AH7" s="437">
        <f>U7+Z7+AG7</f>
        <v>1987427.6340835907</v>
      </c>
      <c r="AI7" s="437">
        <f>AI8+AI9+AI10+AI11</f>
        <v>88393.670000000027</v>
      </c>
      <c r="AJ7" s="437">
        <f>AH7+AI7</f>
        <v>2075821.3040835906</v>
      </c>
      <c r="AK7" s="295" t="s">
        <v>292</v>
      </c>
      <c r="AL7" s="318" t="s">
        <v>1154</v>
      </c>
    </row>
    <row r="8" spans="1:39" s="1755" customFormat="1" ht="9.9499999999999993" customHeight="1">
      <c r="A8" s="1976" t="s">
        <v>2204</v>
      </c>
      <c r="B8" s="338">
        <v>61655.767259071792</v>
      </c>
      <c r="C8" s="338">
        <v>7089.0070967064485</v>
      </c>
      <c r="D8" s="338">
        <v>97950.522037150251</v>
      </c>
      <c r="E8" s="338">
        <v>6423.9445801695074</v>
      </c>
      <c r="F8" s="338">
        <v>35104.87059287275</v>
      </c>
      <c r="G8" s="338">
        <v>146568.34430689897</v>
      </c>
      <c r="H8" s="338">
        <v>65168.912034199086</v>
      </c>
      <c r="I8" s="338">
        <v>47645.023652397038</v>
      </c>
      <c r="J8" s="338">
        <v>15459.828055276404</v>
      </c>
      <c r="K8" s="338">
        <v>50492.790169731699</v>
      </c>
      <c r="L8" s="338">
        <v>41774.22542670554</v>
      </c>
      <c r="M8" s="338">
        <v>27935.006017158266</v>
      </c>
      <c r="N8" s="338">
        <v>248475.78535546805</v>
      </c>
      <c r="O8" s="338">
        <v>456699.89692143881</v>
      </c>
      <c r="P8" s="338">
        <v>19485.917251009931</v>
      </c>
      <c r="Q8" s="338">
        <v>476185.81417244877</v>
      </c>
      <c r="R8" s="231" t="s">
        <v>52</v>
      </c>
      <c r="S8" s="336" t="s">
        <v>2204</v>
      </c>
      <c r="T8" s="1976" t="s">
        <v>2204</v>
      </c>
      <c r="U8" s="1215">
        <v>62431.559414528158</v>
      </c>
      <c r="V8" s="1215">
        <v>7101.697712319683</v>
      </c>
      <c r="W8" s="1215">
        <v>99717.954365207654</v>
      </c>
      <c r="X8" s="1215">
        <v>6790.3129112561974</v>
      </c>
      <c r="Y8" s="1215">
        <v>35723.537324282843</v>
      </c>
      <c r="Z8" s="1215">
        <v>149333.50231306639</v>
      </c>
      <c r="AA8" s="1215">
        <v>66580.275128027337</v>
      </c>
      <c r="AB8" s="1215">
        <v>49726.198105016359</v>
      </c>
      <c r="AC8" s="1215">
        <v>15790.419094041306</v>
      </c>
      <c r="AD8" s="1215">
        <v>52075.533137287675</v>
      </c>
      <c r="AE8" s="1215">
        <v>42694.227697526665</v>
      </c>
      <c r="AF8" s="1215">
        <v>28259.053336145327</v>
      </c>
      <c r="AG8" s="1215">
        <v>255125.70649804466</v>
      </c>
      <c r="AH8" s="1215">
        <v>466890.76822563913</v>
      </c>
      <c r="AI8" s="1215">
        <v>21822.804231315422</v>
      </c>
      <c r="AJ8" s="1215">
        <v>488713.57245695451</v>
      </c>
      <c r="AK8" s="1163">
        <v>0</v>
      </c>
      <c r="AL8" s="336" t="s">
        <v>2204</v>
      </c>
    </row>
    <row r="9" spans="1:39" s="1755" customFormat="1" ht="9.9499999999999993" customHeight="1">
      <c r="A9" s="354" t="s">
        <v>2205</v>
      </c>
      <c r="B9" s="257">
        <v>75334.790680308099</v>
      </c>
      <c r="C9" s="257">
        <v>7850.6042076459471</v>
      </c>
      <c r="D9" s="257">
        <v>100244.39829153457</v>
      </c>
      <c r="E9" s="257">
        <v>5927.8721540965689</v>
      </c>
      <c r="F9" s="257">
        <v>37498.895666353492</v>
      </c>
      <c r="G9" s="257">
        <v>151521.77031963057</v>
      </c>
      <c r="H9" s="257">
        <v>70325.019702343823</v>
      </c>
      <c r="I9" s="257">
        <v>51346.176349413065</v>
      </c>
      <c r="J9" s="257">
        <v>16096.36818625498</v>
      </c>
      <c r="K9" s="257">
        <v>51443.023310812423</v>
      </c>
      <c r="L9" s="257">
        <v>34179.94256105856</v>
      </c>
      <c r="M9" s="257">
        <v>28671.821847823874</v>
      </c>
      <c r="N9" s="257">
        <v>252062.35195770673</v>
      </c>
      <c r="O9" s="257">
        <v>478918.91295764537</v>
      </c>
      <c r="P9" s="257">
        <v>23995.018629210495</v>
      </c>
      <c r="Q9" s="257">
        <v>502913.93158685591</v>
      </c>
      <c r="R9" s="256" t="s">
        <v>52</v>
      </c>
      <c r="S9" s="312" t="s">
        <v>2205</v>
      </c>
      <c r="T9" s="354" t="s">
        <v>2205</v>
      </c>
      <c r="U9" s="257">
        <v>74755.974483138329</v>
      </c>
      <c r="V9" s="257">
        <v>7867.5501729119715</v>
      </c>
      <c r="W9" s="257">
        <v>102307.65742153235</v>
      </c>
      <c r="X9" s="257">
        <v>6170.7871327514777</v>
      </c>
      <c r="Y9" s="257">
        <v>38261.682744942707</v>
      </c>
      <c r="Z9" s="257">
        <v>154607.67747213849</v>
      </c>
      <c r="AA9" s="257">
        <v>70373.391203844527</v>
      </c>
      <c r="AB9" s="257">
        <v>51286.291647324906</v>
      </c>
      <c r="AC9" s="257">
        <v>16102.696247535776</v>
      </c>
      <c r="AD9" s="257">
        <v>52084.378722787413</v>
      </c>
      <c r="AE9" s="257">
        <v>34208.742707831705</v>
      </c>
      <c r="AF9" s="257">
        <v>28855.810085260564</v>
      </c>
      <c r="AG9" s="257">
        <v>252911.31061458489</v>
      </c>
      <c r="AH9" s="257">
        <v>482274.96256986167</v>
      </c>
      <c r="AI9" s="257">
        <v>22811.675196935648</v>
      </c>
      <c r="AJ9" s="257">
        <v>505086.63776679727</v>
      </c>
      <c r="AK9" s="256">
        <v>0</v>
      </c>
      <c r="AL9" s="312" t="s">
        <v>2205</v>
      </c>
    </row>
    <row r="10" spans="1:39" s="1755" customFormat="1" ht="9.9499999999999993" customHeight="1">
      <c r="A10" s="1976" t="s">
        <v>2206</v>
      </c>
      <c r="B10" s="338">
        <v>60104.721242907013</v>
      </c>
      <c r="C10" s="338">
        <v>9194.6952076857251</v>
      </c>
      <c r="D10" s="338">
        <v>109439.96835841401</v>
      </c>
      <c r="E10" s="338">
        <v>6635.4626614448325</v>
      </c>
      <c r="F10" s="338">
        <v>48054.499700708067</v>
      </c>
      <c r="G10" s="338">
        <v>173324.62592825264</v>
      </c>
      <c r="H10" s="338">
        <v>72789.435120267575</v>
      </c>
      <c r="I10" s="338">
        <v>53324.096145827833</v>
      </c>
      <c r="J10" s="338">
        <v>16484.009634630886</v>
      </c>
      <c r="K10" s="338">
        <v>54266.048035267275</v>
      </c>
      <c r="L10" s="338">
        <v>43666.322332147414</v>
      </c>
      <c r="M10" s="338">
        <v>29594.729755146916</v>
      </c>
      <c r="N10" s="338">
        <v>270124.6410232879</v>
      </c>
      <c r="O10" s="338">
        <v>503553.98819444759</v>
      </c>
      <c r="P10" s="338">
        <v>20581.725555588258</v>
      </c>
      <c r="Q10" s="338">
        <v>524135.71375003585</v>
      </c>
      <c r="R10" s="231" t="s">
        <v>52</v>
      </c>
      <c r="S10" s="336" t="s">
        <v>2206</v>
      </c>
      <c r="T10" s="1976" t="s">
        <v>2206</v>
      </c>
      <c r="U10" s="1215">
        <v>59570.033591816995</v>
      </c>
      <c r="V10" s="1215">
        <v>9194.0351858565864</v>
      </c>
      <c r="W10" s="1215">
        <v>107844.64623328065</v>
      </c>
      <c r="X10" s="1215">
        <v>6381.2751078366091</v>
      </c>
      <c r="Y10" s="1215">
        <v>47665.681141372654</v>
      </c>
      <c r="Z10" s="1215">
        <v>171085.63766834652</v>
      </c>
      <c r="AA10" s="1215">
        <v>71838.308090038016</v>
      </c>
      <c r="AB10" s="1215">
        <v>52255.53438352084</v>
      </c>
      <c r="AC10" s="1215">
        <v>16262.763813303452</v>
      </c>
      <c r="AD10" s="1215">
        <v>53316.162094233478</v>
      </c>
      <c r="AE10" s="1215">
        <v>43093.569976741252</v>
      </c>
      <c r="AF10" s="1215">
        <v>29440.408191996212</v>
      </c>
      <c r="AG10" s="1215">
        <v>266206.74654983322</v>
      </c>
      <c r="AH10" s="1215">
        <v>496862.41780999675</v>
      </c>
      <c r="AI10" s="1215">
        <v>21386.723536030524</v>
      </c>
      <c r="AJ10" s="1215">
        <v>518249.14134602726</v>
      </c>
      <c r="AK10" s="1163">
        <v>0</v>
      </c>
      <c r="AL10" s="336" t="s">
        <v>2206</v>
      </c>
    </row>
    <row r="11" spans="1:39" s="1755" customFormat="1" ht="9.9499999999999993" customHeight="1">
      <c r="A11" s="354" t="s">
        <v>2207</v>
      </c>
      <c r="B11" s="257">
        <v>82409.72081771314</v>
      </c>
      <c r="C11" s="257">
        <v>8918.393487961881</v>
      </c>
      <c r="D11" s="257">
        <v>114752.11131290118</v>
      </c>
      <c r="E11" s="257">
        <v>7670.4997676960393</v>
      </c>
      <c r="F11" s="257">
        <v>42184.369462344301</v>
      </c>
      <c r="G11" s="257">
        <v>173525.37403090339</v>
      </c>
      <c r="H11" s="257">
        <v>80226.626638875561</v>
      </c>
      <c r="I11" s="257">
        <v>54434.020044701872</v>
      </c>
      <c r="J11" s="257">
        <v>17031.394123837723</v>
      </c>
      <c r="K11" s="257">
        <v>54457.338484188564</v>
      </c>
      <c r="L11" s="257">
        <v>56188.240970568244</v>
      </c>
      <c r="M11" s="257">
        <v>29982.120899270591</v>
      </c>
      <c r="N11" s="257">
        <v>292319.74116144259</v>
      </c>
      <c r="O11" s="257">
        <v>548254.83601005911</v>
      </c>
      <c r="P11" s="257">
        <v>24331.008564191354</v>
      </c>
      <c r="Q11" s="257">
        <v>572585.8445742504</v>
      </c>
      <c r="R11" s="256" t="s">
        <v>52</v>
      </c>
      <c r="S11" s="312" t="s">
        <v>2207</v>
      </c>
      <c r="T11" s="354" t="s">
        <v>2207</v>
      </c>
      <c r="U11" s="257">
        <v>82747.43251051649</v>
      </c>
      <c r="V11" s="257">
        <v>8889.4169289117599</v>
      </c>
      <c r="W11" s="257">
        <v>112516.7419799793</v>
      </c>
      <c r="X11" s="257">
        <v>7315.4040115626613</v>
      </c>
      <c r="Y11" s="257">
        <v>41191.73421168037</v>
      </c>
      <c r="Z11" s="257">
        <v>169913.29713213409</v>
      </c>
      <c r="AA11" s="257">
        <v>79718.019073776217</v>
      </c>
      <c r="AB11" s="257">
        <v>53481.292056477629</v>
      </c>
      <c r="AC11" s="257">
        <v>16915.720845119471</v>
      </c>
      <c r="AD11" s="257">
        <v>53183.126045691432</v>
      </c>
      <c r="AE11" s="257">
        <v>55812.190908380144</v>
      </c>
      <c r="AF11" s="257">
        <v>29628.406905997566</v>
      </c>
      <c r="AG11" s="257">
        <v>288738.75583544245</v>
      </c>
      <c r="AH11" s="257">
        <v>541399.48547809303</v>
      </c>
      <c r="AI11" s="257">
        <v>22372.467035718437</v>
      </c>
      <c r="AJ11" s="257">
        <v>563771.95251381141</v>
      </c>
      <c r="AK11" s="256">
        <v>0</v>
      </c>
      <c r="AL11" s="312" t="s">
        <v>2207</v>
      </c>
    </row>
    <row r="12" spans="1:39" s="177" customFormat="1" ht="9.9499999999999993" customHeight="1">
      <c r="A12" s="763" t="s">
        <v>1178</v>
      </c>
      <c r="B12" s="303">
        <f>B13+B14+B15+B16</f>
        <v>301166.90000000002</v>
      </c>
      <c r="C12" s="303">
        <f>C13+C14+C15+C16</f>
        <v>39984.199999999997</v>
      </c>
      <c r="D12" s="303">
        <f>D13+D14+D15+D16</f>
        <v>466606.1</v>
      </c>
      <c r="E12" s="303">
        <f>E13+E14+E15+E16</f>
        <v>31496.867348619642</v>
      </c>
      <c r="F12" s="303">
        <f>F13+F14+F15+F16</f>
        <v>188219.1234705612</v>
      </c>
      <c r="G12" s="303">
        <f>C12+F12+E12+D12</f>
        <v>726306.29081918078</v>
      </c>
      <c r="H12" s="303">
        <f t="shared" ref="H12:M12" si="2">H13+H14+H15+H16</f>
        <v>324631.95125287789</v>
      </c>
      <c r="I12" s="303">
        <f t="shared" si="2"/>
        <v>232656.34438252178</v>
      </c>
      <c r="J12" s="303">
        <f t="shared" si="2"/>
        <v>72246.5</v>
      </c>
      <c r="K12" s="303">
        <f t="shared" si="2"/>
        <v>234154.29999999996</v>
      </c>
      <c r="L12" s="303">
        <f t="shared" si="2"/>
        <v>202836.21187692077</v>
      </c>
      <c r="M12" s="303">
        <f t="shared" si="2"/>
        <v>127794.33229146704</v>
      </c>
      <c r="N12" s="303">
        <f t="shared" ref="N12:N42" si="3">H12+I12+J12+K12+L12+M12</f>
        <v>1194319.6398037875</v>
      </c>
      <c r="O12" s="303">
        <f t="shared" ref="O12:O42" si="4">N12+G12+B12</f>
        <v>2221792.8306229683</v>
      </c>
      <c r="P12" s="303">
        <f>P13+P14+P15+P16</f>
        <v>102514.29000000001</v>
      </c>
      <c r="Q12" s="303">
        <f t="shared" ref="Q12" si="5">O12+P12</f>
        <v>2324307.1206229683</v>
      </c>
      <c r="R12" s="302">
        <v>11.97</v>
      </c>
      <c r="S12" s="1801" t="s">
        <v>1178</v>
      </c>
      <c r="T12" s="763" t="s">
        <v>1178</v>
      </c>
      <c r="U12" s="1438">
        <f>U13+U14+U15+U16</f>
        <v>288438</v>
      </c>
      <c r="V12" s="1438">
        <f>V13+V14+V15+V16</f>
        <v>38766.9</v>
      </c>
      <c r="W12" s="1438">
        <f>W13+W14+W15+W16</f>
        <v>452319.19999999995</v>
      </c>
      <c r="X12" s="1438">
        <f>X13+X14+X15+X16</f>
        <v>28470.086937254207</v>
      </c>
      <c r="Y12" s="1438">
        <f>Y13+Y14+Y15+Y16</f>
        <v>178734.34912679688</v>
      </c>
      <c r="Z12" s="1438">
        <f>V12+Y12+X12+W12</f>
        <v>698290.53606405109</v>
      </c>
      <c r="AA12" s="1438">
        <f t="shared" ref="AA12:AF12" si="6">AA13+AA14+AA15+AA16</f>
        <v>312224.68506213918</v>
      </c>
      <c r="AB12" s="1438">
        <f t="shared" si="6"/>
        <v>219790.38168526502</v>
      </c>
      <c r="AC12" s="1438">
        <f t="shared" si="6"/>
        <v>68523.399999999994</v>
      </c>
      <c r="AD12" s="1438">
        <f t="shared" si="6"/>
        <v>218136.89999999997</v>
      </c>
      <c r="AE12" s="1438">
        <f t="shared" si="6"/>
        <v>192184.11765504227</v>
      </c>
      <c r="AF12" s="1438">
        <f t="shared" si="6"/>
        <v>119887.85402737258</v>
      </c>
      <c r="AG12" s="1438">
        <f t="shared" ref="AG12:AG42" si="7">AA12+AB12+AC12+AD12+AE12+AF12</f>
        <v>1130747.3384298191</v>
      </c>
      <c r="AH12" s="1438">
        <f t="shared" ref="AH12:AH42" si="8">AG12+Z12+U12</f>
        <v>2117475.87449387</v>
      </c>
      <c r="AI12" s="1438">
        <f>AI13+AI14+AI15+AI16</f>
        <v>95147.028397323869</v>
      </c>
      <c r="AJ12" s="1438">
        <f t="shared" ref="AJ12" si="9">AH12+AI12</f>
        <v>2212622.902891194</v>
      </c>
      <c r="AK12" s="1439">
        <v>6.59</v>
      </c>
      <c r="AL12" s="1801" t="s">
        <v>1178</v>
      </c>
    </row>
    <row r="13" spans="1:39" s="1755" customFormat="1" ht="9.9499999999999993" customHeight="1">
      <c r="A13" s="354" t="s">
        <v>2204</v>
      </c>
      <c r="B13" s="257">
        <v>66939.685044708065</v>
      </c>
      <c r="C13" s="257">
        <v>8352.3355353466432</v>
      </c>
      <c r="D13" s="257">
        <v>107238.42895501682</v>
      </c>
      <c r="E13" s="257">
        <v>8113.2308920535997</v>
      </c>
      <c r="F13" s="257">
        <v>40901.66733568989</v>
      </c>
      <c r="G13" s="257">
        <v>164605.66271810696</v>
      </c>
      <c r="H13" s="257">
        <v>69734.589997466144</v>
      </c>
      <c r="I13" s="257">
        <v>55432.254958150348</v>
      </c>
      <c r="J13" s="257">
        <v>17050.850858163998</v>
      </c>
      <c r="K13" s="257">
        <v>56215.252788557169</v>
      </c>
      <c r="L13" s="257">
        <v>45239.316563659806</v>
      </c>
      <c r="M13" s="257">
        <v>29441.910513141476</v>
      </c>
      <c r="N13" s="257">
        <v>273114.17567913892</v>
      </c>
      <c r="O13" s="257">
        <v>504659.52344195393</v>
      </c>
      <c r="P13" s="257">
        <v>23697.397075994893</v>
      </c>
      <c r="Q13" s="257">
        <v>528356.92051794881</v>
      </c>
      <c r="R13" s="256">
        <v>10.956039594788621</v>
      </c>
      <c r="S13" s="312" t="s">
        <v>2204</v>
      </c>
      <c r="T13" s="354" t="s">
        <v>2204</v>
      </c>
      <c r="U13" s="257">
        <v>65436.872878335591</v>
      </c>
      <c r="V13" s="257">
        <v>8119.5095582271224</v>
      </c>
      <c r="W13" s="257">
        <v>105827.62219896451</v>
      </c>
      <c r="X13" s="257">
        <v>7562.4873819147006</v>
      </c>
      <c r="Y13" s="257">
        <v>39420.666472659002</v>
      </c>
      <c r="Z13" s="257">
        <v>160930.28561176534</v>
      </c>
      <c r="AA13" s="257">
        <v>68553.652003110343</v>
      </c>
      <c r="AB13" s="257">
        <v>53116.686683449778</v>
      </c>
      <c r="AC13" s="257">
        <v>16520.28785939662</v>
      </c>
      <c r="AD13" s="257">
        <v>53903.930186044949</v>
      </c>
      <c r="AE13" s="257">
        <v>43826.605644740281</v>
      </c>
      <c r="AF13" s="257">
        <v>28746.976345979976</v>
      </c>
      <c r="AG13" s="257">
        <v>264668.13872272195</v>
      </c>
      <c r="AH13" s="257">
        <v>491035.29721282294</v>
      </c>
      <c r="AI13" s="257">
        <v>24211.367804011054</v>
      </c>
      <c r="AJ13" s="257">
        <v>515246.66501683398</v>
      </c>
      <c r="AK13" s="256">
        <v>5.4291703883907303</v>
      </c>
      <c r="AL13" s="312" t="s">
        <v>2204</v>
      </c>
    </row>
    <row r="14" spans="1:39" s="1755" customFormat="1" ht="9.9499999999999993" customHeight="1">
      <c r="A14" s="1976" t="s">
        <v>2205</v>
      </c>
      <c r="B14" s="338">
        <v>81095.091312407414</v>
      </c>
      <c r="C14" s="338">
        <v>9774.4045348753643</v>
      </c>
      <c r="D14" s="338">
        <v>111959.55658345523</v>
      </c>
      <c r="E14" s="338">
        <v>7376.7073009050218</v>
      </c>
      <c r="F14" s="338">
        <v>44226.008583828516</v>
      </c>
      <c r="G14" s="338">
        <v>173336.67700306413</v>
      </c>
      <c r="H14" s="338">
        <v>82320.207838532675</v>
      </c>
      <c r="I14" s="338">
        <v>57531.632363660538</v>
      </c>
      <c r="J14" s="338">
        <v>18126.960076199171</v>
      </c>
      <c r="K14" s="338">
        <v>57130.67551234454</v>
      </c>
      <c r="L14" s="338">
        <v>46877.417751041241</v>
      </c>
      <c r="M14" s="338">
        <v>30260.034180570558</v>
      </c>
      <c r="N14" s="338">
        <v>292246.92772234872</v>
      </c>
      <c r="O14" s="338">
        <v>546678.69603782031</v>
      </c>
      <c r="P14" s="338">
        <v>27004.682041364915</v>
      </c>
      <c r="Q14" s="338">
        <v>573683.37807918526</v>
      </c>
      <c r="R14" s="231">
        <v>14.071880305448857</v>
      </c>
      <c r="S14" s="336" t="s">
        <v>2205</v>
      </c>
      <c r="T14" s="1976" t="s">
        <v>2205</v>
      </c>
      <c r="U14" s="1215">
        <v>77393.345510836531</v>
      </c>
      <c r="V14" s="1215">
        <v>9471.6732118027321</v>
      </c>
      <c r="W14" s="1215">
        <v>110767.4031331107</v>
      </c>
      <c r="X14" s="1215">
        <v>6775.6718149604521</v>
      </c>
      <c r="Y14" s="1215">
        <v>42675.026606964893</v>
      </c>
      <c r="Z14" s="1215">
        <v>169689.77476683876</v>
      </c>
      <c r="AA14" s="1215">
        <v>79350.490556722056</v>
      </c>
      <c r="AB14" s="1215">
        <v>54467.029901183982</v>
      </c>
      <c r="AC14" s="1215">
        <v>17219.693665807979</v>
      </c>
      <c r="AD14" s="1215">
        <v>54090.83680761249</v>
      </c>
      <c r="AE14" s="1215">
        <v>44521.531826123959</v>
      </c>
      <c r="AF14" s="1215">
        <v>29300.604676951403</v>
      </c>
      <c r="AG14" s="1215">
        <v>278950.18743440189</v>
      </c>
      <c r="AH14" s="1215">
        <v>526033.30771207716</v>
      </c>
      <c r="AI14" s="1215">
        <v>24702.736926610345</v>
      </c>
      <c r="AJ14" s="1215">
        <v>550736.04463868751</v>
      </c>
      <c r="AK14" s="1163">
        <v>9.0379359615858448</v>
      </c>
      <c r="AL14" s="336" t="s">
        <v>2205</v>
      </c>
    </row>
    <row r="15" spans="1:39" s="1755" customFormat="1" ht="9.9499999999999993" customHeight="1">
      <c r="A15" s="354" t="s">
        <v>2206</v>
      </c>
      <c r="B15" s="257">
        <v>65444.632548575799</v>
      </c>
      <c r="C15" s="257">
        <v>11169.880318060512</v>
      </c>
      <c r="D15" s="257">
        <v>121404.49969617098</v>
      </c>
      <c r="E15" s="257">
        <v>7361.133293994395</v>
      </c>
      <c r="F15" s="257">
        <v>51242.800674458675</v>
      </c>
      <c r="G15" s="257">
        <v>191178.31398268454</v>
      </c>
      <c r="H15" s="257">
        <v>86750.851061795227</v>
      </c>
      <c r="I15" s="257">
        <v>59520.097366325484</v>
      </c>
      <c r="J15" s="257">
        <v>18246.058770933785</v>
      </c>
      <c r="K15" s="257">
        <v>60273.747995901933</v>
      </c>
      <c r="L15" s="257">
        <v>48534.538408677414</v>
      </c>
      <c r="M15" s="257">
        <v>33665.108702127371</v>
      </c>
      <c r="N15" s="257">
        <v>306990.40230576118</v>
      </c>
      <c r="O15" s="257">
        <v>563613.34883702151</v>
      </c>
      <c r="P15" s="257">
        <v>28361.395134686005</v>
      </c>
      <c r="Q15" s="257">
        <v>591974.74397170753</v>
      </c>
      <c r="R15" s="256">
        <v>12.943027624716422</v>
      </c>
      <c r="S15" s="312" t="s">
        <v>2206</v>
      </c>
      <c r="T15" s="354" t="s">
        <v>2206</v>
      </c>
      <c r="U15" s="257">
        <v>62053.888553697769</v>
      </c>
      <c r="V15" s="257">
        <v>10813.487002929611</v>
      </c>
      <c r="W15" s="257">
        <v>115967.26045966326</v>
      </c>
      <c r="X15" s="257">
        <v>6513.5001651246612</v>
      </c>
      <c r="Y15" s="257">
        <v>48305.772444912662</v>
      </c>
      <c r="Z15" s="257">
        <v>181600.0200726302</v>
      </c>
      <c r="AA15" s="257">
        <v>82499.79585690434</v>
      </c>
      <c r="AB15" s="257">
        <v>55791.51911537753</v>
      </c>
      <c r="AC15" s="257">
        <v>17099.668313169088</v>
      </c>
      <c r="AD15" s="257">
        <v>55112.589098187898</v>
      </c>
      <c r="AE15" s="257">
        <v>45467.564094600275</v>
      </c>
      <c r="AF15" s="257">
        <v>30688.827231651994</v>
      </c>
      <c r="AG15" s="257">
        <v>286659.96370989113</v>
      </c>
      <c r="AH15" s="257">
        <v>530313.87233621906</v>
      </c>
      <c r="AI15" s="257">
        <v>25380.096717704873</v>
      </c>
      <c r="AJ15" s="257">
        <v>555693.96905392385</v>
      </c>
      <c r="AK15" s="256">
        <v>7.2252561018514712</v>
      </c>
      <c r="AL15" s="312" t="s">
        <v>2206</v>
      </c>
    </row>
    <row r="16" spans="1:39" s="1755" customFormat="1" ht="9.9499999999999993" customHeight="1">
      <c r="A16" s="1976" t="s">
        <v>2207</v>
      </c>
      <c r="B16" s="338">
        <v>87687.491094308745</v>
      </c>
      <c r="C16" s="338">
        <v>10687.57961171748</v>
      </c>
      <c r="D16" s="338">
        <v>126003.61476535695</v>
      </c>
      <c r="E16" s="338">
        <v>8645.7958616666238</v>
      </c>
      <c r="F16" s="338">
        <v>51848.646876584127</v>
      </c>
      <c r="G16" s="338">
        <v>197185.63711532517</v>
      </c>
      <c r="H16" s="338">
        <v>85826.302355083841</v>
      </c>
      <c r="I16" s="338">
        <v>60172.359694385414</v>
      </c>
      <c r="J16" s="338">
        <v>18822.630294703053</v>
      </c>
      <c r="K16" s="338">
        <v>60534.623703196332</v>
      </c>
      <c r="L16" s="338">
        <v>62184.939153542291</v>
      </c>
      <c r="M16" s="338">
        <v>34427.278895627634</v>
      </c>
      <c r="N16" s="338">
        <v>321968.13409653859</v>
      </c>
      <c r="O16" s="338">
        <v>606841.26230617252</v>
      </c>
      <c r="P16" s="338">
        <v>23450.815747954191</v>
      </c>
      <c r="Q16" s="338">
        <v>630292.0780541267</v>
      </c>
      <c r="R16" s="231">
        <v>10.078180246105134</v>
      </c>
      <c r="S16" s="336" t="s">
        <v>2207</v>
      </c>
      <c r="T16" s="1976" t="s">
        <v>2207</v>
      </c>
      <c r="U16" s="1215">
        <v>83553.893057130103</v>
      </c>
      <c r="V16" s="1215">
        <v>10362.230227040536</v>
      </c>
      <c r="W16" s="1215">
        <v>119756.91420826153</v>
      </c>
      <c r="X16" s="1215">
        <v>7618.4275752543936</v>
      </c>
      <c r="Y16" s="1215">
        <v>48332.883602260306</v>
      </c>
      <c r="Z16" s="1215">
        <v>186070.45561281679</v>
      </c>
      <c r="AA16" s="1215">
        <v>81820.746645402425</v>
      </c>
      <c r="AB16" s="1215">
        <v>56415.145985253737</v>
      </c>
      <c r="AC16" s="1215">
        <v>17683.750161626311</v>
      </c>
      <c r="AD16" s="1215">
        <v>55029.543908154636</v>
      </c>
      <c r="AE16" s="1215">
        <v>58368.41608957776</v>
      </c>
      <c r="AF16" s="1215">
        <v>31151.445772789222</v>
      </c>
      <c r="AG16" s="1215">
        <v>300469.04856280412</v>
      </c>
      <c r="AH16" s="1215">
        <v>570093.39723275101</v>
      </c>
      <c r="AI16" s="1215">
        <v>20852.826948997597</v>
      </c>
      <c r="AJ16" s="1215">
        <v>590946.22418174858</v>
      </c>
      <c r="AK16" s="1163">
        <v>4.8200822241633858</v>
      </c>
      <c r="AL16" s="336" t="s">
        <v>2207</v>
      </c>
    </row>
    <row r="17" spans="1:38" s="177" customFormat="1" ht="9.9499999999999993" customHeight="1">
      <c r="A17" s="1977" t="s">
        <v>1298</v>
      </c>
      <c r="B17" s="437">
        <f>B18+B19+B20+B21</f>
        <v>329380.19999999995</v>
      </c>
      <c r="C17" s="437">
        <f>C18+C19+C20+C21</f>
        <v>44275.9</v>
      </c>
      <c r="D17" s="437">
        <f>D18+D19+D20+D21</f>
        <v>549024.19999999995</v>
      </c>
      <c r="E17" s="437">
        <f>E18+E19+E20+E21</f>
        <v>35112.788467701903</v>
      </c>
      <c r="F17" s="437">
        <f>F18+F19+F20+F21</f>
        <v>215692.86100266193</v>
      </c>
      <c r="G17" s="437">
        <f>C17+F17+E17+D17</f>
        <v>844105.74947036384</v>
      </c>
      <c r="H17" s="437">
        <f>H18+H19+H20+H21</f>
        <v>373715.53877657524</v>
      </c>
      <c r="I17" s="437">
        <f>I18+I19+I20+I21</f>
        <v>257373.17373775414</v>
      </c>
      <c r="J17" s="437">
        <f t="shared" ref="J17:M17" si="10">J18+J19+J20+J21</f>
        <v>81723.5</v>
      </c>
      <c r="K17" s="437">
        <f t="shared" si="10"/>
        <v>257972.99999999994</v>
      </c>
      <c r="L17" s="437">
        <f t="shared" si="10"/>
        <v>231777.66502913547</v>
      </c>
      <c r="M17" s="437">
        <f t="shared" si="10"/>
        <v>140554.60843347659</v>
      </c>
      <c r="N17" s="437">
        <f t="shared" si="3"/>
        <v>1343117.4859769414</v>
      </c>
      <c r="O17" s="437">
        <f t="shared" si="4"/>
        <v>2516603.4354473054</v>
      </c>
      <c r="P17" s="437">
        <f>P18+P19+P20+P21</f>
        <v>122644.51999999999</v>
      </c>
      <c r="Q17" s="437">
        <f>O17+P17</f>
        <v>2639247.9554473055</v>
      </c>
      <c r="R17" s="295">
        <v>13.55</v>
      </c>
      <c r="S17" s="318" t="s">
        <v>1298</v>
      </c>
      <c r="T17" s="1977" t="s">
        <v>1298</v>
      </c>
      <c r="U17" s="437">
        <f>U18+U19+U20+U21</f>
        <v>298661.8</v>
      </c>
      <c r="V17" s="437">
        <f>V18+V19+V20+V21</f>
        <v>42469.399999999994</v>
      </c>
      <c r="W17" s="437">
        <f>W18+W19+W20+W21</f>
        <v>499597.59999999992</v>
      </c>
      <c r="X17" s="437">
        <f>X18+X19+X20+X21</f>
        <v>30709.854676757059</v>
      </c>
      <c r="Y17" s="437">
        <f>Y18+Y19+Y20+Y21</f>
        <v>196710.05614344898</v>
      </c>
      <c r="Z17" s="437">
        <f>V17+Y17+X17+W17</f>
        <v>769486.91082020593</v>
      </c>
      <c r="AA17" s="437">
        <f>AA18+AA19+AA20+AA21</f>
        <v>339504.68523904792</v>
      </c>
      <c r="AB17" s="437">
        <f>AB18+AB19+AB20+AB21</f>
        <v>234301.84816872247</v>
      </c>
      <c r="AC17" s="437">
        <f t="shared" ref="AC17:AF17" si="11">AC18+AC19+AC20+AC21</f>
        <v>73278.3</v>
      </c>
      <c r="AD17" s="437">
        <f t="shared" si="11"/>
        <v>226397.1</v>
      </c>
      <c r="AE17" s="437">
        <f t="shared" si="11"/>
        <v>207559.61759458436</v>
      </c>
      <c r="AF17" s="437">
        <f t="shared" si="11"/>
        <v>123810.7560158001</v>
      </c>
      <c r="AG17" s="437">
        <f t="shared" si="7"/>
        <v>1204852.307018155</v>
      </c>
      <c r="AH17" s="437">
        <f t="shared" si="8"/>
        <v>2273001.0178383607</v>
      </c>
      <c r="AI17" s="437">
        <f>AI18+AI19+AI20+AI21</f>
        <v>101572.91042413279</v>
      </c>
      <c r="AJ17" s="437">
        <f>AH17+AI17</f>
        <v>2374573.9282624936</v>
      </c>
      <c r="AK17" s="295">
        <v>7.32</v>
      </c>
      <c r="AL17" s="318" t="s">
        <v>1298</v>
      </c>
    </row>
    <row r="18" spans="1:38" s="1755" customFormat="1" ht="9.9499999999999993" customHeight="1">
      <c r="A18" s="1976" t="s">
        <v>2204</v>
      </c>
      <c r="B18" s="338">
        <v>73882.544641136177</v>
      </c>
      <c r="C18" s="338">
        <v>9890.9741950672233</v>
      </c>
      <c r="D18" s="338">
        <v>126180.65519470387</v>
      </c>
      <c r="E18" s="338">
        <v>9403.3493179890447</v>
      </c>
      <c r="F18" s="338">
        <v>48480.134185755451</v>
      </c>
      <c r="G18" s="338">
        <v>193955.11289351559</v>
      </c>
      <c r="H18" s="338">
        <v>82857.162257350123</v>
      </c>
      <c r="I18" s="338">
        <v>61675.65645341092</v>
      </c>
      <c r="J18" s="338">
        <v>19549.766686623836</v>
      </c>
      <c r="K18" s="338">
        <v>61437.833087146028</v>
      </c>
      <c r="L18" s="338">
        <v>51728.212136366616</v>
      </c>
      <c r="M18" s="338">
        <v>33198.842536884113</v>
      </c>
      <c r="N18" s="338">
        <v>310447.47315778164</v>
      </c>
      <c r="O18" s="338">
        <v>578285.13069243333</v>
      </c>
      <c r="P18" s="338">
        <v>29527.598662072887</v>
      </c>
      <c r="Q18" s="338">
        <v>607812.72935450624</v>
      </c>
      <c r="R18" s="231">
        <v>15.038282977095633</v>
      </c>
      <c r="S18" s="336" t="s">
        <v>2204</v>
      </c>
      <c r="T18" s="1976" t="s">
        <v>2204</v>
      </c>
      <c r="U18" s="1215">
        <v>68409.566978895426</v>
      </c>
      <c r="V18" s="1215">
        <v>9778.9596002136586</v>
      </c>
      <c r="W18" s="1215">
        <v>118338.24269668813</v>
      </c>
      <c r="X18" s="1215">
        <v>8273.9314280279905</v>
      </c>
      <c r="Y18" s="1215">
        <v>44958.454453852362</v>
      </c>
      <c r="Z18" s="1215">
        <v>181349.58817878214</v>
      </c>
      <c r="AA18" s="1215">
        <v>76873.611801138424</v>
      </c>
      <c r="AB18" s="1215">
        <v>56895.880207390219</v>
      </c>
      <c r="AC18" s="1215">
        <v>17891.53546299239</v>
      </c>
      <c r="AD18" s="1215">
        <v>55517.10120961217</v>
      </c>
      <c r="AE18" s="1215">
        <v>47276.446022830874</v>
      </c>
      <c r="AF18" s="1215">
        <v>29802.792314153066</v>
      </c>
      <c r="AG18" s="1215">
        <v>284257.36701811716</v>
      </c>
      <c r="AH18" s="1215">
        <v>534016.5221757947</v>
      </c>
      <c r="AI18" s="1215">
        <v>26063.2811676577</v>
      </c>
      <c r="AJ18" s="1215">
        <v>560079.8033434524</v>
      </c>
      <c r="AK18" s="1163">
        <v>8.7012961695062359</v>
      </c>
      <c r="AL18" s="336" t="s">
        <v>2204</v>
      </c>
    </row>
    <row r="19" spans="1:38" s="1755" customFormat="1" ht="9.9499999999999993" customHeight="1">
      <c r="A19" s="354" t="s">
        <v>2205</v>
      </c>
      <c r="B19" s="257">
        <v>89211.755755255625</v>
      </c>
      <c r="C19" s="257">
        <v>11075.40368117694</v>
      </c>
      <c r="D19" s="257">
        <v>138358.75472811979</v>
      </c>
      <c r="E19" s="257">
        <v>8297.7008592919992</v>
      </c>
      <c r="F19" s="257">
        <v>52576.20294120234</v>
      </c>
      <c r="G19" s="257">
        <v>210308.0622097911</v>
      </c>
      <c r="H19" s="257">
        <v>93614.581786233364</v>
      </c>
      <c r="I19" s="257">
        <v>63624.374254812872</v>
      </c>
      <c r="J19" s="257">
        <v>20308.219942955449</v>
      </c>
      <c r="K19" s="257">
        <v>62730.963086052623</v>
      </c>
      <c r="L19" s="257">
        <v>52498.562445173346</v>
      </c>
      <c r="M19" s="257">
        <v>34853.249692394718</v>
      </c>
      <c r="N19" s="257">
        <v>327629.95120762242</v>
      </c>
      <c r="O19" s="257">
        <v>627149.76917266904</v>
      </c>
      <c r="P19" s="257">
        <v>33412.762613279519</v>
      </c>
      <c r="Q19" s="257">
        <v>660562.53178594855</v>
      </c>
      <c r="R19" s="256">
        <v>15.144094639390346</v>
      </c>
      <c r="S19" s="312" t="s">
        <v>2205</v>
      </c>
      <c r="T19" s="354" t="s">
        <v>2205</v>
      </c>
      <c r="U19" s="257">
        <v>80394.111107307064</v>
      </c>
      <c r="V19" s="257">
        <v>10732.021410199388</v>
      </c>
      <c r="W19" s="257">
        <v>125087.66150273099</v>
      </c>
      <c r="X19" s="257">
        <v>7280.5986363089596</v>
      </c>
      <c r="Y19" s="257">
        <v>48807.802955594918</v>
      </c>
      <c r="Z19" s="257">
        <v>191908.08450483426</v>
      </c>
      <c r="AA19" s="257">
        <v>85091.46002482553</v>
      </c>
      <c r="AB19" s="257">
        <v>58186.086914519736</v>
      </c>
      <c r="AC19" s="257">
        <v>18210.300694290348</v>
      </c>
      <c r="AD19" s="257">
        <v>56348.441273414821</v>
      </c>
      <c r="AE19" s="257">
        <v>47013.90359315939</v>
      </c>
      <c r="AF19" s="257">
        <v>30958.968001955345</v>
      </c>
      <c r="AG19" s="257">
        <v>295809.16050216515</v>
      </c>
      <c r="AH19" s="257">
        <v>568111.35611430649</v>
      </c>
      <c r="AI19" s="257">
        <v>28314.393281715911</v>
      </c>
      <c r="AJ19" s="257">
        <v>596425.74939602241</v>
      </c>
      <c r="AK19" s="256">
        <v>8.2961166609877353</v>
      </c>
      <c r="AL19" s="312" t="s">
        <v>2205</v>
      </c>
    </row>
    <row r="20" spans="1:38" s="1755" customFormat="1" ht="9.9499999999999993" customHeight="1">
      <c r="A20" s="1976" t="s">
        <v>2206</v>
      </c>
      <c r="B20" s="338">
        <v>69537.056976502106</v>
      </c>
      <c r="C20" s="338">
        <v>11445.602917598506</v>
      </c>
      <c r="D20" s="338">
        <v>141775.06135314977</v>
      </c>
      <c r="E20" s="338">
        <v>8280.0340107967932</v>
      </c>
      <c r="F20" s="338">
        <v>56288.088367409633</v>
      </c>
      <c r="G20" s="338">
        <v>217788.7866489547</v>
      </c>
      <c r="H20" s="338">
        <v>96469.447608952512</v>
      </c>
      <c r="I20" s="338">
        <v>65255.732790072194</v>
      </c>
      <c r="J20" s="338">
        <v>20535.405271649921</v>
      </c>
      <c r="K20" s="338">
        <v>67107.586602908967</v>
      </c>
      <c r="L20" s="338">
        <v>59638.390236941421</v>
      </c>
      <c r="M20" s="338">
        <v>36880.296624989009</v>
      </c>
      <c r="N20" s="338">
        <v>345886.85913551401</v>
      </c>
      <c r="O20" s="338">
        <v>633212.70276097092</v>
      </c>
      <c r="P20" s="338">
        <v>32691.588550053304</v>
      </c>
      <c r="Q20" s="338">
        <v>665904.29131102411</v>
      </c>
      <c r="R20" s="231">
        <v>12.48863200536303</v>
      </c>
      <c r="S20" s="336" t="s">
        <v>2206</v>
      </c>
      <c r="T20" s="1976" t="s">
        <v>2206</v>
      </c>
      <c r="U20" s="338">
        <v>62342.841113779883</v>
      </c>
      <c r="V20" s="338">
        <v>10898.913717131963</v>
      </c>
      <c r="W20" s="338">
        <v>127775.28554966566</v>
      </c>
      <c r="X20" s="338">
        <v>7224.6204127848414</v>
      </c>
      <c r="Y20" s="338">
        <v>50839.741251713363</v>
      </c>
      <c r="Z20" s="338">
        <v>196738.56093129583</v>
      </c>
      <c r="AA20" s="338">
        <v>86646.576884667913</v>
      </c>
      <c r="AB20" s="338">
        <v>59213.867899218887</v>
      </c>
      <c r="AC20" s="338">
        <v>18195.697701690726</v>
      </c>
      <c r="AD20" s="338">
        <v>57589.916510544266</v>
      </c>
      <c r="AE20" s="338">
        <v>52798.607599967821</v>
      </c>
      <c r="AF20" s="338">
        <v>32278.256169965131</v>
      </c>
      <c r="AG20" s="338">
        <v>306722.92276605475</v>
      </c>
      <c r="AH20" s="338">
        <v>565804.32481113041</v>
      </c>
      <c r="AI20" s="338">
        <v>27005.979609825077</v>
      </c>
      <c r="AJ20" s="338">
        <v>592810.30442095548</v>
      </c>
      <c r="AK20" s="231">
        <v>6.6792762624763782</v>
      </c>
      <c r="AL20" s="336" t="s">
        <v>2206</v>
      </c>
    </row>
    <row r="21" spans="1:38" s="1755" customFormat="1" ht="9.9499999999999993" customHeight="1">
      <c r="A21" s="354" t="s">
        <v>2207</v>
      </c>
      <c r="B21" s="257">
        <v>96748.842627106074</v>
      </c>
      <c r="C21" s="257">
        <v>11863.91920615733</v>
      </c>
      <c r="D21" s="257">
        <v>142709.72872402659</v>
      </c>
      <c r="E21" s="257">
        <v>9131.7042796240603</v>
      </c>
      <c r="F21" s="257">
        <v>58348.435508294482</v>
      </c>
      <c r="G21" s="257">
        <v>222053.78771810245</v>
      </c>
      <c r="H21" s="257">
        <v>100774.34712403922</v>
      </c>
      <c r="I21" s="257">
        <v>66817.410239458171</v>
      </c>
      <c r="J21" s="257">
        <v>21330.108098770794</v>
      </c>
      <c r="K21" s="257">
        <v>66696.617223892332</v>
      </c>
      <c r="L21" s="257">
        <v>67912.500210654078</v>
      </c>
      <c r="M21" s="257">
        <v>35622.219579208766</v>
      </c>
      <c r="N21" s="257">
        <v>359153.20247602335</v>
      </c>
      <c r="O21" s="257">
        <v>677955.83282123192</v>
      </c>
      <c r="P21" s="257">
        <v>27012.570174594286</v>
      </c>
      <c r="Q21" s="257">
        <v>704968.40299582621</v>
      </c>
      <c r="R21" s="256">
        <v>11.847892039551638</v>
      </c>
      <c r="S21" s="312" t="s">
        <v>2207</v>
      </c>
      <c r="T21" s="354" t="s">
        <v>2207</v>
      </c>
      <c r="U21" s="257">
        <v>87515.280800017645</v>
      </c>
      <c r="V21" s="257">
        <v>11059.505272454984</v>
      </c>
      <c r="W21" s="257">
        <v>128396.41025091517</v>
      </c>
      <c r="X21" s="257">
        <v>7930.7041996352691</v>
      </c>
      <c r="Y21" s="257">
        <v>52104.057482288343</v>
      </c>
      <c r="Z21" s="257">
        <v>199490.67720529376</v>
      </c>
      <c r="AA21" s="257">
        <v>90893.036528416051</v>
      </c>
      <c r="AB21" s="257">
        <v>60006.013147593607</v>
      </c>
      <c r="AC21" s="257">
        <v>18980.766141026532</v>
      </c>
      <c r="AD21" s="257">
        <v>56941.641006428748</v>
      </c>
      <c r="AE21" s="257">
        <v>60470.660378626242</v>
      </c>
      <c r="AF21" s="257">
        <v>30770.739529726561</v>
      </c>
      <c r="AG21" s="257">
        <v>318062.85673181777</v>
      </c>
      <c r="AH21" s="257">
        <v>605068.81473712926</v>
      </c>
      <c r="AI21" s="257">
        <v>20189.256364934099</v>
      </c>
      <c r="AJ21" s="257">
        <v>625258.0711020634</v>
      </c>
      <c r="AK21" s="256">
        <v>5.8062553776064192</v>
      </c>
      <c r="AL21" s="312" t="s">
        <v>2207</v>
      </c>
    </row>
    <row r="22" spans="1:38" s="177" customFormat="1" ht="9.9499999999999993" customHeight="1">
      <c r="A22" s="763" t="s">
        <v>1407</v>
      </c>
      <c r="B22" s="303">
        <f>B23+B24+B26+B25</f>
        <v>353443.10000000003</v>
      </c>
      <c r="C22" s="303">
        <f>C23+C24+C25+C26</f>
        <v>52609.8</v>
      </c>
      <c r="D22" s="303">
        <f t="shared" ref="D22:F22" si="12">D23+D24+D25+D26</f>
        <v>625937.30000000005</v>
      </c>
      <c r="E22" s="303">
        <f t="shared" si="12"/>
        <v>40817.452650932792</v>
      </c>
      <c r="F22" s="303">
        <f t="shared" si="12"/>
        <v>250255.00987126504</v>
      </c>
      <c r="G22" s="303">
        <f>F22+E22+D22+C22</f>
        <v>969619.56252219784</v>
      </c>
      <c r="H22" s="303">
        <f>H23+H24+H25+H26</f>
        <v>418395.35067398188</v>
      </c>
      <c r="I22" s="303">
        <f t="shared" ref="I22:M22" si="13">I23+I24+I25+I26</f>
        <v>285464.96171776089</v>
      </c>
      <c r="J22" s="303">
        <f t="shared" si="13"/>
        <v>93296.6</v>
      </c>
      <c r="K22" s="303">
        <f t="shared" si="13"/>
        <v>285911.40000000002</v>
      </c>
      <c r="L22" s="303">
        <f t="shared" si="13"/>
        <v>262777.22499398538</v>
      </c>
      <c r="M22" s="303">
        <f t="shared" si="13"/>
        <v>154934.96693163717</v>
      </c>
      <c r="N22" s="303">
        <f t="shared" si="3"/>
        <v>1500780.5043173654</v>
      </c>
      <c r="O22" s="303">
        <f t="shared" si="4"/>
        <v>2823843.1668395633</v>
      </c>
      <c r="P22" s="303">
        <f>P23+P24+P25+P26</f>
        <v>127585.52</v>
      </c>
      <c r="Q22" s="303">
        <f>O22+P22</f>
        <v>2951428.6868395633</v>
      </c>
      <c r="R22" s="302">
        <v>11.83</v>
      </c>
      <c r="S22" s="1801" t="s">
        <v>1407</v>
      </c>
      <c r="T22" s="763" t="s">
        <v>1407</v>
      </c>
      <c r="U22" s="303">
        <f>U23+U24+U26+U25</f>
        <v>308399.90000000002</v>
      </c>
      <c r="V22" s="303">
        <f>V23+V24+V25+V26</f>
        <v>47270.900000000009</v>
      </c>
      <c r="W22" s="303">
        <f t="shared" ref="W22:Y22" si="14">W23+W24+W25+W26</f>
        <v>561220.5</v>
      </c>
      <c r="X22" s="303">
        <f t="shared" si="14"/>
        <v>33198.020203526998</v>
      </c>
      <c r="Y22" s="303">
        <f t="shared" si="14"/>
        <v>217314.37154151924</v>
      </c>
      <c r="Z22" s="303">
        <f>Y22+X22+W22+V22</f>
        <v>859003.79174504627</v>
      </c>
      <c r="AA22" s="303">
        <f>AA23+AA24+AA25+AA26</f>
        <v>369560.73558138241</v>
      </c>
      <c r="AB22" s="303">
        <f t="shared" ref="AB22:AF22" si="15">AB23+AB24+AB25+AB26</f>
        <v>250458.75594248343</v>
      </c>
      <c r="AC22" s="303">
        <f t="shared" si="15"/>
        <v>79323.700000000012</v>
      </c>
      <c r="AD22" s="303">
        <f t="shared" si="15"/>
        <v>235334.00000000003</v>
      </c>
      <c r="AE22" s="303">
        <f t="shared" si="15"/>
        <v>225133.6778129614</v>
      </c>
      <c r="AF22" s="303">
        <f t="shared" si="15"/>
        <v>127933.08315187937</v>
      </c>
      <c r="AG22" s="303">
        <f t="shared" si="7"/>
        <v>1287743.9524887064</v>
      </c>
      <c r="AH22" s="303">
        <f t="shared" si="8"/>
        <v>2455147.6442337525</v>
      </c>
      <c r="AI22" s="303">
        <f>AI23+AI24+AI25+AI26</f>
        <v>106588.15136730987</v>
      </c>
      <c r="AJ22" s="303">
        <f>AH22+AI22</f>
        <v>2561735.7956010625</v>
      </c>
      <c r="AK22" s="302">
        <v>7.88</v>
      </c>
      <c r="AL22" s="1801" t="s">
        <v>1407</v>
      </c>
    </row>
    <row r="23" spans="1:38" s="1755" customFormat="1" ht="9.9499999999999993" customHeight="1">
      <c r="A23" s="354" t="s">
        <v>2204</v>
      </c>
      <c r="B23" s="257">
        <v>78997.86685667382</v>
      </c>
      <c r="C23" s="257">
        <v>11867.355427021723</v>
      </c>
      <c r="D23" s="257">
        <v>151418.6417860795</v>
      </c>
      <c r="E23" s="257">
        <v>10870.361364511347</v>
      </c>
      <c r="F23" s="257">
        <v>55891.661665468106</v>
      </c>
      <c r="G23" s="257">
        <v>230048.02024308065</v>
      </c>
      <c r="H23" s="257">
        <v>94751.281834613095</v>
      </c>
      <c r="I23" s="257">
        <v>68000.159544938608</v>
      </c>
      <c r="J23" s="257">
        <v>22101.204334873357</v>
      </c>
      <c r="K23" s="257">
        <v>67759.219879945871</v>
      </c>
      <c r="L23" s="257">
        <v>62878.645417912921</v>
      </c>
      <c r="M23" s="257">
        <v>35905.878913830165</v>
      </c>
      <c r="N23" s="257">
        <v>351396.389926114</v>
      </c>
      <c r="O23" s="257">
        <v>660442.27702586853</v>
      </c>
      <c r="P23" s="257">
        <v>30920.317185733868</v>
      </c>
      <c r="Q23" s="257">
        <v>691362.59421160235</v>
      </c>
      <c r="R23" s="256">
        <v>13.745988002887927</v>
      </c>
      <c r="S23" s="312" t="s">
        <v>2204</v>
      </c>
      <c r="T23" s="354" t="s">
        <v>2204</v>
      </c>
      <c r="U23" s="257">
        <v>70179.630042895878</v>
      </c>
      <c r="V23" s="257">
        <v>10903.705406752964</v>
      </c>
      <c r="W23" s="257">
        <v>136938.60937131129</v>
      </c>
      <c r="X23" s="257">
        <v>9323.6736245697793</v>
      </c>
      <c r="Y23" s="257">
        <v>49519.025617950916</v>
      </c>
      <c r="Z23" s="257">
        <v>206685.01402058496</v>
      </c>
      <c r="AA23" s="257">
        <v>85454.607271753615</v>
      </c>
      <c r="AB23" s="257">
        <v>61180.703034704202</v>
      </c>
      <c r="AC23" s="257">
        <v>19181.092972653445</v>
      </c>
      <c r="AD23" s="257">
        <v>57441.081516386825</v>
      </c>
      <c r="AE23" s="257">
        <v>54744.805262130605</v>
      </c>
      <c r="AF23" s="257">
        <v>30534.321608038132</v>
      </c>
      <c r="AG23" s="257">
        <v>308536.61166566686</v>
      </c>
      <c r="AH23" s="257">
        <v>585401.2557291477</v>
      </c>
      <c r="AI23" s="257">
        <v>29013.985774668719</v>
      </c>
      <c r="AJ23" s="257">
        <v>614415.24150381633</v>
      </c>
      <c r="AK23" s="256">
        <v>9.7013743105898556</v>
      </c>
      <c r="AL23" s="312" t="s">
        <v>2204</v>
      </c>
    </row>
    <row r="24" spans="1:38" s="1755" customFormat="1" ht="9.9499999999999993" customHeight="1">
      <c r="A24" s="1976" t="s">
        <v>2205</v>
      </c>
      <c r="B24" s="338">
        <v>95337.725501131412</v>
      </c>
      <c r="C24" s="338">
        <v>13072.761425981767</v>
      </c>
      <c r="D24" s="338">
        <v>156269.64022523072</v>
      </c>
      <c r="E24" s="338">
        <v>9032.5301419556672</v>
      </c>
      <c r="F24" s="338">
        <v>60755.260087152034</v>
      </c>
      <c r="G24" s="338">
        <v>239130.1918803202</v>
      </c>
      <c r="H24" s="338">
        <v>103780.47763240653</v>
      </c>
      <c r="I24" s="338">
        <v>70113.954758019914</v>
      </c>
      <c r="J24" s="338">
        <v>23024.549729885282</v>
      </c>
      <c r="K24" s="338">
        <v>69659.500551633435</v>
      </c>
      <c r="L24" s="338">
        <v>62138.8082302205</v>
      </c>
      <c r="M24" s="338">
        <v>38260.642412587127</v>
      </c>
      <c r="N24" s="338">
        <v>366977.93331475282</v>
      </c>
      <c r="O24" s="338">
        <v>701445.85069620435</v>
      </c>
      <c r="P24" s="338">
        <v>29149.594733661641</v>
      </c>
      <c r="Q24" s="338">
        <v>730595.44542986597</v>
      </c>
      <c r="R24" s="231">
        <v>10.602011206201922</v>
      </c>
      <c r="S24" s="336" t="s">
        <v>2205</v>
      </c>
      <c r="T24" s="1976" t="s">
        <v>2205</v>
      </c>
      <c r="U24" s="338">
        <v>82753.365258031772</v>
      </c>
      <c r="V24" s="338">
        <v>11973.175295760846</v>
      </c>
      <c r="W24" s="338">
        <v>141022.82312581447</v>
      </c>
      <c r="X24" s="338">
        <v>7551.9744553951141</v>
      </c>
      <c r="Y24" s="338">
        <v>53569.818027143912</v>
      </c>
      <c r="Z24" s="338">
        <v>214117.79090411434</v>
      </c>
      <c r="AA24" s="338">
        <v>91806.15390905246</v>
      </c>
      <c r="AB24" s="338">
        <v>61650.798910609854</v>
      </c>
      <c r="AC24" s="338">
        <v>19599.252117930126</v>
      </c>
      <c r="AD24" s="338">
        <v>58784.115166013347</v>
      </c>
      <c r="AE24" s="338">
        <v>53207.177195260461</v>
      </c>
      <c r="AF24" s="338">
        <v>32036.186060509062</v>
      </c>
      <c r="AG24" s="338">
        <v>317083.68335937534</v>
      </c>
      <c r="AH24" s="338">
        <v>613954.83952152147</v>
      </c>
      <c r="AI24" s="338">
        <v>25212.258660151525</v>
      </c>
      <c r="AJ24" s="338">
        <v>639167.09818167298</v>
      </c>
      <c r="AK24" s="231">
        <v>7.1662480751263757</v>
      </c>
      <c r="AL24" s="336" t="s">
        <v>2205</v>
      </c>
    </row>
    <row r="25" spans="1:38" s="1755" customFormat="1" ht="9.9499999999999993" customHeight="1">
      <c r="A25" s="354" t="s">
        <v>2206</v>
      </c>
      <c r="B25" s="257">
        <v>75448.90407815545</v>
      </c>
      <c r="C25" s="257">
        <v>13505.849058035683</v>
      </c>
      <c r="D25" s="257">
        <v>158901.44502927983</v>
      </c>
      <c r="E25" s="257">
        <v>9191.3042347441715</v>
      </c>
      <c r="F25" s="257">
        <v>64793.979940113262</v>
      </c>
      <c r="G25" s="257">
        <v>246392.57826217293</v>
      </c>
      <c r="H25" s="257">
        <v>105048.37263749904</v>
      </c>
      <c r="I25" s="257">
        <v>72714.183014540962</v>
      </c>
      <c r="J25" s="257">
        <v>23928.977199414785</v>
      </c>
      <c r="K25" s="257">
        <v>73851.9191210524</v>
      </c>
      <c r="L25" s="257">
        <v>62393.790832067956</v>
      </c>
      <c r="M25" s="257">
        <v>40098.245351697558</v>
      </c>
      <c r="N25" s="257">
        <v>378035.48815627268</v>
      </c>
      <c r="O25" s="257">
        <v>699876.97049660108</v>
      </c>
      <c r="P25" s="257">
        <v>33115.58640871742</v>
      </c>
      <c r="Q25" s="257">
        <v>732992.5569053184</v>
      </c>
      <c r="R25" s="256">
        <v>10.07476096335283</v>
      </c>
      <c r="S25" s="312" t="s">
        <v>2206</v>
      </c>
      <c r="T25" s="354" t="s">
        <v>2206</v>
      </c>
      <c r="U25" s="257">
        <v>65221.341675093383</v>
      </c>
      <c r="V25" s="257">
        <v>12078.09978719516</v>
      </c>
      <c r="W25" s="257">
        <v>141595.14898327869</v>
      </c>
      <c r="X25" s="257">
        <v>7346.9226378654448</v>
      </c>
      <c r="Y25" s="257">
        <v>55763.789893421264</v>
      </c>
      <c r="Z25" s="257">
        <v>216783.96130176054</v>
      </c>
      <c r="AA25" s="257">
        <v>91716.310066795413</v>
      </c>
      <c r="AB25" s="257">
        <v>63377.71347755981</v>
      </c>
      <c r="AC25" s="257">
        <v>20106.830487490839</v>
      </c>
      <c r="AD25" s="257">
        <v>59404.261843574372</v>
      </c>
      <c r="AE25" s="257">
        <v>52897.162329771745</v>
      </c>
      <c r="AF25" s="257">
        <v>32676.958741120288</v>
      </c>
      <c r="AG25" s="257">
        <v>320179.23694631248</v>
      </c>
      <c r="AH25" s="257">
        <v>602184.53992316651</v>
      </c>
      <c r="AI25" s="257">
        <v>27833.228055530122</v>
      </c>
      <c r="AJ25" s="257">
        <v>630017.76797869662</v>
      </c>
      <c r="AK25" s="256">
        <v>6.276453577183446</v>
      </c>
      <c r="AL25" s="312" t="s">
        <v>2206</v>
      </c>
    </row>
    <row r="26" spans="1:38" s="1755" customFormat="1" ht="9.9499999999999993" customHeight="1">
      <c r="A26" s="1976" t="s">
        <v>2207</v>
      </c>
      <c r="B26" s="338">
        <v>103658.60356403931</v>
      </c>
      <c r="C26" s="338">
        <v>14163.834088960828</v>
      </c>
      <c r="D26" s="338">
        <v>159347.57295941003</v>
      </c>
      <c r="E26" s="338">
        <v>11723.256909721602</v>
      </c>
      <c r="F26" s="338">
        <v>68814.10817853162</v>
      </c>
      <c r="G26" s="338">
        <v>254048.77213662409</v>
      </c>
      <c r="H26" s="338">
        <v>114815.21856946316</v>
      </c>
      <c r="I26" s="338">
        <v>74636.664400261376</v>
      </c>
      <c r="J26" s="338">
        <v>24241.868735826578</v>
      </c>
      <c r="K26" s="338">
        <v>74640.760447368288</v>
      </c>
      <c r="L26" s="338">
        <v>75365.980513784001</v>
      </c>
      <c r="M26" s="338">
        <v>40670.200253522322</v>
      </c>
      <c r="N26" s="338">
        <v>404370.69292022573</v>
      </c>
      <c r="O26" s="338">
        <v>762078.0686208891</v>
      </c>
      <c r="P26" s="338">
        <v>34400.021671887065</v>
      </c>
      <c r="Q26" s="338">
        <v>796478.09029277624</v>
      </c>
      <c r="R26" s="231">
        <v>12.98067926279694</v>
      </c>
      <c r="S26" s="336" t="s">
        <v>2207</v>
      </c>
      <c r="T26" s="1976" t="s">
        <v>2207</v>
      </c>
      <c r="U26" s="338">
        <v>90245.563023978961</v>
      </c>
      <c r="V26" s="338">
        <v>12315.919510291034</v>
      </c>
      <c r="W26" s="338">
        <v>141663.91851959552</v>
      </c>
      <c r="X26" s="338">
        <v>8975.4494856966594</v>
      </c>
      <c r="Y26" s="338">
        <v>58461.738003003156</v>
      </c>
      <c r="Z26" s="338">
        <v>221417.02551858636</v>
      </c>
      <c r="AA26" s="338">
        <v>100583.66433378086</v>
      </c>
      <c r="AB26" s="338">
        <v>64249.540519609596</v>
      </c>
      <c r="AC26" s="338">
        <v>20436.524421925591</v>
      </c>
      <c r="AD26" s="338">
        <v>59704.541474025486</v>
      </c>
      <c r="AE26" s="338">
        <v>64284.533025798577</v>
      </c>
      <c r="AF26" s="338">
        <v>32685.616742211889</v>
      </c>
      <c r="AG26" s="338">
        <v>341944.42051735206</v>
      </c>
      <c r="AH26" s="338">
        <v>653607.00905991741</v>
      </c>
      <c r="AI26" s="338">
        <v>24528.678876959504</v>
      </c>
      <c r="AJ26" s="338">
        <v>678135.6879368769</v>
      </c>
      <c r="AK26" s="231">
        <v>8.4569267121354983</v>
      </c>
      <c r="AL26" s="336" t="s">
        <v>2207</v>
      </c>
    </row>
    <row r="27" spans="1:38" s="177" customFormat="1" ht="9.9499999999999993" customHeight="1">
      <c r="A27" s="1977" t="s">
        <v>1487</v>
      </c>
      <c r="B27" s="437">
        <f>B28+B29+B31+B30</f>
        <v>380446.39999999997</v>
      </c>
      <c r="C27" s="437">
        <f>C28+C29+C30+C31</f>
        <v>55223.9</v>
      </c>
      <c r="D27" s="437">
        <f t="shared" ref="D27:F27" si="16">D28+D29+D30+D31</f>
        <v>653063.79999999993</v>
      </c>
      <c r="E27" s="437">
        <f t="shared" si="16"/>
        <v>47283.207454374853</v>
      </c>
      <c r="F27" s="437">
        <f t="shared" si="16"/>
        <v>287880.11816746776</v>
      </c>
      <c r="G27" s="437">
        <f>C27+D27+E27+F27</f>
        <v>1043451.0256218426</v>
      </c>
      <c r="H27" s="437">
        <f>H28+H29+H30+H31</f>
        <v>445757.36402097309</v>
      </c>
      <c r="I27" s="437">
        <f t="shared" ref="I27:M27" si="17">I28+I29+I30+I31</f>
        <v>303374.23886266712</v>
      </c>
      <c r="J27" s="437">
        <f t="shared" si="17"/>
        <v>103216.8</v>
      </c>
      <c r="K27" s="437">
        <f t="shared" si="17"/>
        <v>316662.10000000003</v>
      </c>
      <c r="L27" s="437">
        <f t="shared" si="17"/>
        <v>294129.04665477888</v>
      </c>
      <c r="M27" s="437">
        <f t="shared" si="17"/>
        <v>170010.60649929498</v>
      </c>
      <c r="N27" s="437">
        <f t="shared" si="3"/>
        <v>1633150.1560377141</v>
      </c>
      <c r="O27" s="437">
        <f t="shared" si="4"/>
        <v>3057047.5816595568</v>
      </c>
      <c r="P27" s="437">
        <f>P28+P29+P30+P31</f>
        <v>113421.73</v>
      </c>
      <c r="Q27" s="437">
        <f>O27+P27</f>
        <v>3170469.3116595568</v>
      </c>
      <c r="R27" s="295">
        <v>7.42</v>
      </c>
      <c r="S27" s="318" t="s">
        <v>1487</v>
      </c>
      <c r="T27" s="1977" t="s">
        <v>1487</v>
      </c>
      <c r="U27" s="437">
        <f>U28+U29+U31+U30</f>
        <v>318950.10000000003</v>
      </c>
      <c r="V27" s="437">
        <f>V28+V29+V30+V31</f>
        <v>48765.700000000004</v>
      </c>
      <c r="W27" s="437">
        <f t="shared" ref="W27:Y27" si="18">W28+W29+W30+W31</f>
        <v>570653.6</v>
      </c>
      <c r="X27" s="437">
        <f t="shared" si="18"/>
        <v>33457.683310223365</v>
      </c>
      <c r="Y27" s="437">
        <f t="shared" si="18"/>
        <v>237146.19932861373</v>
      </c>
      <c r="Z27" s="437">
        <f>V27+W27+X27+Y27</f>
        <v>890023.18263883702</v>
      </c>
      <c r="AA27" s="437">
        <f>AA28+AA29+AA30+AA31</f>
        <v>381438.9037485703</v>
      </c>
      <c r="AB27" s="437">
        <f t="shared" ref="AB27:AE27" si="19">AB28+AB29+AB30+AB31</f>
        <v>256273.02988106076</v>
      </c>
      <c r="AC27" s="437">
        <f t="shared" si="19"/>
        <v>83067.899999999994</v>
      </c>
      <c r="AD27" s="437">
        <f t="shared" si="19"/>
        <v>244442.00000000003</v>
      </c>
      <c r="AE27" s="437">
        <f t="shared" si="19"/>
        <v>241230.1972970838</v>
      </c>
      <c r="AF27" s="437">
        <f>AF28+AF29+AF30+AF31</f>
        <v>131937.09739267881</v>
      </c>
      <c r="AG27" s="437">
        <f t="shared" si="7"/>
        <v>1338389.1283193936</v>
      </c>
      <c r="AH27" s="437">
        <f t="shared" si="8"/>
        <v>2547362.410958231</v>
      </c>
      <c r="AI27" s="437">
        <f>AI28+AI29+AI30+AI31</f>
        <v>102702.60138116399</v>
      </c>
      <c r="AJ27" s="437">
        <f>AH27+AI27</f>
        <v>2650065.012339395</v>
      </c>
      <c r="AK27" s="295">
        <v>3.45</v>
      </c>
      <c r="AL27" s="318" t="s">
        <v>1487</v>
      </c>
    </row>
    <row r="28" spans="1:38" s="1755" customFormat="1" ht="9.9499999999999993" customHeight="1">
      <c r="A28" s="1976" t="s">
        <v>2204</v>
      </c>
      <c r="B28" s="338">
        <v>85041.971400082024</v>
      </c>
      <c r="C28" s="338">
        <v>13318.631116933131</v>
      </c>
      <c r="D28" s="338">
        <v>166854.69215829641</v>
      </c>
      <c r="E28" s="338">
        <v>13352.731275457269</v>
      </c>
      <c r="F28" s="338">
        <v>69718.415095993027</v>
      </c>
      <c r="G28" s="338">
        <v>263244.46964667982</v>
      </c>
      <c r="H28" s="338">
        <v>105448.87504467547</v>
      </c>
      <c r="I28" s="338">
        <v>74540.211745389708</v>
      </c>
      <c r="J28" s="338">
        <v>24752.395014126414</v>
      </c>
      <c r="K28" s="338">
        <v>75083.977246681694</v>
      </c>
      <c r="L28" s="338">
        <v>64851.511401115589</v>
      </c>
      <c r="M28" s="338">
        <v>41639.443570862255</v>
      </c>
      <c r="N28" s="338">
        <v>386316.4140228511</v>
      </c>
      <c r="O28" s="338">
        <v>734602.85506961297</v>
      </c>
      <c r="P28" s="338">
        <v>31339.669998721085</v>
      </c>
      <c r="Q28" s="338">
        <v>765942.52506833407</v>
      </c>
      <c r="R28" s="231">
        <v>10.787382985592274</v>
      </c>
      <c r="S28" s="336" t="s">
        <v>2204</v>
      </c>
      <c r="T28" s="1976" t="s">
        <v>2204</v>
      </c>
      <c r="U28" s="338">
        <v>72930.559852691775</v>
      </c>
      <c r="V28" s="338">
        <v>11792.284666229689</v>
      </c>
      <c r="W28" s="338">
        <v>146333.72438118004</v>
      </c>
      <c r="X28" s="338">
        <v>9605.4167664240049</v>
      </c>
      <c r="Y28" s="338">
        <v>58384.190682885259</v>
      </c>
      <c r="Z28" s="338">
        <v>226115.61649671898</v>
      </c>
      <c r="AA28" s="338">
        <v>92147.01501295084</v>
      </c>
      <c r="AB28" s="338">
        <v>64004.696772389558</v>
      </c>
      <c r="AC28" s="338">
        <v>20351.728851444062</v>
      </c>
      <c r="AD28" s="338">
        <v>59576.631189702697</v>
      </c>
      <c r="AE28" s="338">
        <v>54116.932691197122</v>
      </c>
      <c r="AF28" s="338">
        <v>33023.122030581006</v>
      </c>
      <c r="AG28" s="338">
        <v>323220.12654826528</v>
      </c>
      <c r="AH28" s="338">
        <v>622266.30289767613</v>
      </c>
      <c r="AI28" s="338">
        <v>31419.03417998489</v>
      </c>
      <c r="AJ28" s="338">
        <v>653685.33707766095</v>
      </c>
      <c r="AK28" s="231">
        <v>6.3914585643625657</v>
      </c>
      <c r="AL28" s="336" t="s">
        <v>2204</v>
      </c>
    </row>
    <row r="29" spans="1:38" s="1755" customFormat="1" ht="9.9499999999999993" customHeight="1">
      <c r="A29" s="354" t="s">
        <v>2205</v>
      </c>
      <c r="B29" s="257">
        <v>103885.10254193195</v>
      </c>
      <c r="C29" s="257">
        <v>14677.567183506631</v>
      </c>
      <c r="D29" s="257">
        <v>170636.1321513713</v>
      </c>
      <c r="E29" s="257">
        <v>11149.536003584079</v>
      </c>
      <c r="F29" s="257">
        <v>77328.300992727789</v>
      </c>
      <c r="G29" s="257">
        <v>273791.5363311898</v>
      </c>
      <c r="H29" s="257">
        <v>117970.40864367915</v>
      </c>
      <c r="I29" s="257">
        <v>76302.85713093722</v>
      </c>
      <c r="J29" s="257">
        <v>25949.774474377489</v>
      </c>
      <c r="K29" s="257">
        <v>77202.401237966827</v>
      </c>
      <c r="L29" s="257">
        <v>71923.606005386566</v>
      </c>
      <c r="M29" s="257">
        <v>43684.882731721489</v>
      </c>
      <c r="N29" s="257">
        <v>413033.93022406875</v>
      </c>
      <c r="O29" s="257">
        <v>790710.56909719051</v>
      </c>
      <c r="P29" s="257">
        <v>28679.366229404735</v>
      </c>
      <c r="Q29" s="257">
        <v>819389.93532659521</v>
      </c>
      <c r="R29" s="256">
        <v>12.153715226692199</v>
      </c>
      <c r="S29" s="312" t="s">
        <v>2205</v>
      </c>
      <c r="T29" s="354" t="s">
        <v>2205</v>
      </c>
      <c r="U29" s="257">
        <v>86457.586529919907</v>
      </c>
      <c r="V29" s="257">
        <v>12973.097929609228</v>
      </c>
      <c r="W29" s="257">
        <v>150191.15881564966</v>
      </c>
      <c r="X29" s="257">
        <v>7953.270959184304</v>
      </c>
      <c r="Y29" s="257">
        <v>64115.759701402487</v>
      </c>
      <c r="Z29" s="257">
        <v>235233.28740584568</v>
      </c>
      <c r="AA29" s="257">
        <v>100900.57417312227</v>
      </c>
      <c r="AB29" s="257">
        <v>64616.254382792555</v>
      </c>
      <c r="AC29" s="257">
        <v>20884.425920171339</v>
      </c>
      <c r="AD29" s="257">
        <v>61012.955503955876</v>
      </c>
      <c r="AE29" s="257">
        <v>59021.983961985003</v>
      </c>
      <c r="AF29" s="257">
        <v>34128.044075704427</v>
      </c>
      <c r="AG29" s="257">
        <v>340564.2380177314</v>
      </c>
      <c r="AH29" s="257">
        <v>662255.11195349717</v>
      </c>
      <c r="AI29" s="257">
        <v>24073.06156908847</v>
      </c>
      <c r="AJ29" s="257">
        <v>686328.17352258565</v>
      </c>
      <c r="AK29" s="256">
        <v>7.3785204956698038</v>
      </c>
      <c r="AL29" s="312" t="s">
        <v>2205</v>
      </c>
    </row>
    <row r="30" spans="1:38" s="1755" customFormat="1" ht="9.9499999999999993" customHeight="1">
      <c r="A30" s="1976" t="s">
        <v>2206</v>
      </c>
      <c r="B30" s="338">
        <v>80958.015423276913</v>
      </c>
      <c r="C30" s="338">
        <v>16132.698227645878</v>
      </c>
      <c r="D30" s="338">
        <v>173958.0522092536</v>
      </c>
      <c r="E30" s="338">
        <v>11334.000361614575</v>
      </c>
      <c r="F30" s="338">
        <v>82042.022810793453</v>
      </c>
      <c r="G30" s="338">
        <v>283466.77360930748</v>
      </c>
      <c r="H30" s="338">
        <v>118909.23132480324</v>
      </c>
      <c r="I30" s="338">
        <v>78374.292652366916</v>
      </c>
      <c r="J30" s="338">
        <v>26197.93556711495</v>
      </c>
      <c r="K30" s="338">
        <v>81655.078527855425</v>
      </c>
      <c r="L30" s="338">
        <v>69716.617474775892</v>
      </c>
      <c r="M30" s="338">
        <v>43165.574062688225</v>
      </c>
      <c r="N30" s="338">
        <v>418018.72960960463</v>
      </c>
      <c r="O30" s="338">
        <v>782443.5186421891</v>
      </c>
      <c r="P30" s="338">
        <v>33668.863362116579</v>
      </c>
      <c r="Q30" s="338">
        <v>816112.3820043056</v>
      </c>
      <c r="R30" s="231">
        <v>11.339791150119936</v>
      </c>
      <c r="S30" s="336" t="s">
        <v>2206</v>
      </c>
      <c r="T30" s="1976" t="s">
        <v>2206</v>
      </c>
      <c r="U30" s="338">
        <v>67539.690661659595</v>
      </c>
      <c r="V30" s="338">
        <v>14209.138715523408</v>
      </c>
      <c r="W30" s="338">
        <v>151517.21546833185</v>
      </c>
      <c r="X30" s="338">
        <v>7846.853544372806</v>
      </c>
      <c r="Y30" s="338">
        <v>66814.39166317592</v>
      </c>
      <c r="Z30" s="338">
        <v>240387.59939140399</v>
      </c>
      <c r="AA30" s="338">
        <v>100656.24936135326</v>
      </c>
      <c r="AB30" s="338">
        <v>65890.296365249975</v>
      </c>
      <c r="AC30" s="338">
        <v>20861.10791996873</v>
      </c>
      <c r="AD30" s="338">
        <v>61525.209565417572</v>
      </c>
      <c r="AE30" s="338">
        <v>56621.477125780053</v>
      </c>
      <c r="AF30" s="338">
        <v>33204.685651839216</v>
      </c>
      <c r="AG30" s="338">
        <v>338759.02598960884</v>
      </c>
      <c r="AH30" s="338">
        <v>646686.31604267238</v>
      </c>
      <c r="AI30" s="338">
        <v>29140.332313139086</v>
      </c>
      <c r="AJ30" s="338">
        <v>675826.64835581149</v>
      </c>
      <c r="AK30" s="231">
        <v>7.271045787182274</v>
      </c>
      <c r="AL30" s="336" t="s">
        <v>2206</v>
      </c>
    </row>
    <row r="31" spans="1:38" s="1755" customFormat="1" ht="9.9499999999999993" customHeight="1">
      <c r="A31" s="354" t="s">
        <v>2207</v>
      </c>
      <c r="B31" s="257">
        <v>110561.31063470908</v>
      </c>
      <c r="C31" s="257">
        <v>11095.003471914357</v>
      </c>
      <c r="D31" s="257">
        <v>141614.92348107864</v>
      </c>
      <c r="E31" s="257">
        <v>11446.939813718929</v>
      </c>
      <c r="F31" s="257">
        <v>58791.379267953489</v>
      </c>
      <c r="G31" s="257">
        <v>222948.24603466541</v>
      </c>
      <c r="H31" s="257">
        <v>103428.84900781527</v>
      </c>
      <c r="I31" s="257">
        <v>74156.877333973272</v>
      </c>
      <c r="J31" s="257">
        <v>26316.694944381143</v>
      </c>
      <c r="K31" s="257">
        <v>82720.642987496074</v>
      </c>
      <c r="L31" s="257">
        <v>87637.311773500784</v>
      </c>
      <c r="M31" s="257">
        <v>41520.706134023036</v>
      </c>
      <c r="N31" s="257">
        <v>415781.08218118956</v>
      </c>
      <c r="O31" s="257">
        <v>749290.63885056414</v>
      </c>
      <c r="P31" s="257">
        <v>19733.830409757604</v>
      </c>
      <c r="Q31" s="257">
        <v>769024.4692603217</v>
      </c>
      <c r="R31" s="256">
        <v>-3.4468771165271903</v>
      </c>
      <c r="S31" s="312" t="s">
        <v>2207</v>
      </c>
      <c r="T31" s="354" t="s">
        <v>2207</v>
      </c>
      <c r="U31" s="257">
        <v>92022.262955728758</v>
      </c>
      <c r="V31" s="257">
        <v>9791.1786886376813</v>
      </c>
      <c r="W31" s="257">
        <v>122611.50133483842</v>
      </c>
      <c r="X31" s="257">
        <v>8052.1420402422473</v>
      </c>
      <c r="Y31" s="257">
        <v>47831.857281150063</v>
      </c>
      <c r="Z31" s="257">
        <v>188286.6793448684</v>
      </c>
      <c r="AA31" s="257">
        <v>87735.065201143894</v>
      </c>
      <c r="AB31" s="257">
        <v>61761.782360628655</v>
      </c>
      <c r="AC31" s="257">
        <v>20970.637308415862</v>
      </c>
      <c r="AD31" s="257">
        <v>62327.203740923876</v>
      </c>
      <c r="AE31" s="257">
        <v>71469.803518121626</v>
      </c>
      <c r="AF31" s="257">
        <v>31581.245634554147</v>
      </c>
      <c r="AG31" s="257">
        <v>335845.73776378803</v>
      </c>
      <c r="AH31" s="257">
        <v>616154.68006438517</v>
      </c>
      <c r="AI31" s="257">
        <v>18070.173318951529</v>
      </c>
      <c r="AJ31" s="257">
        <v>634224.8533833368</v>
      </c>
      <c r="AK31" s="256">
        <v>-6.4752283849169032</v>
      </c>
      <c r="AL31" s="312" t="s">
        <v>2207</v>
      </c>
    </row>
    <row r="32" spans="1:38" s="177" customFormat="1" ht="9.9499999999999993" customHeight="1">
      <c r="A32" s="763" t="s">
        <v>1539</v>
      </c>
      <c r="B32" s="303">
        <f>B33+B34+B35+B36</f>
        <v>410661.4</v>
      </c>
      <c r="C32" s="303">
        <f>C33+C34+C35+C36</f>
        <v>59102.100000000006</v>
      </c>
      <c r="D32" s="303">
        <f t="shared" ref="D32:F32" si="20">D33+D34+D35+D36</f>
        <v>749658.5</v>
      </c>
      <c r="E32" s="303">
        <f t="shared" si="20"/>
        <v>47869.255650889609</v>
      </c>
      <c r="F32" s="303">
        <f t="shared" si="20"/>
        <v>319489.88323415554</v>
      </c>
      <c r="G32" s="303">
        <f>C32+D32+E32+F32</f>
        <v>1176119.7388850451</v>
      </c>
      <c r="H32" s="303">
        <f>H33+H34+H35+H36</f>
        <v>497651.62808608619</v>
      </c>
      <c r="I32" s="303">
        <f t="shared" ref="I32:M32" si="21">I33+I34+I35+I36</f>
        <v>334520.15196190221</v>
      </c>
      <c r="J32" s="303">
        <f t="shared" si="21"/>
        <v>115270.60000000002</v>
      </c>
      <c r="K32" s="303">
        <f t="shared" si="21"/>
        <v>346439.50000000006</v>
      </c>
      <c r="L32" s="303">
        <f t="shared" si="21"/>
        <v>331138.89531430835</v>
      </c>
      <c r="M32" s="303">
        <f t="shared" si="21"/>
        <v>186017.21778808741</v>
      </c>
      <c r="N32" s="303">
        <f t="shared" si="3"/>
        <v>1811037.9931503842</v>
      </c>
      <c r="O32" s="303">
        <f t="shared" si="4"/>
        <v>3397819.1320354291</v>
      </c>
      <c r="P32" s="303">
        <f>P33+P34+P35+P36</f>
        <v>132365.61968796421</v>
      </c>
      <c r="Q32" s="303">
        <f>O32+P32</f>
        <v>3530184.7517233933</v>
      </c>
      <c r="R32" s="302">
        <v>11.35</v>
      </c>
      <c r="S32" s="1801" t="s">
        <v>1539</v>
      </c>
      <c r="T32" s="763" t="s">
        <v>1539</v>
      </c>
      <c r="U32" s="303">
        <f>U33+U34+U35+U36</f>
        <v>329075.3</v>
      </c>
      <c r="V32" s="303">
        <f>V33+V34+V35+V36</f>
        <v>51931.599999999991</v>
      </c>
      <c r="W32" s="303">
        <f t="shared" ref="W32:Y32" si="22">W33+W34+W35+W36</f>
        <v>636764.5</v>
      </c>
      <c r="X32" s="303">
        <f t="shared" si="22"/>
        <v>36579.897133053659</v>
      </c>
      <c r="Y32" s="303">
        <f t="shared" si="22"/>
        <v>256304.84199581077</v>
      </c>
      <c r="Z32" s="303">
        <f>V32+W32+X32+Y32</f>
        <v>981580.83912886435</v>
      </c>
      <c r="AA32" s="303">
        <f>AA33+AA34+AA35+AA36</f>
        <v>410589.56592715345</v>
      </c>
      <c r="AB32" s="303">
        <f t="shared" ref="AB32:AF32" si="23">AB33+AB34+AB35+AB36</f>
        <v>267772.99982419831</v>
      </c>
      <c r="AC32" s="303">
        <f t="shared" si="23"/>
        <v>87900.9</v>
      </c>
      <c r="AD32" s="303">
        <f t="shared" si="23"/>
        <v>253362.10000000006</v>
      </c>
      <c r="AE32" s="303">
        <f t="shared" si="23"/>
        <v>259377.07447403681</v>
      </c>
      <c r="AF32" s="303">
        <f t="shared" si="23"/>
        <v>136105.23201766436</v>
      </c>
      <c r="AG32" s="303">
        <f t="shared" si="7"/>
        <v>1415107.8722430528</v>
      </c>
      <c r="AH32" s="303">
        <f t="shared" si="8"/>
        <v>2725764.0113719171</v>
      </c>
      <c r="AI32" s="303">
        <f>AI33+AI34+AI35+AI36</f>
        <v>108180.22016781426</v>
      </c>
      <c r="AJ32" s="303">
        <f>AH32+AI32</f>
        <v>2833944.2315397314</v>
      </c>
      <c r="AK32" s="302">
        <v>6.94</v>
      </c>
      <c r="AL32" s="1801" t="s">
        <v>1539</v>
      </c>
    </row>
    <row r="33" spans="1:38" s="1755" customFormat="1" ht="9.9499999999999993" customHeight="1">
      <c r="A33" s="354" t="s">
        <v>2204</v>
      </c>
      <c r="B33" s="257">
        <v>91924.178142803343</v>
      </c>
      <c r="C33" s="257">
        <v>13285.167590949088</v>
      </c>
      <c r="D33" s="257">
        <v>171951.06042237976</v>
      </c>
      <c r="E33" s="257">
        <v>13288.501545186507</v>
      </c>
      <c r="F33" s="257">
        <v>70432.003114339313</v>
      </c>
      <c r="G33" s="257">
        <v>268956.73267285468</v>
      </c>
      <c r="H33" s="257">
        <v>106600.71287145819</v>
      </c>
      <c r="I33" s="257">
        <v>76864.501434128499</v>
      </c>
      <c r="J33" s="257">
        <v>27953.370364760154</v>
      </c>
      <c r="K33" s="257">
        <v>83408.101995039586</v>
      </c>
      <c r="L33" s="257">
        <v>76550.109083671559</v>
      </c>
      <c r="M33" s="257">
        <v>41709.907095120041</v>
      </c>
      <c r="N33" s="257">
        <v>413086.70284417807</v>
      </c>
      <c r="O33" s="257">
        <v>773967.61365983612</v>
      </c>
      <c r="P33" s="257">
        <v>31371.674421872031</v>
      </c>
      <c r="Q33" s="257">
        <v>805339.28808170813</v>
      </c>
      <c r="R33" s="256">
        <v>5.1435664849473142</v>
      </c>
      <c r="S33" s="312" t="s">
        <v>2204</v>
      </c>
      <c r="T33" s="354" t="s">
        <v>2204</v>
      </c>
      <c r="U33" s="257">
        <v>75324.150002767434</v>
      </c>
      <c r="V33" s="257">
        <v>11486.734498048865</v>
      </c>
      <c r="W33" s="257">
        <v>149145.5268812115</v>
      </c>
      <c r="X33" s="257">
        <v>9826.6955136549732</v>
      </c>
      <c r="Y33" s="257">
        <v>57511.255889431413</v>
      </c>
      <c r="Z33" s="257">
        <v>227970.21278234676</v>
      </c>
      <c r="AA33" s="257">
        <v>89789.211575460271</v>
      </c>
      <c r="AB33" s="257">
        <v>63991.763839745123</v>
      </c>
      <c r="AC33" s="257">
        <v>21738.72205776332</v>
      </c>
      <c r="AD33" s="257">
        <v>62282.432425491257</v>
      </c>
      <c r="AE33" s="257">
        <v>61046.973047227679</v>
      </c>
      <c r="AF33" s="257">
        <v>31361.308157453186</v>
      </c>
      <c r="AG33" s="257">
        <v>330210.41110314085</v>
      </c>
      <c r="AH33" s="257">
        <v>633504.773888255</v>
      </c>
      <c r="AI33" s="257">
        <v>30313.775785359769</v>
      </c>
      <c r="AJ33" s="257">
        <v>663818.54967361479</v>
      </c>
      <c r="AK33" s="256">
        <v>1.5501667271985866</v>
      </c>
      <c r="AL33" s="312" t="s">
        <v>2204</v>
      </c>
    </row>
    <row r="34" spans="1:38" s="1755" customFormat="1" ht="9.9499999999999993" customHeight="1">
      <c r="A34" s="1976" t="s">
        <v>2205</v>
      </c>
      <c r="B34" s="338">
        <v>112062.23833176374</v>
      </c>
      <c r="C34" s="338">
        <v>14832.976553222543</v>
      </c>
      <c r="D34" s="338">
        <v>181501.50736614841</v>
      </c>
      <c r="E34" s="338">
        <v>11056.656285393881</v>
      </c>
      <c r="F34" s="338">
        <v>76880.94673654795</v>
      </c>
      <c r="G34" s="338">
        <v>284272.08694131277</v>
      </c>
      <c r="H34" s="338">
        <v>114014.15780602868</v>
      </c>
      <c r="I34" s="338">
        <v>81619.203398455022</v>
      </c>
      <c r="J34" s="338">
        <v>28880.511711860563</v>
      </c>
      <c r="K34" s="338">
        <v>86497.051324816595</v>
      </c>
      <c r="L34" s="338">
        <v>75446.63194228182</v>
      </c>
      <c r="M34" s="338">
        <v>42825.004974638992</v>
      </c>
      <c r="N34" s="338">
        <v>429282.56115808169</v>
      </c>
      <c r="O34" s="338">
        <v>825616.88643115829</v>
      </c>
      <c r="P34" s="338">
        <v>35707.730026739984</v>
      </c>
      <c r="Q34" s="338">
        <v>861324.61645789817</v>
      </c>
      <c r="R34" s="231">
        <v>5.1177930461872734</v>
      </c>
      <c r="S34" s="336" t="s">
        <v>2205</v>
      </c>
      <c r="T34" s="1976" t="s">
        <v>2205</v>
      </c>
      <c r="U34" s="338">
        <v>88887.537983924471</v>
      </c>
      <c r="V34" s="338">
        <v>12865.237658429425</v>
      </c>
      <c r="W34" s="338">
        <v>156033.52136086806</v>
      </c>
      <c r="X34" s="338">
        <v>8505.557935533041</v>
      </c>
      <c r="Y34" s="338">
        <v>62614.274028906613</v>
      </c>
      <c r="Z34" s="338">
        <v>240018.59098373714</v>
      </c>
      <c r="AA34" s="338">
        <v>93964.18751238042</v>
      </c>
      <c r="AB34" s="338">
        <v>66615.716639279242</v>
      </c>
      <c r="AC34" s="338">
        <v>21980.921605239131</v>
      </c>
      <c r="AD34" s="338">
        <v>64427.557389869835</v>
      </c>
      <c r="AE34" s="338">
        <v>58826.336299806113</v>
      </c>
      <c r="AF34" s="338">
        <v>31779.265147872698</v>
      </c>
      <c r="AG34" s="338">
        <v>337593.98459444742</v>
      </c>
      <c r="AH34" s="338">
        <v>666500.11356210907</v>
      </c>
      <c r="AI34" s="338">
        <v>28635.231037392317</v>
      </c>
      <c r="AJ34" s="338">
        <v>695135.34459950135</v>
      </c>
      <c r="AK34" s="231">
        <v>1.2832302995391842</v>
      </c>
      <c r="AL34" s="336" t="s">
        <v>2205</v>
      </c>
    </row>
    <row r="35" spans="1:38" s="1755" customFormat="1" ht="9.9499999999999993" customHeight="1">
      <c r="A35" s="354" t="s">
        <v>2206</v>
      </c>
      <c r="B35" s="257">
        <v>87665.298181855149</v>
      </c>
      <c r="C35" s="257">
        <v>17081.283086271578</v>
      </c>
      <c r="D35" s="257">
        <v>193813.44246793963</v>
      </c>
      <c r="E35" s="257">
        <v>10708.798300108152</v>
      </c>
      <c r="F35" s="257">
        <v>87471.179646408928</v>
      </c>
      <c r="G35" s="257">
        <v>309074.7035007283</v>
      </c>
      <c r="H35" s="257">
        <v>130681.25277489719</v>
      </c>
      <c r="I35" s="257">
        <v>86873.063236032773</v>
      </c>
      <c r="J35" s="257">
        <v>28884.422475081356</v>
      </c>
      <c r="K35" s="257">
        <v>87543.883620091554</v>
      </c>
      <c r="L35" s="257">
        <v>81197.258115417178</v>
      </c>
      <c r="M35" s="257">
        <v>51085.089376185861</v>
      </c>
      <c r="N35" s="257">
        <v>466264.96959770593</v>
      </c>
      <c r="O35" s="257">
        <v>863004.97128028946</v>
      </c>
      <c r="P35" s="257">
        <v>38870.700601428485</v>
      </c>
      <c r="Q35" s="257">
        <v>901875.67188171798</v>
      </c>
      <c r="R35" s="256">
        <v>10.508759794427419</v>
      </c>
      <c r="S35" s="312" t="s">
        <v>2206</v>
      </c>
      <c r="T35" s="354" t="s">
        <v>2206</v>
      </c>
      <c r="U35" s="257">
        <v>70053.462243973074</v>
      </c>
      <c r="V35" s="257">
        <v>15083.009066111985</v>
      </c>
      <c r="W35" s="257">
        <v>164498.5794615809</v>
      </c>
      <c r="X35" s="257">
        <v>8314.4136480440811</v>
      </c>
      <c r="Y35" s="257">
        <v>69751.850569984352</v>
      </c>
      <c r="Z35" s="257">
        <v>257647.85274572132</v>
      </c>
      <c r="AA35" s="257">
        <v>107062.41453021974</v>
      </c>
      <c r="AB35" s="257">
        <v>69286.836767879897</v>
      </c>
      <c r="AC35" s="257">
        <v>21852.689156082601</v>
      </c>
      <c r="AD35" s="257">
        <v>62782.175684956004</v>
      </c>
      <c r="AE35" s="257">
        <v>63168.934520106952</v>
      </c>
      <c r="AF35" s="257">
        <v>36983.456835089812</v>
      </c>
      <c r="AG35" s="257">
        <v>361136.507494335</v>
      </c>
      <c r="AH35" s="257">
        <v>688837.82248402946</v>
      </c>
      <c r="AI35" s="257">
        <v>29948.991935147915</v>
      </c>
      <c r="AJ35" s="257">
        <v>718786.81441917736</v>
      </c>
      <c r="AK35" s="256">
        <v>6.3566842426059651</v>
      </c>
      <c r="AL35" s="312" t="s">
        <v>2206</v>
      </c>
    </row>
    <row r="36" spans="1:38" s="1755" customFormat="1" ht="9.9499999999999993" customHeight="1">
      <c r="A36" s="1976" t="s">
        <v>2207</v>
      </c>
      <c r="B36" s="338">
        <v>119009.68534357779</v>
      </c>
      <c r="C36" s="338">
        <v>13902.672769556793</v>
      </c>
      <c r="D36" s="338">
        <v>202392.48974353221</v>
      </c>
      <c r="E36" s="338">
        <v>12815.299520201068</v>
      </c>
      <c r="F36" s="338">
        <v>84705.753736859377</v>
      </c>
      <c r="G36" s="338">
        <v>313816.21577014943</v>
      </c>
      <c r="H36" s="338">
        <v>146355.5046337021</v>
      </c>
      <c r="I36" s="338">
        <v>89163.383893285922</v>
      </c>
      <c r="J36" s="338">
        <v>29552.295448297937</v>
      </c>
      <c r="K36" s="338">
        <v>88990.463060052323</v>
      </c>
      <c r="L36" s="338">
        <v>97944.896172937821</v>
      </c>
      <c r="M36" s="338">
        <v>50397.216342142521</v>
      </c>
      <c r="N36" s="338">
        <v>502403.75955041859</v>
      </c>
      <c r="O36" s="338">
        <v>935229.66066414583</v>
      </c>
      <c r="P36" s="338">
        <v>26415.514637923712</v>
      </c>
      <c r="Q36" s="338">
        <v>961645.17530206963</v>
      </c>
      <c r="R36" s="231">
        <v>25.047409249151471</v>
      </c>
      <c r="S36" s="336" t="s">
        <v>2207</v>
      </c>
      <c r="T36" s="1976" t="s">
        <v>2207</v>
      </c>
      <c r="U36" s="338">
        <v>94810.14976933501</v>
      </c>
      <c r="V36" s="338">
        <v>12496.618777409723</v>
      </c>
      <c r="W36" s="338">
        <v>167086.87229633951</v>
      </c>
      <c r="X36" s="338">
        <v>9933.2300358215616</v>
      </c>
      <c r="Y36" s="338">
        <v>66427.461507488391</v>
      </c>
      <c r="Z36" s="338">
        <v>255944.18261705918</v>
      </c>
      <c r="AA36" s="338">
        <v>119773.75230909302</v>
      </c>
      <c r="AB36" s="338">
        <v>67878.682577294094</v>
      </c>
      <c r="AC36" s="338">
        <v>22328.567180914943</v>
      </c>
      <c r="AD36" s="338">
        <v>63869.934499682939</v>
      </c>
      <c r="AE36" s="338">
        <v>76334.830606896066</v>
      </c>
      <c r="AF36" s="338">
        <v>35981.201877248663</v>
      </c>
      <c r="AG36" s="338">
        <v>386166.96905112971</v>
      </c>
      <c r="AH36" s="338">
        <v>736921.30143752391</v>
      </c>
      <c r="AI36" s="338">
        <v>19282.221409914266</v>
      </c>
      <c r="AJ36" s="338">
        <v>756203.52284743823</v>
      </c>
      <c r="AK36" s="231">
        <v>19.232716727103011</v>
      </c>
      <c r="AL36" s="336" t="s">
        <v>2207</v>
      </c>
    </row>
    <row r="37" spans="1:38" s="177" customFormat="1" ht="9.9499999999999993" customHeight="1">
      <c r="A37" s="1977" t="s">
        <v>1810</v>
      </c>
      <c r="B37" s="437">
        <f>B38+B39+B40+B41</f>
        <v>445531.30000000005</v>
      </c>
      <c r="C37" s="437">
        <f>C38+C39+C40+C41</f>
        <v>58916.2</v>
      </c>
      <c r="D37" s="437">
        <f t="shared" ref="D37:F37" si="24">D38+D39+D40+D41</f>
        <v>864436.89999999991</v>
      </c>
      <c r="E37" s="437">
        <f t="shared" si="24"/>
        <v>54222.898690701288</v>
      </c>
      <c r="F37" s="437">
        <f t="shared" si="24"/>
        <v>369633.39999999997</v>
      </c>
      <c r="G37" s="437">
        <f>C37+D37+E37+F37</f>
        <v>1347209.398690701</v>
      </c>
      <c r="H37" s="437">
        <f>H38+H39+H40+H41</f>
        <v>567096.93539264204</v>
      </c>
      <c r="I37" s="437">
        <f t="shared" ref="I37:M37" si="25">I38+I39+I40+I41</f>
        <v>371145.25989050115</v>
      </c>
      <c r="J37" s="437">
        <f t="shared" si="25"/>
        <v>129538.99999999999</v>
      </c>
      <c r="K37" s="437">
        <f t="shared" si="25"/>
        <v>378259.80000000005</v>
      </c>
      <c r="L37" s="437">
        <f t="shared" si="25"/>
        <v>375086.69999999995</v>
      </c>
      <c r="M37" s="437">
        <f t="shared" si="25"/>
        <v>205960.19051170023</v>
      </c>
      <c r="N37" s="437">
        <f t="shared" si="3"/>
        <v>2027087.8857948433</v>
      </c>
      <c r="O37" s="437">
        <f t="shared" si="4"/>
        <v>3819828.5844855439</v>
      </c>
      <c r="P37" s="437">
        <f>P38+P39+P40+P41</f>
        <v>151887.81237973567</v>
      </c>
      <c r="Q37" s="437">
        <f>O37+P37</f>
        <v>3971716.3968652794</v>
      </c>
      <c r="R37" s="295">
        <v>12.51</v>
      </c>
      <c r="S37" s="318" t="s">
        <v>1810</v>
      </c>
      <c r="T37" s="1977" t="s">
        <v>1810</v>
      </c>
      <c r="U37" s="437">
        <f>U38+U39+U40+U41</f>
        <v>339125.2</v>
      </c>
      <c r="V37" s="437">
        <f>V38+V39+V40+V41</f>
        <v>51352.200000000004</v>
      </c>
      <c r="W37" s="437">
        <f t="shared" ref="W37:Y37" si="26">W38+W39+W40+W41</f>
        <v>709424.7</v>
      </c>
      <c r="X37" s="437">
        <f t="shared" si="26"/>
        <v>38917.697635473</v>
      </c>
      <c r="Y37" s="437">
        <f t="shared" si="26"/>
        <v>278627.59999999998</v>
      </c>
      <c r="Z37" s="437">
        <f>V37+W37+X37+Y37</f>
        <v>1078322.1976354728</v>
      </c>
      <c r="AA37" s="437">
        <f>AA38+AA39+AA40+AA41</f>
        <v>445317.03136435704</v>
      </c>
      <c r="AB37" s="437">
        <f t="shared" ref="AB37:AF37" si="27">AB38+AB39+AB40+AB41</f>
        <v>282718.06078705681</v>
      </c>
      <c r="AC37" s="437">
        <f t="shared" si="27"/>
        <v>93061.4</v>
      </c>
      <c r="AD37" s="437">
        <f t="shared" si="27"/>
        <v>263229.69999999995</v>
      </c>
      <c r="AE37" s="437">
        <f t="shared" si="27"/>
        <v>278765.5450367321</v>
      </c>
      <c r="AF37" s="437">
        <f t="shared" si="27"/>
        <v>140554.69726318674</v>
      </c>
      <c r="AG37" s="437">
        <f t="shared" si="7"/>
        <v>1503646.4344513328</v>
      </c>
      <c r="AH37" s="437">
        <f t="shared" si="8"/>
        <v>2921093.8320868057</v>
      </c>
      <c r="AI37" s="437">
        <f>AI38+AI39+AI40+AI41</f>
        <v>114055.90398003988</v>
      </c>
      <c r="AJ37" s="437">
        <f>AH37+AI37</f>
        <v>3035149.7360668457</v>
      </c>
      <c r="AK37" s="295">
        <v>7.1</v>
      </c>
      <c r="AL37" s="318" t="s">
        <v>1810</v>
      </c>
    </row>
    <row r="38" spans="1:38" s="1755" customFormat="1" ht="9.9499999999999993" customHeight="1">
      <c r="A38" s="1976" t="s">
        <v>2204</v>
      </c>
      <c r="B38" s="338">
        <v>99070.944121159802</v>
      </c>
      <c r="C38" s="338">
        <v>12831.125438868959</v>
      </c>
      <c r="D38" s="338">
        <v>198925.76873900159</v>
      </c>
      <c r="E38" s="338">
        <v>14044.30087925788</v>
      </c>
      <c r="F38" s="338">
        <v>80944.093733777801</v>
      </c>
      <c r="G38" s="338">
        <v>306745.28879090626</v>
      </c>
      <c r="H38" s="338">
        <v>121170.9862399932</v>
      </c>
      <c r="I38" s="338">
        <v>85649.979599828395</v>
      </c>
      <c r="J38" s="338">
        <v>30763.926827206644</v>
      </c>
      <c r="K38" s="338">
        <v>88748.643480518178</v>
      </c>
      <c r="L38" s="338">
        <v>81766.171557000998</v>
      </c>
      <c r="M38" s="338">
        <v>44468.321934288004</v>
      </c>
      <c r="N38" s="338">
        <v>452568.02963883546</v>
      </c>
      <c r="O38" s="338">
        <v>858384.26255090139</v>
      </c>
      <c r="P38" s="338">
        <v>35387.731117398944</v>
      </c>
      <c r="Q38" s="338">
        <v>893771.99366830033</v>
      </c>
      <c r="R38" s="231">
        <v>10.980801122622012</v>
      </c>
      <c r="S38" s="336" t="s">
        <v>2204</v>
      </c>
      <c r="T38" s="1976" t="s">
        <v>2204</v>
      </c>
      <c r="U38" s="338">
        <v>77720.310571045033</v>
      </c>
      <c r="V38" s="338">
        <v>11176.285624529599</v>
      </c>
      <c r="W38" s="338">
        <v>165171.75282390186</v>
      </c>
      <c r="X38" s="338">
        <v>10445.7957984481</v>
      </c>
      <c r="Y38" s="338">
        <v>62104.957718465463</v>
      </c>
      <c r="Z38" s="338">
        <v>248898.79196534504</v>
      </c>
      <c r="AA38" s="338">
        <v>97774.261711393177</v>
      </c>
      <c r="AB38" s="338">
        <v>67562.981021852451</v>
      </c>
      <c r="AC38" s="338">
        <v>22683.882002839593</v>
      </c>
      <c r="AD38" s="338">
        <v>63343.583032016526</v>
      </c>
      <c r="AE38" s="338">
        <v>62257.752603405992</v>
      </c>
      <c r="AF38" s="338">
        <v>31213.229551132623</v>
      </c>
      <c r="AG38" s="338">
        <v>344835.68992264033</v>
      </c>
      <c r="AH38" s="338">
        <v>671454.7924590304</v>
      </c>
      <c r="AI38" s="338">
        <v>30843.915929796058</v>
      </c>
      <c r="AJ38" s="338">
        <v>702298.70838882658</v>
      </c>
      <c r="AK38" s="231">
        <v>5.7967887059094068</v>
      </c>
      <c r="AL38" s="336" t="s">
        <v>2204</v>
      </c>
    </row>
    <row r="39" spans="1:38" s="1755" customFormat="1" ht="9.9499999999999993" customHeight="1">
      <c r="A39" s="354" t="s">
        <v>2205</v>
      </c>
      <c r="B39" s="257">
        <v>120756.42662850415</v>
      </c>
      <c r="C39" s="257">
        <v>14434.134626697585</v>
      </c>
      <c r="D39" s="257">
        <v>217912.36882911521</v>
      </c>
      <c r="E39" s="257">
        <v>12305.437715081453</v>
      </c>
      <c r="F39" s="257">
        <v>95637.353406178227</v>
      </c>
      <c r="G39" s="257">
        <v>340289.29457707243</v>
      </c>
      <c r="H39" s="257">
        <v>140049.45949138657</v>
      </c>
      <c r="I39" s="257">
        <v>91609.477741532712</v>
      </c>
      <c r="J39" s="257">
        <v>31898.522201760545</v>
      </c>
      <c r="K39" s="257">
        <v>92104.17165289227</v>
      </c>
      <c r="L39" s="257">
        <v>79399.607087115568</v>
      </c>
      <c r="M39" s="257">
        <v>51770.048191247755</v>
      </c>
      <c r="N39" s="257">
        <v>486831.2863659354</v>
      </c>
      <c r="O39" s="257">
        <v>947877.00757151213</v>
      </c>
      <c r="P39" s="257">
        <v>40926.151649398307</v>
      </c>
      <c r="Q39" s="257">
        <v>988803.1592209104</v>
      </c>
      <c r="R39" s="256">
        <v>14.800290195728266</v>
      </c>
      <c r="S39" s="312" t="s">
        <v>2205</v>
      </c>
      <c r="T39" s="354" t="s">
        <v>2205</v>
      </c>
      <c r="U39" s="257">
        <v>91370.435094285625</v>
      </c>
      <c r="V39" s="257">
        <v>12615.914242802737</v>
      </c>
      <c r="W39" s="257">
        <v>179694.42345317366</v>
      </c>
      <c r="X39" s="257">
        <v>8866.5314363299003</v>
      </c>
      <c r="Y39" s="257">
        <v>72407.060853004994</v>
      </c>
      <c r="Z39" s="257">
        <v>273583.92998531129</v>
      </c>
      <c r="AA39" s="257">
        <v>110057.57811343018</v>
      </c>
      <c r="AB39" s="257">
        <v>70170.960502290487</v>
      </c>
      <c r="AC39" s="257">
        <v>22929.706922827925</v>
      </c>
      <c r="AD39" s="257">
        <v>65290.298056024221</v>
      </c>
      <c r="AE39" s="257">
        <v>58772.825444681497</v>
      </c>
      <c r="AF39" s="257">
        <v>35742.364163289974</v>
      </c>
      <c r="AG39" s="257">
        <v>362963.73320254427</v>
      </c>
      <c r="AH39" s="257">
        <v>727918.09828214115</v>
      </c>
      <c r="AI39" s="257">
        <v>32011.067024666951</v>
      </c>
      <c r="AJ39" s="257">
        <v>759929.16530680808</v>
      </c>
      <c r="AK39" s="256">
        <v>9.321036717624736</v>
      </c>
      <c r="AL39" s="312" t="s">
        <v>2205</v>
      </c>
    </row>
    <row r="40" spans="1:38" s="1755" customFormat="1" ht="9.9499999999999993" customHeight="1">
      <c r="A40" s="1976" t="s">
        <v>2206</v>
      </c>
      <c r="B40" s="338">
        <v>95516.384202847068</v>
      </c>
      <c r="C40" s="338">
        <v>17666.331006070868</v>
      </c>
      <c r="D40" s="338">
        <v>228674.04245073325</v>
      </c>
      <c r="E40" s="338">
        <v>12331.691823787358</v>
      </c>
      <c r="F40" s="338">
        <v>108056.06598258081</v>
      </c>
      <c r="G40" s="338">
        <v>366728.13126317225</v>
      </c>
      <c r="H40" s="338">
        <v>150995.50714395274</v>
      </c>
      <c r="I40" s="338">
        <v>95593.312906074832</v>
      </c>
      <c r="J40" s="338">
        <v>32738.9038332085</v>
      </c>
      <c r="K40" s="338">
        <v>96903.484952106184</v>
      </c>
      <c r="L40" s="338">
        <v>99507.867393424807</v>
      </c>
      <c r="M40" s="338">
        <v>56270.200502188331</v>
      </c>
      <c r="N40" s="338">
        <v>532009.27673095535</v>
      </c>
      <c r="O40" s="338">
        <v>994253.79219697486</v>
      </c>
      <c r="P40" s="338">
        <v>40842.146286615272</v>
      </c>
      <c r="Q40" s="338">
        <v>1035095.9384835903</v>
      </c>
      <c r="R40" s="231">
        <v>14.771466927798912</v>
      </c>
      <c r="S40" s="336" t="s">
        <v>2206</v>
      </c>
      <c r="T40" s="1976" t="s">
        <v>2206</v>
      </c>
      <c r="U40" s="338">
        <v>72515.509367304621</v>
      </c>
      <c r="V40" s="338">
        <v>15434.341679828702</v>
      </c>
      <c r="W40" s="338">
        <v>189138.100637264</v>
      </c>
      <c r="X40" s="338">
        <v>8730.498374879975</v>
      </c>
      <c r="Y40" s="338">
        <v>80376.264300101626</v>
      </c>
      <c r="Z40" s="338">
        <v>293679.20499207429</v>
      </c>
      <c r="AA40" s="338">
        <v>117864.0413111153</v>
      </c>
      <c r="AB40" s="338">
        <v>72002.04697612545</v>
      </c>
      <c r="AC40" s="338">
        <v>23355.321615752684</v>
      </c>
      <c r="AD40" s="338">
        <v>66102.565220986551</v>
      </c>
      <c r="AE40" s="338">
        <v>74054.787391459715</v>
      </c>
      <c r="AF40" s="338">
        <v>38089.082399132472</v>
      </c>
      <c r="AG40" s="338">
        <v>391467.84491457214</v>
      </c>
      <c r="AH40" s="338">
        <v>757662.5592739511</v>
      </c>
      <c r="AI40" s="338">
        <v>31624.512153190015</v>
      </c>
      <c r="AJ40" s="338">
        <v>789287.07142714108</v>
      </c>
      <c r="AK40" s="231">
        <v>9.8082290317097858</v>
      </c>
      <c r="AL40" s="336" t="s">
        <v>2206</v>
      </c>
    </row>
    <row r="41" spans="1:38" s="1755" customFormat="1" ht="9.9499999999999993" customHeight="1">
      <c r="A41" s="354" t="s">
        <v>2207</v>
      </c>
      <c r="B41" s="257">
        <v>130187.54504748899</v>
      </c>
      <c r="C41" s="257">
        <v>13984.608928362588</v>
      </c>
      <c r="D41" s="257">
        <v>218924.71998114992</v>
      </c>
      <c r="E41" s="257">
        <v>15541.468272574599</v>
      </c>
      <c r="F41" s="257">
        <v>84995.886877463156</v>
      </c>
      <c r="G41" s="257">
        <v>333446.68405955023</v>
      </c>
      <c r="H41" s="257">
        <v>154880.98251730949</v>
      </c>
      <c r="I41" s="257">
        <v>98292.489643065288</v>
      </c>
      <c r="J41" s="257">
        <v>34137.6471378243</v>
      </c>
      <c r="K41" s="257">
        <v>100503.49991448337</v>
      </c>
      <c r="L41" s="257">
        <v>114413.05396245859</v>
      </c>
      <c r="M41" s="257">
        <v>53451.619883976142</v>
      </c>
      <c r="N41" s="257">
        <v>555679.29305911728</v>
      </c>
      <c r="O41" s="257">
        <v>1019313.5221661564</v>
      </c>
      <c r="P41" s="257">
        <v>34731.783326323144</v>
      </c>
      <c r="Q41" s="257">
        <v>1054045.3054924796</v>
      </c>
      <c r="R41" s="256">
        <v>9.6085471610030595</v>
      </c>
      <c r="S41" s="312" t="s">
        <v>2207</v>
      </c>
      <c r="T41" s="354" t="s">
        <v>2207</v>
      </c>
      <c r="U41" s="257">
        <v>97518.944967364718</v>
      </c>
      <c r="V41" s="257">
        <v>12125.658452838965</v>
      </c>
      <c r="W41" s="257">
        <v>175420.4230856605</v>
      </c>
      <c r="X41" s="257">
        <v>10874.872025815021</v>
      </c>
      <c r="Y41" s="257">
        <v>63739.317128427931</v>
      </c>
      <c r="Z41" s="257">
        <v>262160.27069274237</v>
      </c>
      <c r="AA41" s="257">
        <v>119621.15022841834</v>
      </c>
      <c r="AB41" s="257">
        <v>72982.072286788403</v>
      </c>
      <c r="AC41" s="257">
        <v>24092.489458579796</v>
      </c>
      <c r="AD41" s="257">
        <v>68493.253690972677</v>
      </c>
      <c r="AE41" s="257">
        <v>83680.179597184877</v>
      </c>
      <c r="AF41" s="257">
        <v>35510.02114963167</v>
      </c>
      <c r="AG41" s="257">
        <v>404379.16641157574</v>
      </c>
      <c r="AH41" s="257">
        <v>764058.38207168295</v>
      </c>
      <c r="AI41" s="257">
        <v>19576.408872386848</v>
      </c>
      <c r="AJ41" s="257">
        <v>783634.79094406974</v>
      </c>
      <c r="AK41" s="256">
        <v>3.6274980567851287</v>
      </c>
      <c r="AL41" s="312" t="s">
        <v>2207</v>
      </c>
    </row>
    <row r="42" spans="1:38" s="177" customFormat="1" ht="9.9499999999999993" customHeight="1">
      <c r="A42" s="763" t="s">
        <v>2056</v>
      </c>
      <c r="B42" s="303">
        <f>B43+B44+B45+B46</f>
        <v>494158.19999999995</v>
      </c>
      <c r="C42" s="303">
        <f>C43+C44+C45+C46</f>
        <v>70243.5</v>
      </c>
      <c r="D42" s="303">
        <f t="shared" ref="D42:F42" si="28">D43+D44+D45+D46</f>
        <v>1003344.8</v>
      </c>
      <c r="E42" s="303">
        <f t="shared" si="28"/>
        <v>59675.033696024344</v>
      </c>
      <c r="F42" s="303">
        <f t="shared" si="28"/>
        <v>420310.62789710506</v>
      </c>
      <c r="G42" s="303">
        <f>C42+D42+E42+F42</f>
        <v>1553573.9615931297</v>
      </c>
      <c r="H42" s="303">
        <f>H43+H44+H45+H46</f>
        <v>647366.51012648712</v>
      </c>
      <c r="I42" s="303">
        <f t="shared" ref="I42:M42" si="29">I43+I44+I45+I46</f>
        <v>422563.26763366326</v>
      </c>
      <c r="J42" s="303">
        <f t="shared" si="29"/>
        <v>144784.49999999997</v>
      </c>
      <c r="K42" s="303">
        <f t="shared" si="29"/>
        <v>419340.69999999995</v>
      </c>
      <c r="L42" s="303">
        <f t="shared" si="29"/>
        <v>434787.99058348523</v>
      </c>
      <c r="M42" s="303">
        <f t="shared" si="29"/>
        <v>226512.212550878</v>
      </c>
      <c r="N42" s="303">
        <f t="shared" si="3"/>
        <v>2295355.1808945136</v>
      </c>
      <c r="O42" s="303">
        <f t="shared" si="4"/>
        <v>4343087.3424876435</v>
      </c>
      <c r="P42" s="303">
        <f>P43+P44+P45+P46</f>
        <v>147754.36012121086</v>
      </c>
      <c r="Q42" s="303">
        <f>O42+P42</f>
        <v>4490841.7026088545</v>
      </c>
      <c r="R42" s="302">
        <v>13.07</v>
      </c>
      <c r="S42" s="1801" t="s">
        <v>2056</v>
      </c>
      <c r="T42" s="763" t="s">
        <v>2056</v>
      </c>
      <c r="U42" s="303">
        <f>U43+U44+U45+U46</f>
        <v>350558.6</v>
      </c>
      <c r="V42" s="303">
        <f>V43+V44+V45+V46</f>
        <v>57888.399999999994</v>
      </c>
      <c r="W42" s="303">
        <f t="shared" ref="W42:Y42" si="30">W43+W44+W45+W46</f>
        <v>772522.2</v>
      </c>
      <c r="X42" s="303">
        <f t="shared" si="30"/>
        <v>40059.121423004413</v>
      </c>
      <c r="Y42" s="303">
        <f t="shared" si="30"/>
        <v>298079.40739406494</v>
      </c>
      <c r="Z42" s="303">
        <f>V42+W42+X42+Y42</f>
        <v>1168549.1288170693</v>
      </c>
      <c r="AA42" s="303">
        <f>AA43+AA44+AA45+AA46</f>
        <v>473715.61428909341</v>
      </c>
      <c r="AB42" s="303">
        <f t="shared" ref="AB42:AF42" si="31">AB43+AB44+AB45+AB46</f>
        <v>298663.26089658542</v>
      </c>
      <c r="AC42" s="303">
        <f t="shared" si="31"/>
        <v>95432.5</v>
      </c>
      <c r="AD42" s="303">
        <f t="shared" si="31"/>
        <v>273989.3</v>
      </c>
      <c r="AE42" s="303">
        <f t="shared" si="31"/>
        <v>297369.21491872566</v>
      </c>
      <c r="AF42" s="303">
        <f t="shared" si="31"/>
        <v>145241.04802861871</v>
      </c>
      <c r="AG42" s="303">
        <f t="shared" si="7"/>
        <v>1584410.9381330232</v>
      </c>
      <c r="AH42" s="303">
        <f t="shared" si="8"/>
        <v>3103518.6669500927</v>
      </c>
      <c r="AI42" s="303">
        <f>AI43+AI44+AI45+AI46</f>
        <v>106914.20783860977</v>
      </c>
      <c r="AJ42" s="303">
        <f>AH42+AI42</f>
        <v>3210432.8747887025</v>
      </c>
      <c r="AK42" s="302">
        <v>5.78</v>
      </c>
      <c r="AL42" s="1801" t="s">
        <v>2056</v>
      </c>
    </row>
    <row r="43" spans="1:38" s="1755" customFormat="1" ht="9.9499999999999993" customHeight="1">
      <c r="A43" s="354" t="s">
        <v>2204</v>
      </c>
      <c r="B43" s="257">
        <v>107900.70687080846</v>
      </c>
      <c r="C43" s="257">
        <v>13999.800915881851</v>
      </c>
      <c r="D43" s="257">
        <v>221162.19964583451</v>
      </c>
      <c r="E43" s="257">
        <v>16624.226009670339</v>
      </c>
      <c r="F43" s="257">
        <v>85661.081122403571</v>
      </c>
      <c r="G43" s="257">
        <v>337447.30769379024</v>
      </c>
      <c r="H43" s="257">
        <v>149379.74907687289</v>
      </c>
      <c r="I43" s="257">
        <v>100205.57363837885</v>
      </c>
      <c r="J43" s="257">
        <v>34804.905335302217</v>
      </c>
      <c r="K43" s="257">
        <v>97466.514575591922</v>
      </c>
      <c r="L43" s="257">
        <v>94682.322963659433</v>
      </c>
      <c r="M43" s="257">
        <v>52010.838999277468</v>
      </c>
      <c r="N43" s="257">
        <v>528549.9045890827</v>
      </c>
      <c r="O43" s="257">
        <v>973897.91915368137</v>
      </c>
      <c r="P43" s="257">
        <v>35193.934375938203</v>
      </c>
      <c r="Q43" s="257">
        <v>1009091.8535296196</v>
      </c>
      <c r="R43" s="256">
        <v>12.902603871935298</v>
      </c>
      <c r="S43" s="312" t="s">
        <v>2204</v>
      </c>
      <c r="T43" s="354" t="s">
        <v>2204</v>
      </c>
      <c r="U43" s="257">
        <v>78722.827552858667</v>
      </c>
      <c r="V43" s="257">
        <v>12049.683287099826</v>
      </c>
      <c r="W43" s="257">
        <v>176523.58133668939</v>
      </c>
      <c r="X43" s="257">
        <v>11343.521179581836</v>
      </c>
      <c r="Y43" s="257">
        <v>62493.229488765224</v>
      </c>
      <c r="Z43" s="257">
        <v>262410.01529213629</v>
      </c>
      <c r="AA43" s="257">
        <v>112511.46053542616</v>
      </c>
      <c r="AB43" s="257">
        <v>73187.743659698259</v>
      </c>
      <c r="AC43" s="257">
        <v>23614.328258636589</v>
      </c>
      <c r="AD43" s="257">
        <v>67216.445944003877</v>
      </c>
      <c r="AE43" s="257">
        <v>66417.420929694126</v>
      </c>
      <c r="AF43" s="257">
        <v>33892.628249323956</v>
      </c>
      <c r="AG43" s="257">
        <v>376840.02757678297</v>
      </c>
      <c r="AH43" s="257">
        <v>717972.87042177795</v>
      </c>
      <c r="AI43" s="257">
        <v>27897.407961629164</v>
      </c>
      <c r="AJ43" s="257">
        <v>745870.27838340704</v>
      </c>
      <c r="AK43" s="256">
        <v>6.2041364271536281</v>
      </c>
      <c r="AL43" s="312" t="s">
        <v>2204</v>
      </c>
    </row>
    <row r="44" spans="1:38" s="1755" customFormat="1" ht="9.9499999999999993" customHeight="1">
      <c r="A44" s="1976" t="s">
        <v>2205</v>
      </c>
      <c r="B44" s="338">
        <v>133987.52672702825</v>
      </c>
      <c r="C44" s="338">
        <v>15773.540408898552</v>
      </c>
      <c r="D44" s="338">
        <v>255683.94351882295</v>
      </c>
      <c r="E44" s="338">
        <v>13481.442909897776</v>
      </c>
      <c r="F44" s="338">
        <v>110117.64383387842</v>
      </c>
      <c r="G44" s="338">
        <v>395056.57067149773</v>
      </c>
      <c r="H44" s="338">
        <v>159252.43515242185</v>
      </c>
      <c r="I44" s="338">
        <v>104777.55647307329</v>
      </c>
      <c r="J44" s="338">
        <v>35554.435987833938</v>
      </c>
      <c r="K44" s="338">
        <v>101530.76945452849</v>
      </c>
      <c r="L44" s="338">
        <v>99140.333630695983</v>
      </c>
      <c r="M44" s="338">
        <v>55757.750884466586</v>
      </c>
      <c r="N44" s="338">
        <v>556013.28158302023</v>
      </c>
      <c r="O44" s="338">
        <v>1085057.3789815463</v>
      </c>
      <c r="P44" s="338">
        <v>41074.622057964923</v>
      </c>
      <c r="Q44" s="338">
        <v>1126132.0010395111</v>
      </c>
      <c r="R44" s="231">
        <v>13.888390276463497</v>
      </c>
      <c r="S44" s="336" t="s">
        <v>2205</v>
      </c>
      <c r="T44" s="1976" t="s">
        <v>2205</v>
      </c>
      <c r="U44" s="338">
        <v>94823.38937958928</v>
      </c>
      <c r="V44" s="338">
        <v>13261.862331510614</v>
      </c>
      <c r="W44" s="338">
        <v>200519.70547680493</v>
      </c>
      <c r="X44" s="338">
        <v>9127.6315490889865</v>
      </c>
      <c r="Y44" s="338">
        <v>78545.891753041884</v>
      </c>
      <c r="Z44" s="338">
        <v>301455.09111044637</v>
      </c>
      <c r="AA44" s="338">
        <v>117061.80861581536</v>
      </c>
      <c r="AB44" s="338">
        <v>73654.926769479222</v>
      </c>
      <c r="AC44" s="338">
        <v>23489.869270820775</v>
      </c>
      <c r="AD44" s="338">
        <v>67974.763922631144</v>
      </c>
      <c r="AE44" s="338">
        <v>67687.282584268629</v>
      </c>
      <c r="AF44" s="338">
        <v>36142.237393885487</v>
      </c>
      <c r="AG44" s="338">
        <v>386010.88855690067</v>
      </c>
      <c r="AH44" s="338">
        <v>782289.36904693628</v>
      </c>
      <c r="AI44" s="338">
        <v>30424.992774088034</v>
      </c>
      <c r="AJ44" s="338">
        <v>812714.36182102433</v>
      </c>
      <c r="AK44" s="231">
        <v>6.946067992127297</v>
      </c>
      <c r="AL44" s="336" t="s">
        <v>2205</v>
      </c>
    </row>
    <row r="45" spans="1:38" s="1755" customFormat="1" ht="9.9499999999999993" customHeight="1">
      <c r="A45" s="354" t="s">
        <v>2206</v>
      </c>
      <c r="B45" s="257">
        <v>104139.55100175377</v>
      </c>
      <c r="C45" s="257">
        <v>21105.139436107074</v>
      </c>
      <c r="D45" s="257">
        <v>264748.29190455558</v>
      </c>
      <c r="E45" s="257">
        <v>13342.635464607351</v>
      </c>
      <c r="F45" s="257">
        <v>122769.43263598785</v>
      </c>
      <c r="G45" s="257">
        <v>421965.49944125779</v>
      </c>
      <c r="H45" s="257">
        <v>159129.44953789245</v>
      </c>
      <c r="I45" s="257">
        <v>108053.0261661143</v>
      </c>
      <c r="J45" s="257">
        <v>36747.492705639299</v>
      </c>
      <c r="K45" s="257">
        <v>107872.24332315751</v>
      </c>
      <c r="L45" s="257">
        <v>109963.06091201301</v>
      </c>
      <c r="M45" s="257">
        <v>59329.522186443894</v>
      </c>
      <c r="N45" s="257">
        <v>581094.79483126034</v>
      </c>
      <c r="O45" s="257">
        <v>1107199.8452742719</v>
      </c>
      <c r="P45" s="257">
        <v>36377.917112074807</v>
      </c>
      <c r="Q45" s="257">
        <v>1143577.7623863467</v>
      </c>
      <c r="R45" s="256">
        <v>10.480364173941382</v>
      </c>
      <c r="S45" s="312" t="s">
        <v>2206</v>
      </c>
      <c r="T45" s="354" t="s">
        <v>2206</v>
      </c>
      <c r="U45" s="257">
        <v>73948.976041271046</v>
      </c>
      <c r="V45" s="257">
        <v>17218.655103929566</v>
      </c>
      <c r="W45" s="257">
        <v>201452.51549131889</v>
      </c>
      <c r="X45" s="257">
        <v>8986.397212137259</v>
      </c>
      <c r="Y45" s="257">
        <v>86242.491990211463</v>
      </c>
      <c r="Z45" s="257">
        <v>313900.05979759718</v>
      </c>
      <c r="AA45" s="257">
        <v>115913.61361811445</v>
      </c>
      <c r="AB45" s="257">
        <v>75201.322756027657</v>
      </c>
      <c r="AC45" s="257">
        <v>24075.443086877116</v>
      </c>
      <c r="AD45" s="257">
        <v>68602.923269391249</v>
      </c>
      <c r="AE45" s="257">
        <v>75052.997152350392</v>
      </c>
      <c r="AF45" s="257">
        <v>38447.921254174769</v>
      </c>
      <c r="AG45" s="257">
        <v>397294.22113693564</v>
      </c>
      <c r="AH45" s="257">
        <v>785143.25697580376</v>
      </c>
      <c r="AI45" s="257">
        <v>28205.723118158727</v>
      </c>
      <c r="AJ45" s="257">
        <v>813348.98009396251</v>
      </c>
      <c r="AK45" s="256">
        <v>3.0485623720294797</v>
      </c>
      <c r="AL45" s="312" t="s">
        <v>2206</v>
      </c>
    </row>
    <row r="46" spans="1:38" s="1755" customFormat="1" ht="9.9499999999999993" customHeight="1">
      <c r="A46" s="1976" t="s">
        <v>2207</v>
      </c>
      <c r="B46" s="338">
        <v>148130.41540040949</v>
      </c>
      <c r="C46" s="338">
        <v>19365.01923911252</v>
      </c>
      <c r="D46" s="338">
        <v>261750.36493078695</v>
      </c>
      <c r="E46" s="338">
        <v>16226.729311848874</v>
      </c>
      <c r="F46" s="338">
        <v>101762.47030483524</v>
      </c>
      <c r="G46" s="338">
        <v>399104.58378658356</v>
      </c>
      <c r="H46" s="338">
        <v>179604.87635929984</v>
      </c>
      <c r="I46" s="338">
        <v>109527.11135609678</v>
      </c>
      <c r="J46" s="338">
        <v>37677.665971224524</v>
      </c>
      <c r="K46" s="338">
        <v>112471.17264672206</v>
      </c>
      <c r="L46" s="338">
        <v>131002.27307711684</v>
      </c>
      <c r="M46" s="338">
        <v>59414.100480690089</v>
      </c>
      <c r="N46" s="338">
        <v>629697.19989115023</v>
      </c>
      <c r="O46" s="338">
        <v>1176932.1990781431</v>
      </c>
      <c r="P46" s="338">
        <v>35107.886575232944</v>
      </c>
      <c r="Q46" s="338">
        <v>1212040.0856533763</v>
      </c>
      <c r="R46" s="231">
        <v>14.989372784794767</v>
      </c>
      <c r="S46" s="336" t="s">
        <v>2207</v>
      </c>
      <c r="T46" s="1976" t="s">
        <v>2207</v>
      </c>
      <c r="U46" s="338">
        <v>103063.40702628103</v>
      </c>
      <c r="V46" s="338">
        <v>15358.199277459988</v>
      </c>
      <c r="W46" s="338">
        <v>194026.39769518678</v>
      </c>
      <c r="X46" s="338">
        <v>10601.57148219633</v>
      </c>
      <c r="Y46" s="338">
        <v>70797.794162046339</v>
      </c>
      <c r="Z46" s="338">
        <v>290783.96261688945</v>
      </c>
      <c r="AA46" s="338">
        <v>128228.73151973743</v>
      </c>
      <c r="AB46" s="338">
        <v>76619.267711380264</v>
      </c>
      <c r="AC46" s="338">
        <v>24252.859383665513</v>
      </c>
      <c r="AD46" s="338">
        <v>70195.166863973733</v>
      </c>
      <c r="AE46" s="338">
        <v>88211.514252412569</v>
      </c>
      <c r="AF46" s="338">
        <v>36758.261131234496</v>
      </c>
      <c r="AG46" s="338">
        <v>424265.80086240394</v>
      </c>
      <c r="AH46" s="338">
        <v>818113.17050557444</v>
      </c>
      <c r="AI46" s="338">
        <v>20386.08398473385</v>
      </c>
      <c r="AJ46" s="338">
        <v>838499.25449030823</v>
      </c>
      <c r="AK46" s="231">
        <v>7.0012797007317147</v>
      </c>
      <c r="AL46" s="336" t="s">
        <v>2207</v>
      </c>
    </row>
    <row r="47" spans="1:38" s="177" customFormat="1" ht="9.9499999999999993" customHeight="1">
      <c r="A47" s="1977" t="s">
        <v>2188</v>
      </c>
      <c r="B47" s="437">
        <f>B48+B49+B50+B51</f>
        <v>558536.35171612073</v>
      </c>
      <c r="C47" s="437">
        <f>C48+C49+C50+C51</f>
        <v>73801.700000000012</v>
      </c>
      <c r="D47" s="437">
        <f t="shared" ref="D47:F47" si="32">D48+D49+D50+D51</f>
        <v>1095229</v>
      </c>
      <c r="E47" s="437">
        <f t="shared" si="32"/>
        <v>64353.887377409337</v>
      </c>
      <c r="F47" s="437">
        <f t="shared" si="32"/>
        <v>472378.9</v>
      </c>
      <c r="G47" s="437">
        <f t="shared" ref="G47:G52" si="33">C47+D47+E47+F47</f>
        <v>1705763.4873774094</v>
      </c>
      <c r="H47" s="437">
        <f>H48+H49+H50+H51</f>
        <v>730353.22815382166</v>
      </c>
      <c r="I47" s="437">
        <f t="shared" ref="I47:M47" si="34">I48+I49+I50+I51</f>
        <v>469459.55227294588</v>
      </c>
      <c r="J47" s="437">
        <f t="shared" si="34"/>
        <v>160768.70000000001</v>
      </c>
      <c r="K47" s="437">
        <f t="shared" si="34"/>
        <v>463520.50000000006</v>
      </c>
      <c r="L47" s="437">
        <f t="shared" si="34"/>
        <v>494910.92967233638</v>
      </c>
      <c r="M47" s="437">
        <f t="shared" si="34"/>
        <v>253184.31808456976</v>
      </c>
      <c r="N47" s="437">
        <f t="shared" ref="N47" si="35">H47+I47+J47+K47+L47+M47</f>
        <v>2572197.2281836737</v>
      </c>
      <c r="O47" s="437">
        <f t="shared" ref="O47" si="36">N47+G47+B47</f>
        <v>4836497.0672772033</v>
      </c>
      <c r="P47" s="437">
        <f>P48+P49+P50+P51</f>
        <v>166156.53459999996</v>
      </c>
      <c r="Q47" s="437">
        <f>O47+P47</f>
        <v>5002653.6018772032</v>
      </c>
      <c r="R47" s="295">
        <v>11.4</v>
      </c>
      <c r="S47" s="318" t="s">
        <v>2188</v>
      </c>
      <c r="T47" s="1977" t="s">
        <v>2188</v>
      </c>
      <c r="U47" s="437">
        <f>U48+U49+U50+U51</f>
        <v>362140.72396309522</v>
      </c>
      <c r="V47" s="437">
        <f>V48+V49+V50+V51</f>
        <v>57224.3</v>
      </c>
      <c r="W47" s="437">
        <f t="shared" ref="W47:Y47" si="37">W48+W49+W50+W51</f>
        <v>796907.29999999993</v>
      </c>
      <c r="X47" s="437">
        <f t="shared" si="37"/>
        <v>40542.241662580243</v>
      </c>
      <c r="Y47" s="437">
        <f t="shared" si="37"/>
        <v>314846.70000000007</v>
      </c>
      <c r="Z47" s="437">
        <f t="shared" ref="Z47:Z52" si="38">V47+W47+X47+Y47</f>
        <v>1209520.5416625803</v>
      </c>
      <c r="AA47" s="437">
        <f>AA48+AA49+AA50+AA51</f>
        <v>501035.83443972276</v>
      </c>
      <c r="AB47" s="437">
        <f t="shared" ref="AB47:AF47" si="39">AB48+AB49+AB50+AB51</f>
        <v>313747.34235264582</v>
      </c>
      <c r="AC47" s="437">
        <f t="shared" si="39"/>
        <v>96584.799999999988</v>
      </c>
      <c r="AD47" s="437">
        <f t="shared" si="39"/>
        <v>285021.40000000002</v>
      </c>
      <c r="AE47" s="437">
        <f t="shared" si="39"/>
        <v>318704.53230359813</v>
      </c>
      <c r="AF47" s="437">
        <f t="shared" si="39"/>
        <v>149952.53488313255</v>
      </c>
      <c r="AG47" s="437">
        <f t="shared" ref="AG47" si="40">AA47+AB47+AC47+AD47+AE47+AF47</f>
        <v>1665046.4439790994</v>
      </c>
      <c r="AH47" s="437">
        <f t="shared" ref="AH47" si="41">AG47+Z47+U47</f>
        <v>3236707.7096047751</v>
      </c>
      <c r="AI47" s="437">
        <f>AI48+AI49+AI50+AI51</f>
        <v>109310.11158255859</v>
      </c>
      <c r="AJ47" s="437">
        <f t="shared" ref="AJ47" si="42">AH47+AI47</f>
        <v>3346017.8211873337</v>
      </c>
      <c r="AK47" s="295">
        <v>4.22</v>
      </c>
      <c r="AL47" s="318" t="s">
        <v>2188</v>
      </c>
    </row>
    <row r="48" spans="1:38" s="1755" customFormat="1" ht="9.9499999999999993" customHeight="1">
      <c r="A48" s="1976" t="s">
        <v>2204</v>
      </c>
      <c r="B48" s="338">
        <v>118862.55468007681</v>
      </c>
      <c r="C48" s="338">
        <v>21617.464812679573</v>
      </c>
      <c r="D48" s="338">
        <v>257432.75574314859</v>
      </c>
      <c r="E48" s="338">
        <v>17453.472265265642</v>
      </c>
      <c r="F48" s="338">
        <v>95302.754304662958</v>
      </c>
      <c r="G48" s="338">
        <v>391806.44712575676</v>
      </c>
      <c r="H48" s="338">
        <v>168115.02183630478</v>
      </c>
      <c r="I48" s="338">
        <v>111986.2640843096</v>
      </c>
      <c r="J48" s="338">
        <v>38821.452338660645</v>
      </c>
      <c r="K48" s="338">
        <v>110104.80341139503</v>
      </c>
      <c r="L48" s="338">
        <v>106426.97350696237</v>
      </c>
      <c r="M48" s="338">
        <v>58621.838335194509</v>
      </c>
      <c r="N48" s="338">
        <v>594076.35351282696</v>
      </c>
      <c r="O48" s="338">
        <v>1104745.3553186606</v>
      </c>
      <c r="P48" s="338">
        <v>39687.759520555315</v>
      </c>
      <c r="Q48" s="338">
        <v>1144433.114839216</v>
      </c>
      <c r="R48" s="231">
        <v>13.412184513847492</v>
      </c>
      <c r="S48" s="336" t="s">
        <v>2204</v>
      </c>
      <c r="T48" s="1976" t="s">
        <v>2204</v>
      </c>
      <c r="U48" s="338">
        <v>78864.698378600166</v>
      </c>
      <c r="V48" s="338">
        <v>17237.818084669289</v>
      </c>
      <c r="W48" s="338">
        <v>188982.23636736808</v>
      </c>
      <c r="X48" s="338">
        <v>11301.525654147314</v>
      </c>
      <c r="Y48" s="338">
        <v>66016.963852365487</v>
      </c>
      <c r="Z48" s="338">
        <v>283538.5439585502</v>
      </c>
      <c r="AA48" s="338">
        <v>118285.81815097104</v>
      </c>
      <c r="AB48" s="338">
        <v>77191.324398051453</v>
      </c>
      <c r="AC48" s="338">
        <v>23996.320323126492</v>
      </c>
      <c r="AD48" s="338">
        <v>70111.824432759822</v>
      </c>
      <c r="AE48" s="338">
        <v>69937.51543478269</v>
      </c>
      <c r="AF48" s="338">
        <v>35778.132374072542</v>
      </c>
      <c r="AG48" s="338">
        <v>395300.93511376414</v>
      </c>
      <c r="AH48" s="338">
        <v>757704.17745091452</v>
      </c>
      <c r="AI48" s="338">
        <v>29898.552814224291</v>
      </c>
      <c r="AJ48" s="338">
        <v>787602.73026513879</v>
      </c>
      <c r="AK48" s="231">
        <v>5.5951353863009814</v>
      </c>
      <c r="AL48" s="336" t="s">
        <v>2204</v>
      </c>
    </row>
    <row r="49" spans="1:39" s="1755" customFormat="1" ht="9.9499999999999993" customHeight="1">
      <c r="A49" s="354" t="s">
        <v>2205</v>
      </c>
      <c r="B49" s="257">
        <v>152634.10013073252</v>
      </c>
      <c r="C49" s="257">
        <v>16286.033590587924</v>
      </c>
      <c r="D49" s="257">
        <v>274742.22149593628</v>
      </c>
      <c r="E49" s="257">
        <v>14460.060480045755</v>
      </c>
      <c r="F49" s="257">
        <v>127754.40783915455</v>
      </c>
      <c r="G49" s="257">
        <v>433242.72340572445</v>
      </c>
      <c r="H49" s="257">
        <v>182332.8456858627</v>
      </c>
      <c r="I49" s="257">
        <v>116244.0555569781</v>
      </c>
      <c r="J49" s="257">
        <v>39564.901594889474</v>
      </c>
      <c r="K49" s="257">
        <v>112057.51985364263</v>
      </c>
      <c r="L49" s="257">
        <v>115442.12366363837</v>
      </c>
      <c r="M49" s="257">
        <v>61246.391723361274</v>
      </c>
      <c r="N49" s="257">
        <v>626887.83807837265</v>
      </c>
      <c r="O49" s="257">
        <v>1212764.6616148297</v>
      </c>
      <c r="P49" s="257">
        <v>47442.536336164994</v>
      </c>
      <c r="Q49" s="257">
        <v>1260207.1979509946</v>
      </c>
      <c r="R49" s="256">
        <v>11.905815374016655</v>
      </c>
      <c r="S49" s="312" t="s">
        <v>2205</v>
      </c>
      <c r="T49" s="354" t="s">
        <v>2205</v>
      </c>
      <c r="U49" s="257">
        <v>98574.989479622411</v>
      </c>
      <c r="V49" s="257">
        <v>12606.127565060215</v>
      </c>
      <c r="W49" s="257">
        <v>196308.90652871801</v>
      </c>
      <c r="X49" s="257">
        <v>9179.6332430982402</v>
      </c>
      <c r="Y49" s="257">
        <v>87213.423417730199</v>
      </c>
      <c r="Z49" s="257">
        <v>305308.09075460664</v>
      </c>
      <c r="AA49" s="257">
        <v>124997.99097167638</v>
      </c>
      <c r="AB49" s="257">
        <v>77740.295270588511</v>
      </c>
      <c r="AC49" s="257">
        <v>23844.593177686478</v>
      </c>
      <c r="AD49" s="257">
        <v>70694.692069751225</v>
      </c>
      <c r="AE49" s="257">
        <v>74463.53980685139</v>
      </c>
      <c r="AF49" s="257">
        <v>36457.07687551673</v>
      </c>
      <c r="AG49" s="257">
        <v>408198.18817207072</v>
      </c>
      <c r="AH49" s="257">
        <v>812081.26840629987</v>
      </c>
      <c r="AI49" s="257">
        <v>32071.09682661033</v>
      </c>
      <c r="AJ49" s="257">
        <v>844152.36523291026</v>
      </c>
      <c r="AK49" s="256">
        <v>3.8682721616293065</v>
      </c>
      <c r="AL49" s="312" t="s">
        <v>2205</v>
      </c>
    </row>
    <row r="50" spans="1:39" s="1755" customFormat="1" ht="9.9499999999999993" customHeight="1">
      <c r="A50" s="1976" t="s">
        <v>2206</v>
      </c>
      <c r="B50" s="338">
        <v>117635.53464010157</v>
      </c>
      <c r="C50" s="338">
        <v>12527.324501213046</v>
      </c>
      <c r="D50" s="338">
        <v>295073.02116872766</v>
      </c>
      <c r="E50" s="338">
        <v>13438.201590279928</v>
      </c>
      <c r="F50" s="1176">
        <v>140264.05904391431</v>
      </c>
      <c r="G50" s="338">
        <v>461302.60630413494</v>
      </c>
      <c r="H50" s="338">
        <v>179413.14000227823</v>
      </c>
      <c r="I50" s="338">
        <v>119252.76397660263</v>
      </c>
      <c r="J50" s="338">
        <v>40510.028224622351</v>
      </c>
      <c r="K50" s="338">
        <v>119466.78212626188</v>
      </c>
      <c r="L50" s="338">
        <v>122379.10034523366</v>
      </c>
      <c r="M50" s="338">
        <v>65662.111281721096</v>
      </c>
      <c r="N50" s="338">
        <v>646683.92595671979</v>
      </c>
      <c r="O50" s="338">
        <v>1225622.0669009562</v>
      </c>
      <c r="P50" s="338">
        <v>43028.951632722994</v>
      </c>
      <c r="Q50" s="338">
        <v>1268651.0185336792</v>
      </c>
      <c r="R50" s="231">
        <v>10.937013665457897</v>
      </c>
      <c r="S50" s="336" t="s">
        <v>2206</v>
      </c>
      <c r="T50" s="1976" t="s">
        <v>2206</v>
      </c>
      <c r="U50" s="338">
        <v>77009.420069281739</v>
      </c>
      <c r="V50" s="338">
        <v>9661.7159012149878</v>
      </c>
      <c r="W50" s="338">
        <v>217088.68461457052</v>
      </c>
      <c r="X50" s="338">
        <v>8404.3325887587253</v>
      </c>
      <c r="Y50" s="338">
        <v>92990.169084797526</v>
      </c>
      <c r="Z50" s="338">
        <v>328144.90218934172</v>
      </c>
      <c r="AA50" s="338">
        <v>122331.14919036892</v>
      </c>
      <c r="AB50" s="338">
        <v>78678.079438880406</v>
      </c>
      <c r="AC50" s="338">
        <v>24179.954549901955</v>
      </c>
      <c r="AD50" s="338">
        <v>71470.957513320725</v>
      </c>
      <c r="AE50" s="338">
        <v>78787.10800397869</v>
      </c>
      <c r="AF50" s="338">
        <v>38429.224271143932</v>
      </c>
      <c r="AG50" s="338">
        <v>413876.47296759463</v>
      </c>
      <c r="AH50" s="338">
        <v>819030.79522621818</v>
      </c>
      <c r="AI50" s="338">
        <v>31297.753701042478</v>
      </c>
      <c r="AJ50" s="338">
        <v>850328.54892726056</v>
      </c>
      <c r="AK50" s="231">
        <v>4.5465808328702906</v>
      </c>
      <c r="AL50" s="336" t="s">
        <v>2206</v>
      </c>
    </row>
    <row r="51" spans="1:39" s="1755" customFormat="1" ht="9.9499999999999993" customHeight="1">
      <c r="A51" s="354" t="s">
        <v>2207</v>
      </c>
      <c r="B51" s="257">
        <v>169404.16226520989</v>
      </c>
      <c r="C51" s="257">
        <v>23370.877095519467</v>
      </c>
      <c r="D51" s="257">
        <v>267981.00159218739</v>
      </c>
      <c r="E51" s="257">
        <v>19002.153041818015</v>
      </c>
      <c r="F51" s="876">
        <v>109057.67881226819</v>
      </c>
      <c r="G51" s="876">
        <v>419411.71054179303</v>
      </c>
      <c r="H51" s="257">
        <v>200492.22062937592</v>
      </c>
      <c r="I51" s="257">
        <v>121976.46865505553</v>
      </c>
      <c r="J51" s="257">
        <v>41872.317841827527</v>
      </c>
      <c r="K51" s="257">
        <v>121891.39460870046</v>
      </c>
      <c r="L51" s="257">
        <v>150662.73215650202</v>
      </c>
      <c r="M51" s="257">
        <v>67653.976744292886</v>
      </c>
      <c r="N51" s="257">
        <v>704549.1106357543</v>
      </c>
      <c r="O51" s="257">
        <v>1293364.9834427575</v>
      </c>
      <c r="P51" s="257">
        <v>35997.287110556666</v>
      </c>
      <c r="Q51" s="257">
        <v>1329362.2705533141</v>
      </c>
      <c r="R51" s="256">
        <v>9.6797281120197312</v>
      </c>
      <c r="S51" s="312" t="s">
        <v>2207</v>
      </c>
      <c r="T51" s="354" t="s">
        <v>2207</v>
      </c>
      <c r="U51" s="257">
        <v>107691.61603559092</v>
      </c>
      <c r="V51" s="257">
        <v>17718.63844905551</v>
      </c>
      <c r="W51" s="257">
        <v>194527.47248934334</v>
      </c>
      <c r="X51" s="257">
        <v>11656.750176575963</v>
      </c>
      <c r="Y51" s="257">
        <v>68626.143645106829</v>
      </c>
      <c r="Z51" s="257">
        <v>292529.00476008165</v>
      </c>
      <c r="AA51" s="257">
        <v>135420.87612670643</v>
      </c>
      <c r="AB51" s="257">
        <v>80137.64324512548</v>
      </c>
      <c r="AC51" s="257">
        <v>24563.93194928507</v>
      </c>
      <c r="AD51" s="257">
        <v>72743.925984168251</v>
      </c>
      <c r="AE51" s="257">
        <v>95516.369057985401</v>
      </c>
      <c r="AF51" s="257">
        <v>39288.101362399335</v>
      </c>
      <c r="AG51" s="257">
        <v>447670.84772566991</v>
      </c>
      <c r="AH51" s="257">
        <v>847891.46852134238</v>
      </c>
      <c r="AI51" s="257">
        <v>16042.708240681484</v>
      </c>
      <c r="AJ51" s="257">
        <v>863934.17676202394</v>
      </c>
      <c r="AK51" s="256">
        <v>3.0333863906863741</v>
      </c>
      <c r="AL51" s="312" t="s">
        <v>2207</v>
      </c>
    </row>
    <row r="52" spans="1:39" s="177" customFormat="1" ht="9.9499999999999993" customHeight="1">
      <c r="A52" s="763" t="s">
        <v>2439</v>
      </c>
      <c r="B52" s="303">
        <f>B53+B54+B55+B56</f>
        <v>630037.73462453519</v>
      </c>
      <c r="C52" s="303">
        <f>C53+C54+C55+C56</f>
        <v>76881.599999999991</v>
      </c>
      <c r="D52" s="303">
        <f t="shared" ref="D52:F52" si="43">D53+D54+D55+D56</f>
        <v>1237649</v>
      </c>
      <c r="E52" s="303">
        <f t="shared" si="43"/>
        <v>71345.985615134283</v>
      </c>
      <c r="F52" s="303">
        <f t="shared" si="43"/>
        <v>490751.83722558612</v>
      </c>
      <c r="G52" s="303">
        <f t="shared" si="33"/>
        <v>1876628.4228407205</v>
      </c>
      <c r="H52" s="303">
        <f>H53+H54+H55+H56</f>
        <v>820007.73492484703</v>
      </c>
      <c r="I52" s="303">
        <f t="shared" ref="I52:M52" si="44">I53+I54+I55+I56</f>
        <v>521405.12023431546</v>
      </c>
      <c r="J52" s="303">
        <f t="shared" si="44"/>
        <v>179560.6</v>
      </c>
      <c r="K52" s="303">
        <f t="shared" si="44"/>
        <v>511589.00000000006</v>
      </c>
      <c r="L52" s="303">
        <f t="shared" si="44"/>
        <v>559531.00000000012</v>
      </c>
      <c r="M52" s="303">
        <f t="shared" si="44"/>
        <v>283155.31360824045</v>
      </c>
      <c r="N52" s="303">
        <f t="shared" ref="N52" si="45">H52+I52+J52+K52+L52+M52</f>
        <v>2875248.768767403</v>
      </c>
      <c r="O52" s="303">
        <f t="shared" ref="O52" si="46">N52+G52+B52</f>
        <v>5381914.9262326583</v>
      </c>
      <c r="P52" s="303">
        <f>P53+P54+P55+P56</f>
        <v>133111.03000000003</v>
      </c>
      <c r="Q52" s="303">
        <f>O52+P52</f>
        <v>5515025.9562326586</v>
      </c>
      <c r="R52" s="302">
        <v>9.9499999999999993</v>
      </c>
      <c r="S52" s="1801" t="s">
        <v>2439</v>
      </c>
      <c r="T52" s="763" t="s">
        <v>2439</v>
      </c>
      <c r="U52" s="303">
        <f>U53+U54+U55+U56</f>
        <v>370901.7</v>
      </c>
      <c r="V52" s="303">
        <f>V53+V54+V55+V56</f>
        <v>58170.5</v>
      </c>
      <c r="W52" s="303">
        <f t="shared" ref="W52:Y52" si="47">W53+W54+W55+W56</f>
        <v>843339.6</v>
      </c>
      <c r="X52" s="303">
        <f t="shared" si="47"/>
        <v>42612.435802294727</v>
      </c>
      <c r="Y52" s="303">
        <f t="shared" si="47"/>
        <v>310281.5620273269</v>
      </c>
      <c r="Z52" s="303">
        <f t="shared" si="38"/>
        <v>1254404.0978296218</v>
      </c>
      <c r="AA52" s="303">
        <f>AA53+AA54+AA55+AA56</f>
        <v>524932.06812917884</v>
      </c>
      <c r="AB52" s="303">
        <f t="shared" ref="AB52:AF52" si="48">AB53+AB54+AB55+AB56</f>
        <v>326689.82149455906</v>
      </c>
      <c r="AC52" s="303">
        <f t="shared" si="48"/>
        <v>98169.599999999977</v>
      </c>
      <c r="AD52" s="303">
        <f t="shared" si="48"/>
        <v>295850.69999999995</v>
      </c>
      <c r="AE52" s="303">
        <f t="shared" si="48"/>
        <v>337071.7</v>
      </c>
      <c r="AF52" s="303">
        <f t="shared" si="48"/>
        <v>154716.85859132311</v>
      </c>
      <c r="AG52" s="303">
        <f t="shared" ref="AG52" si="49">AA52+AB52+AC52+AD52+AE52+AF52</f>
        <v>1737430.7482150607</v>
      </c>
      <c r="AH52" s="303">
        <f t="shared" ref="AH52" si="50">AG52+Z52+U52</f>
        <v>3362736.5460446826</v>
      </c>
      <c r="AI52" s="303">
        <f>AI53+AI54+AI55+AI56</f>
        <v>100054.2377436074</v>
      </c>
      <c r="AJ52" s="303">
        <f>AH52+AI52</f>
        <v>3462790.7837882899</v>
      </c>
      <c r="AK52" s="302">
        <v>3.66</v>
      </c>
      <c r="AL52" s="1801" t="s">
        <v>2439</v>
      </c>
      <c r="AM52" s="178"/>
    </row>
    <row r="53" spans="1:39" s="1755" customFormat="1" ht="9.9499999999999993" customHeight="1">
      <c r="A53" s="354" t="s">
        <v>2204</v>
      </c>
      <c r="B53" s="257">
        <v>131613.16349091299</v>
      </c>
      <c r="C53" s="257">
        <v>23751.394116902775</v>
      </c>
      <c r="D53" s="257">
        <v>290153.37805020635</v>
      </c>
      <c r="E53" s="257">
        <v>19277.048920610749</v>
      </c>
      <c r="F53" s="876">
        <v>101776.42099119267</v>
      </c>
      <c r="G53" s="876">
        <v>434958.24207891256</v>
      </c>
      <c r="H53" s="876">
        <v>190963.84860534102</v>
      </c>
      <c r="I53" s="876">
        <v>121875.87768257836</v>
      </c>
      <c r="J53" s="876">
        <v>43054.544078086139</v>
      </c>
      <c r="K53" s="876">
        <v>123859.97631592583</v>
      </c>
      <c r="L53" s="876">
        <v>123147.89975052109</v>
      </c>
      <c r="M53" s="876">
        <v>64409.806084614014</v>
      </c>
      <c r="N53" s="876">
        <v>667311.9525170665</v>
      </c>
      <c r="O53" s="876">
        <v>1233883.3580868919</v>
      </c>
      <c r="P53" s="876">
        <v>33293.353403234702</v>
      </c>
      <c r="Q53" s="876">
        <v>1267176.7114901268</v>
      </c>
      <c r="R53" s="785">
        <v>10.725274815921011</v>
      </c>
      <c r="S53" s="312" t="s">
        <v>2204</v>
      </c>
      <c r="T53" s="354" t="s">
        <v>2204</v>
      </c>
      <c r="U53" s="876">
        <v>78769.822907028312</v>
      </c>
      <c r="V53" s="876">
        <v>18533.350550593368</v>
      </c>
      <c r="W53" s="876">
        <v>195506.21454788704</v>
      </c>
      <c r="X53" s="876">
        <v>11681.708006812723</v>
      </c>
      <c r="Y53" s="876">
        <v>71441.249132189012</v>
      </c>
      <c r="Z53" s="876">
        <v>297162.52223748213</v>
      </c>
      <c r="AA53" s="876">
        <v>123811.01225347945</v>
      </c>
      <c r="AB53" s="876">
        <v>78896.790985210886</v>
      </c>
      <c r="AC53" s="876">
        <v>24071.673152825806</v>
      </c>
      <c r="AD53" s="876">
        <v>72952.890414468508</v>
      </c>
      <c r="AE53" s="876">
        <v>76801.324905592643</v>
      </c>
      <c r="AF53" s="876">
        <v>36499.638876603211</v>
      </c>
      <c r="AG53" s="876">
        <v>413033.33058818051</v>
      </c>
      <c r="AH53" s="876">
        <v>788965.67573269107</v>
      </c>
      <c r="AI53" s="876">
        <v>29417.038195151265</v>
      </c>
      <c r="AJ53" s="876">
        <v>818382.71392784233</v>
      </c>
      <c r="AK53" s="256">
        <v>3.9080595432092764</v>
      </c>
      <c r="AL53" s="312" t="s">
        <v>2204</v>
      </c>
      <c r="AM53" s="1754"/>
    </row>
    <row r="54" spans="1:39" s="1755" customFormat="1" ht="9.9499999999999993" customHeight="1">
      <c r="A54" s="1976" t="s">
        <v>2205</v>
      </c>
      <c r="B54" s="338">
        <v>174898.44080815994</v>
      </c>
      <c r="C54" s="338">
        <v>17231.206009865095</v>
      </c>
      <c r="D54" s="338">
        <v>319218.94350471825</v>
      </c>
      <c r="E54" s="338">
        <v>16111.229935803174</v>
      </c>
      <c r="F54" s="1176">
        <v>130800.39472325341</v>
      </c>
      <c r="G54" s="1176">
        <v>483361.77417363995</v>
      </c>
      <c r="H54" s="1176">
        <v>199482.78998032847</v>
      </c>
      <c r="I54" s="1176">
        <v>129802.15880811235</v>
      </c>
      <c r="J54" s="1176">
        <v>44171.113934689638</v>
      </c>
      <c r="K54" s="1176">
        <v>125204.83847434814</v>
      </c>
      <c r="L54" s="1176">
        <v>132087.47274529203</v>
      </c>
      <c r="M54" s="1176">
        <v>65816.65385911621</v>
      </c>
      <c r="N54" s="1176">
        <v>696565.0278018869</v>
      </c>
      <c r="O54" s="1176">
        <v>1354825.2427836866</v>
      </c>
      <c r="P54" s="1176">
        <v>35322.690621073234</v>
      </c>
      <c r="Q54" s="1176">
        <v>1390147.93340476</v>
      </c>
      <c r="R54" s="485">
        <v>10.311061202081646</v>
      </c>
      <c r="S54" s="336" t="s">
        <v>2205</v>
      </c>
      <c r="T54" s="1976" t="s">
        <v>2205</v>
      </c>
      <c r="U54" s="1176">
        <v>100447.8593839494</v>
      </c>
      <c r="V54" s="1176">
        <v>13253.259956128681</v>
      </c>
      <c r="W54" s="1176">
        <v>214856.04176791449</v>
      </c>
      <c r="X54" s="1176">
        <v>9610.8545185260955</v>
      </c>
      <c r="Y54" s="1176">
        <v>85235.114395545053</v>
      </c>
      <c r="Z54" s="1176">
        <v>322955.27063811431</v>
      </c>
      <c r="AA54" s="1176">
        <v>126677.25955795385</v>
      </c>
      <c r="AB54" s="1176">
        <v>81545.919634161197</v>
      </c>
      <c r="AC54" s="1176">
        <v>24005.274534748496</v>
      </c>
      <c r="AD54" s="1176">
        <v>73382.252887891984</v>
      </c>
      <c r="AE54" s="1176">
        <v>80162.147526253946</v>
      </c>
      <c r="AF54" s="1176">
        <v>36640.000569029136</v>
      </c>
      <c r="AG54" s="1176">
        <v>422412.85471003858</v>
      </c>
      <c r="AH54" s="1176">
        <v>845815.98473210225</v>
      </c>
      <c r="AI54" s="1176">
        <v>28117.351049815312</v>
      </c>
      <c r="AJ54" s="1176">
        <v>873933.33578191756</v>
      </c>
      <c r="AK54" s="231">
        <v>3.5279141273021821</v>
      </c>
      <c r="AL54" s="336" t="s">
        <v>2205</v>
      </c>
      <c r="AM54" s="1754"/>
    </row>
    <row r="55" spans="1:39" s="1755" customFormat="1" ht="9.9499999999999993" customHeight="1">
      <c r="A55" s="354" t="s">
        <v>2206</v>
      </c>
      <c r="B55" s="257">
        <v>134155.36706372746</v>
      </c>
      <c r="C55" s="257">
        <v>12205.38865213439</v>
      </c>
      <c r="D55" s="257">
        <v>334078.42851698952</v>
      </c>
      <c r="E55" s="257">
        <v>15993.863156813564</v>
      </c>
      <c r="F55" s="876">
        <v>144181.39510307784</v>
      </c>
      <c r="G55" s="876">
        <v>506459.07542901533</v>
      </c>
      <c r="H55" s="876">
        <v>208318.90618037162</v>
      </c>
      <c r="I55" s="876">
        <v>134107.97338466169</v>
      </c>
      <c r="J55" s="876">
        <v>45594.691034462099</v>
      </c>
      <c r="K55" s="876">
        <v>130173.43411078575</v>
      </c>
      <c r="L55" s="876">
        <v>147385.16564478041</v>
      </c>
      <c r="M55" s="876">
        <v>75950.747565934405</v>
      </c>
      <c r="N55" s="876">
        <v>741530.91792099597</v>
      </c>
      <c r="O55" s="876">
        <v>1382145.360413739</v>
      </c>
      <c r="P55" s="876">
        <v>37028.725978604387</v>
      </c>
      <c r="Q55" s="876">
        <v>1419174.0863923433</v>
      </c>
      <c r="R55" s="785">
        <v>11.864812754625007</v>
      </c>
      <c r="S55" s="1435" t="s">
        <v>2206</v>
      </c>
      <c r="T55" s="354" t="s">
        <v>2206</v>
      </c>
      <c r="U55" s="876">
        <v>80562.390419226111</v>
      </c>
      <c r="V55" s="876">
        <v>9339.2734066676585</v>
      </c>
      <c r="W55" s="876">
        <v>232078.2673097995</v>
      </c>
      <c r="X55" s="876">
        <v>9596.1556584048922</v>
      </c>
      <c r="Y55" s="876">
        <v>88043.564019368307</v>
      </c>
      <c r="Z55" s="876">
        <v>339057.26039424038</v>
      </c>
      <c r="AA55" s="876">
        <v>133578.49932842114</v>
      </c>
      <c r="AB55" s="876">
        <v>82655.840814637224</v>
      </c>
      <c r="AC55" s="876">
        <v>24881.143994946491</v>
      </c>
      <c r="AD55" s="876">
        <v>74298.409089403242</v>
      </c>
      <c r="AE55" s="876">
        <v>87904.854755358261</v>
      </c>
      <c r="AF55" s="876">
        <v>40868.718068852875</v>
      </c>
      <c r="AG55" s="876">
        <v>444187.46605161927</v>
      </c>
      <c r="AH55" s="876">
        <v>863807.11686508579</v>
      </c>
      <c r="AI55" s="876">
        <v>25007.127357086512</v>
      </c>
      <c r="AJ55" s="876">
        <v>888814.2442221723</v>
      </c>
      <c r="AK55" s="256">
        <v>4.5259794397664024</v>
      </c>
      <c r="AL55" s="312" t="s">
        <v>2206</v>
      </c>
      <c r="AM55" s="1754"/>
    </row>
    <row r="56" spans="1:39" s="1755" customFormat="1" ht="9.9499999999999993" customHeight="1">
      <c r="A56" s="1976" t="s">
        <v>2207</v>
      </c>
      <c r="B56" s="338">
        <v>189370.7632617348</v>
      </c>
      <c r="C56" s="338">
        <v>23693.611221097741</v>
      </c>
      <c r="D56" s="338">
        <v>294198.24992808589</v>
      </c>
      <c r="E56" s="338">
        <v>19963.843601906807</v>
      </c>
      <c r="F56" s="1176">
        <v>113993.62640806222</v>
      </c>
      <c r="G56" s="338">
        <v>451849.33115915267</v>
      </c>
      <c r="H56" s="338">
        <v>221242.19015880598</v>
      </c>
      <c r="I56" s="338">
        <v>135619.11035896308</v>
      </c>
      <c r="J56" s="338">
        <v>46740.250952762115</v>
      </c>
      <c r="K56" s="338">
        <v>132350.75109894032</v>
      </c>
      <c r="L56" s="338">
        <v>156910.46185940653</v>
      </c>
      <c r="M56" s="338">
        <v>76978.106098575823</v>
      </c>
      <c r="N56" s="338">
        <v>769840.87052745395</v>
      </c>
      <c r="O56" s="338">
        <v>1411060.9649483413</v>
      </c>
      <c r="P56" s="338">
        <v>27466.259997087705</v>
      </c>
      <c r="Q56" s="338">
        <v>1438527.224945429</v>
      </c>
      <c r="R56" s="485">
        <v>8.2118288453212784</v>
      </c>
      <c r="S56" s="1498" t="s">
        <v>2207</v>
      </c>
      <c r="T56" s="1976" t="s">
        <v>2207</v>
      </c>
      <c r="U56" s="1176">
        <v>111121.62728979618</v>
      </c>
      <c r="V56" s="1176">
        <v>17044.616086610295</v>
      </c>
      <c r="W56" s="1176">
        <v>200899.07637439892</v>
      </c>
      <c r="X56" s="1176">
        <v>11723.717618551016</v>
      </c>
      <c r="Y56" s="1176">
        <v>65561.634480224486</v>
      </c>
      <c r="Z56" s="1176">
        <v>295229.0445597847</v>
      </c>
      <c r="AA56" s="1176">
        <v>140865.29698932433</v>
      </c>
      <c r="AB56" s="1176">
        <v>83591.270060549752</v>
      </c>
      <c r="AC56" s="1176">
        <v>25211.508317479202</v>
      </c>
      <c r="AD56" s="1176">
        <v>75217.14760823625</v>
      </c>
      <c r="AE56" s="1176">
        <v>92203.372812795176</v>
      </c>
      <c r="AF56" s="1176">
        <v>40708.501076837878</v>
      </c>
      <c r="AG56" s="1176">
        <v>457797.09686522256</v>
      </c>
      <c r="AH56" s="1176">
        <v>864147.7687148035</v>
      </c>
      <c r="AI56" s="1176">
        <v>17512.721141554321</v>
      </c>
      <c r="AJ56" s="1176">
        <v>881660.48985635792</v>
      </c>
      <c r="AK56" s="231">
        <v>2.0518129240784617</v>
      </c>
      <c r="AL56" s="336" t="s">
        <v>2207</v>
      </c>
      <c r="AM56" s="1754"/>
    </row>
    <row r="57" spans="1:39" s="1755" customFormat="1" ht="9.9499999999999993" customHeight="1">
      <c r="A57" s="1977" t="s">
        <v>2663</v>
      </c>
      <c r="B57" s="618"/>
      <c r="C57" s="618"/>
      <c r="D57" s="618"/>
      <c r="E57" s="618"/>
      <c r="F57" s="618"/>
      <c r="G57" s="618"/>
      <c r="H57" s="1499"/>
      <c r="I57" s="1500"/>
      <c r="J57" s="1499"/>
      <c r="K57" s="1499"/>
      <c r="L57" s="1499"/>
      <c r="M57" s="1499"/>
      <c r="N57" s="1499"/>
      <c r="O57" s="1499"/>
      <c r="P57" s="1499"/>
      <c r="Q57" s="1499"/>
      <c r="R57" s="1499"/>
      <c r="S57" s="318" t="s">
        <v>2663</v>
      </c>
      <c r="T57" s="1977" t="s">
        <v>2663</v>
      </c>
      <c r="U57" s="437">
        <f>U58+U59+U60+U61</f>
        <v>266543.40000000002</v>
      </c>
      <c r="V57" s="437">
        <f>V58+V59+V60+V61</f>
        <v>41734</v>
      </c>
      <c r="W57" s="437">
        <f t="shared" ref="W57:Y57" si="51">W58+W59+W60+W61</f>
        <v>655985.9</v>
      </c>
      <c r="X57" s="437">
        <f t="shared" si="51"/>
        <v>31626</v>
      </c>
      <c r="Y57" s="437">
        <f t="shared" si="51"/>
        <v>253261.7</v>
      </c>
      <c r="Z57" s="437">
        <f t="shared" ref="Z57" si="52">V57+W57+X57+Y57</f>
        <v>982607.60000000009</v>
      </c>
      <c r="AA57" s="437">
        <f>AA58+AA59+AA60+AA61</f>
        <v>405607.9</v>
      </c>
      <c r="AB57" s="437">
        <f t="shared" ref="AB57:AF57" si="53">AB58+AB59+AB60+AB61</f>
        <v>253292.5</v>
      </c>
      <c r="AC57" s="437">
        <f t="shared" si="53"/>
        <v>74556</v>
      </c>
      <c r="AD57" s="437">
        <f t="shared" si="53"/>
        <v>224447.9</v>
      </c>
      <c r="AE57" s="437">
        <f t="shared" si="53"/>
        <v>257313</v>
      </c>
      <c r="AF57" s="437">
        <f t="shared" si="53"/>
        <v>117476.20000000001</v>
      </c>
      <c r="AG57" s="437">
        <f t="shared" ref="AG57:AG60" si="54">AA57+AB57+AC57+AD57+AE57+AF57</f>
        <v>1332693.5</v>
      </c>
      <c r="AH57" s="437">
        <f t="shared" ref="AH57" si="55">AG57+Z57+U57</f>
        <v>2581844.5</v>
      </c>
      <c r="AI57" s="437">
        <f>AI58+AI59+AI60+AI61</f>
        <v>86110.5</v>
      </c>
      <c r="AJ57" s="437">
        <f>AH57+AI57</f>
        <v>2667955</v>
      </c>
      <c r="AK57" s="295">
        <v>3.66</v>
      </c>
      <c r="AL57" s="318" t="s">
        <v>2663</v>
      </c>
      <c r="AM57" s="1754"/>
    </row>
    <row r="58" spans="1:39" s="1755" customFormat="1" ht="9.9499999999999993" customHeight="1">
      <c r="A58" s="1976" t="s">
        <v>2204</v>
      </c>
      <c r="B58" s="338">
        <v>144508.9</v>
      </c>
      <c r="C58" s="338">
        <v>27648.7</v>
      </c>
      <c r="D58" s="338">
        <v>319176.40000000002</v>
      </c>
      <c r="E58" s="338">
        <v>21063.4</v>
      </c>
      <c r="F58" s="1176">
        <v>118569.1</v>
      </c>
      <c r="G58" s="338">
        <v>486457.59999999998</v>
      </c>
      <c r="H58" s="338">
        <v>212454.39999999999</v>
      </c>
      <c r="I58" s="338">
        <v>136544.9</v>
      </c>
      <c r="J58" s="338">
        <v>48289.1</v>
      </c>
      <c r="K58" s="338">
        <v>133196.29999999999</v>
      </c>
      <c r="L58" s="338">
        <v>142639.5</v>
      </c>
      <c r="M58" s="338">
        <v>73788.3</v>
      </c>
      <c r="N58" s="338">
        <f t="shared" ref="N58:N60" si="56">H58+I58+J58+K58+L58+M58</f>
        <v>746912.5</v>
      </c>
      <c r="O58" s="338">
        <f>N58+G58+B58</f>
        <v>1377879</v>
      </c>
      <c r="P58" s="338">
        <v>37653.4</v>
      </c>
      <c r="Q58" s="338">
        <f t="shared" ref="Q58:Q60" si="57">O58+P58</f>
        <v>1415532.4</v>
      </c>
      <c r="R58" s="485">
        <v>11.71</v>
      </c>
      <c r="S58" s="1498" t="s">
        <v>2204</v>
      </c>
      <c r="T58" s="1976" t="s">
        <v>2204</v>
      </c>
      <c r="U58" s="1176">
        <v>80432.5</v>
      </c>
      <c r="V58" s="1176">
        <v>19455.900000000001</v>
      </c>
      <c r="W58" s="1176">
        <v>207415.6</v>
      </c>
      <c r="X58" s="1176">
        <v>12430.6</v>
      </c>
      <c r="Y58" s="1176">
        <v>78120.7</v>
      </c>
      <c r="Z58" s="1176">
        <f>V58+W58+X58+Y58</f>
        <v>317422.8</v>
      </c>
      <c r="AA58" s="1176">
        <v>129491.1</v>
      </c>
      <c r="AB58" s="1176">
        <v>82595.3</v>
      </c>
      <c r="AC58" s="1176">
        <v>24927.4</v>
      </c>
      <c r="AD58" s="1176">
        <v>74708.100000000006</v>
      </c>
      <c r="AE58" s="1176">
        <v>81778.600000000006</v>
      </c>
      <c r="AF58" s="1176">
        <v>38150.9</v>
      </c>
      <c r="AG58" s="1176">
        <f t="shared" si="54"/>
        <v>431651.4</v>
      </c>
      <c r="AH58" s="1176">
        <f>AG58+Z58+U58</f>
        <v>829506.7</v>
      </c>
      <c r="AI58" s="1176">
        <v>29503.7</v>
      </c>
      <c r="AJ58" s="1176">
        <f t="shared" ref="AJ58:AJ60" si="58">AH58+AI58</f>
        <v>859010.39999999991</v>
      </c>
      <c r="AK58" s="231">
        <v>4.96</v>
      </c>
      <c r="AL58" s="336" t="s">
        <v>2204</v>
      </c>
      <c r="AM58" s="1754"/>
    </row>
    <row r="59" spans="1:39" ht="9.9499999999999993" customHeight="1">
      <c r="A59" s="354" t="s">
        <v>2205</v>
      </c>
      <c r="B59" s="257">
        <v>195052.3</v>
      </c>
      <c r="C59" s="257">
        <v>19026.599999999999</v>
      </c>
      <c r="D59" s="257">
        <v>334071.2</v>
      </c>
      <c r="E59" s="257">
        <v>16750.2</v>
      </c>
      <c r="F59" s="876">
        <v>138865</v>
      </c>
      <c r="G59" s="876">
        <f t="shared" ref="G59:G60" si="59">C59+D59+E59+F59</f>
        <v>508713</v>
      </c>
      <c r="H59" s="257">
        <v>228785.4</v>
      </c>
      <c r="I59" s="257">
        <v>144669</v>
      </c>
      <c r="J59" s="257">
        <v>48806.2</v>
      </c>
      <c r="K59" s="257">
        <v>134311.6</v>
      </c>
      <c r="L59" s="257">
        <v>148569.79999999999</v>
      </c>
      <c r="M59" s="257">
        <v>74518.100000000006</v>
      </c>
      <c r="N59" s="257">
        <f t="shared" si="56"/>
        <v>779660.1</v>
      </c>
      <c r="O59" s="257">
        <f t="shared" ref="O59:O60" si="60">N59+G59+B59</f>
        <v>1483425.4000000001</v>
      </c>
      <c r="P59" s="257">
        <v>34189.599999999999</v>
      </c>
      <c r="Q59" s="257">
        <f t="shared" si="57"/>
        <v>1517615.0000000002</v>
      </c>
      <c r="R59" s="785">
        <v>9.17</v>
      </c>
      <c r="S59" s="1435" t="s">
        <v>2205</v>
      </c>
      <c r="T59" s="354" t="s">
        <v>2205</v>
      </c>
      <c r="U59" s="876">
        <v>104145.3</v>
      </c>
      <c r="V59" s="876">
        <v>13281.5</v>
      </c>
      <c r="W59" s="876">
        <v>217279.3</v>
      </c>
      <c r="X59" s="876">
        <v>9941.2999999999993</v>
      </c>
      <c r="Y59" s="876">
        <v>86568.8</v>
      </c>
      <c r="Z59" s="876">
        <f t="shared" ref="Z59:Z60" si="61">V59+W59+X59+Y59</f>
        <v>327070.89999999997</v>
      </c>
      <c r="AA59" s="876">
        <v>135712.9</v>
      </c>
      <c r="AB59" s="876">
        <v>84732.5</v>
      </c>
      <c r="AC59" s="876">
        <v>24497.8</v>
      </c>
      <c r="AD59" s="876">
        <v>74753.899999999994</v>
      </c>
      <c r="AE59" s="876">
        <v>83898.1</v>
      </c>
      <c r="AF59" s="876">
        <v>37607.4</v>
      </c>
      <c r="AG59" s="876">
        <f t="shared" si="54"/>
        <v>441202.6</v>
      </c>
      <c r="AH59" s="876">
        <f t="shared" ref="AH59:AH60" si="62">AG59+Z59+U59</f>
        <v>872418.8</v>
      </c>
      <c r="AI59" s="876">
        <v>27984.3</v>
      </c>
      <c r="AJ59" s="876">
        <f t="shared" si="58"/>
        <v>900403.10000000009</v>
      </c>
      <c r="AK59" s="256">
        <v>3.03</v>
      </c>
      <c r="AL59" s="312" t="s">
        <v>2205</v>
      </c>
    </row>
    <row r="60" spans="1:39" ht="9.75" customHeight="1" thickBot="1">
      <c r="A60" s="958" t="s">
        <v>2206</v>
      </c>
      <c r="B60" s="1436">
        <v>148068.70000000001</v>
      </c>
      <c r="C60" s="1436">
        <v>13041.9</v>
      </c>
      <c r="D60" s="1436">
        <v>355370.6</v>
      </c>
      <c r="E60" s="1436">
        <v>15592</v>
      </c>
      <c r="F60" s="1434">
        <v>149011.9</v>
      </c>
      <c r="G60" s="1434">
        <f t="shared" si="59"/>
        <v>533016.4</v>
      </c>
      <c r="H60" s="1436">
        <v>237429.8</v>
      </c>
      <c r="I60" s="1436">
        <v>149266.5</v>
      </c>
      <c r="J60" s="1436">
        <v>49902.1</v>
      </c>
      <c r="K60" s="1436">
        <v>138960.70000000001</v>
      </c>
      <c r="L60" s="1436">
        <v>160474</v>
      </c>
      <c r="M60" s="1436">
        <v>84098.5</v>
      </c>
      <c r="N60" s="1436">
        <f t="shared" si="56"/>
        <v>820131.6</v>
      </c>
      <c r="O60" s="1436">
        <f t="shared" si="60"/>
        <v>1501216.7</v>
      </c>
      <c r="P60" s="1436">
        <v>37888</v>
      </c>
      <c r="Q60" s="1436">
        <f t="shared" si="57"/>
        <v>1539104.7</v>
      </c>
      <c r="R60" s="1413">
        <v>8.4499999999999993</v>
      </c>
      <c r="S60" s="1437" t="s">
        <v>2206</v>
      </c>
      <c r="T60" s="958" t="s">
        <v>2206</v>
      </c>
      <c r="U60" s="1434">
        <v>81965.600000000006</v>
      </c>
      <c r="V60" s="1434">
        <v>8996.6</v>
      </c>
      <c r="W60" s="1434">
        <v>231291</v>
      </c>
      <c r="X60" s="1434">
        <v>9254.1</v>
      </c>
      <c r="Y60" s="1434">
        <v>88572.2</v>
      </c>
      <c r="Z60" s="1434">
        <f t="shared" si="61"/>
        <v>338113.9</v>
      </c>
      <c r="AA60" s="1434">
        <v>140403.9</v>
      </c>
      <c r="AB60" s="1434">
        <v>85964.7</v>
      </c>
      <c r="AC60" s="1434">
        <v>25130.799999999999</v>
      </c>
      <c r="AD60" s="1434">
        <v>74985.899999999994</v>
      </c>
      <c r="AE60" s="1434">
        <v>91636.3</v>
      </c>
      <c r="AF60" s="1434">
        <v>41717.9</v>
      </c>
      <c r="AG60" s="1434">
        <f t="shared" si="54"/>
        <v>459839.49999999994</v>
      </c>
      <c r="AH60" s="1434">
        <f t="shared" si="62"/>
        <v>879918.99999999988</v>
      </c>
      <c r="AI60" s="1434">
        <v>28622.5</v>
      </c>
      <c r="AJ60" s="1434">
        <f t="shared" si="58"/>
        <v>908541.49999999988</v>
      </c>
      <c r="AK60" s="633">
        <v>2.2200000000000002</v>
      </c>
      <c r="AL60" s="1433" t="s">
        <v>2206</v>
      </c>
    </row>
    <row r="61" spans="1:39" ht="9.75" customHeight="1">
      <c r="A61" s="631" t="s">
        <v>1954</v>
      </c>
      <c r="B61" s="7"/>
      <c r="C61" s="7"/>
      <c r="D61" s="7"/>
      <c r="E61" s="1740"/>
      <c r="F61" s="657"/>
      <c r="G61" s="553" t="s">
        <v>2167</v>
      </c>
      <c r="H61" s="657"/>
      <c r="I61" s="1092"/>
      <c r="J61" s="657"/>
      <c r="K61" s="657"/>
      <c r="L61" s="657"/>
      <c r="M61" s="657"/>
      <c r="N61" s="657"/>
      <c r="O61" s="657"/>
      <c r="P61" s="657"/>
      <c r="Q61" s="657"/>
      <c r="R61" s="657"/>
      <c r="S61" s="657"/>
      <c r="T61" s="657"/>
      <c r="U61" s="657"/>
      <c r="V61" s="657"/>
      <c r="W61" s="657"/>
      <c r="X61" s="657"/>
      <c r="Y61" s="657"/>
      <c r="Z61" s="657"/>
      <c r="AA61" s="657"/>
      <c r="AB61" s="657"/>
      <c r="AC61" s="657"/>
      <c r="AD61" s="657"/>
      <c r="AE61" s="657"/>
      <c r="AF61" s="657"/>
      <c r="AG61" s="657"/>
      <c r="AH61" s="657"/>
      <c r="AI61" s="657"/>
      <c r="AJ61" s="657"/>
      <c r="AK61" s="657"/>
    </row>
    <row r="62" spans="1:39" s="1974" customFormat="1" ht="9.75" customHeight="1"/>
    <row r="63" spans="1:39" s="1974" customFormat="1" ht="9.75" customHeight="1"/>
    <row r="64" spans="1:39" s="1974" customFormat="1" ht="9.75" customHeight="1"/>
    <row r="65" s="1974" customFormat="1" ht="9.75" customHeight="1"/>
    <row r="66" s="1974" customFormat="1" ht="9.75" customHeight="1"/>
    <row r="67" s="1974" customFormat="1" ht="9.75" customHeight="1"/>
    <row r="68" s="1974" customFormat="1" ht="9.75" customHeight="1"/>
    <row r="69" s="1974" customFormat="1" ht="9.75" customHeight="1"/>
    <row r="70" s="1974" customFormat="1" ht="9.75" customHeight="1"/>
    <row r="71" s="1974" customFormat="1" ht="9.75" customHeight="1"/>
    <row r="72" s="1974" customFormat="1" ht="9.75" customHeight="1"/>
    <row r="73" s="1974" customFormat="1" ht="9.75" customHeight="1"/>
    <row r="74" s="1974" customFormat="1" ht="9.75" customHeight="1"/>
    <row r="75" s="1974" customFormat="1" ht="9.75" customHeight="1"/>
    <row r="76" s="1974" customFormat="1" ht="9.75" customHeight="1"/>
    <row r="77" s="1974" customFormat="1" ht="12.75"/>
    <row r="78" s="1974" customFormat="1" ht="12.75"/>
    <row r="79" s="1974" customFormat="1" ht="12.75"/>
    <row r="80" s="1974" customFormat="1" ht="12.75"/>
    <row r="81" s="1974" customFormat="1" ht="12.75"/>
    <row r="82" s="1974" customFormat="1" ht="12.75"/>
    <row r="83" s="1974" customFormat="1" ht="12.75"/>
    <row r="84" s="1974" customFormat="1" ht="12.75"/>
    <row r="85" s="1974" customFormat="1" ht="12.75"/>
    <row r="86" s="1974" customFormat="1" ht="12.75"/>
    <row r="87" s="1974" customFormat="1" ht="12.75"/>
    <row r="88" s="1974" customFormat="1" ht="12.75"/>
    <row r="89" s="1974" customFormat="1" ht="12.75"/>
    <row r="90" s="1974" customFormat="1" ht="12.75"/>
    <row r="91" s="1974" customFormat="1" ht="12.75"/>
    <row r="92" s="1974" customFormat="1" ht="12.75"/>
    <row r="93" s="1974" customFormat="1" ht="12.75"/>
    <row r="94" s="1974" customFormat="1" ht="12.75"/>
    <row r="95" s="1974" customFormat="1" ht="12.75"/>
    <row r="96" s="1974" customFormat="1" ht="12.75"/>
    <row r="97" s="1974" customFormat="1" ht="12.75"/>
    <row r="98" s="1974" customFormat="1" ht="12.75"/>
    <row r="99" s="1974" customFormat="1" ht="12.75"/>
    <row r="100" s="1974" customFormat="1" ht="12.75"/>
    <row r="101" s="1974" customFormat="1" ht="12.75"/>
    <row r="102" s="1974" customFormat="1" ht="12.75"/>
    <row r="103" s="1974" customFormat="1" ht="12.75"/>
    <row r="104" s="1974" customFormat="1" ht="12.75"/>
    <row r="105" s="1974" customFormat="1" ht="12.75"/>
    <row r="106" s="1974" customFormat="1" ht="12.75"/>
    <row r="107" s="1974" customFormat="1" ht="12.75"/>
    <row r="108" s="1974" customFormat="1" ht="12.75"/>
    <row r="109" s="1974" customFormat="1" ht="12.75"/>
    <row r="110" s="1974" customFormat="1" ht="12.75"/>
    <row r="111" s="1974" customFormat="1" ht="12.75"/>
    <row r="112" s="1974" customFormat="1" ht="12.75"/>
    <row r="113" s="1974" customFormat="1" ht="12.75"/>
    <row r="114" s="1974" customFormat="1" ht="12.75"/>
    <row r="115" s="1974" customFormat="1" ht="12.75"/>
    <row r="116" s="1974" customFormat="1" ht="12.75"/>
    <row r="117" s="1974" customFormat="1" ht="12.75"/>
    <row r="118" s="1974" customFormat="1" ht="12.75"/>
    <row r="119" s="1974" customFormat="1" ht="12.75"/>
    <row r="120" s="1974" customFormat="1" ht="12.75"/>
    <row r="121" s="1974" customFormat="1" ht="12.75"/>
    <row r="122" s="1974" customFormat="1" ht="12.75"/>
    <row r="123" s="1974" customFormat="1" ht="12.75"/>
    <row r="124" s="1974" customFormat="1" ht="12.75"/>
    <row r="125" s="1974" customFormat="1" ht="12.75"/>
    <row r="126" s="1974" customFormat="1" ht="12.75"/>
    <row r="127" s="1974" customFormat="1" ht="12.75"/>
    <row r="128" s="1974" customFormat="1" ht="12.75"/>
    <row r="129" s="1974" customFormat="1" ht="12.75"/>
    <row r="130" s="1974" customFormat="1" ht="12.75"/>
    <row r="131" s="1974" customFormat="1" ht="12.75"/>
    <row r="132" s="1974" customFormat="1" ht="12.75"/>
    <row r="133" s="1974" customFormat="1" ht="12.75"/>
    <row r="134" s="1974" customFormat="1" ht="12.75"/>
    <row r="135" s="1974" customFormat="1" ht="12.75"/>
    <row r="136" s="1974" customFormat="1" ht="12.75"/>
    <row r="137" s="1974" customFormat="1" ht="12.75"/>
    <row r="138" s="1974" customFormat="1" ht="12.75"/>
    <row r="139" s="1974" customFormat="1" ht="12.75"/>
    <row r="140" s="1974" customFormat="1" ht="12.75"/>
    <row r="141" s="1974" customFormat="1" ht="12.75"/>
    <row r="142" s="1974" customFormat="1" ht="12.75"/>
    <row r="143" s="1974" customFormat="1" ht="12.75"/>
    <row r="144" s="1974" customFormat="1" ht="12.75"/>
    <row r="145" s="1974" customFormat="1" ht="12.75"/>
    <row r="146" s="1974" customFormat="1" ht="12.75"/>
    <row r="147" s="1974" customFormat="1" ht="12.75"/>
    <row r="148" s="1974" customFormat="1" ht="12.75"/>
    <row r="149" s="1974" customFormat="1" ht="12.75"/>
    <row r="150" s="1974" customFormat="1" ht="12.75"/>
    <row r="151" s="1974" customFormat="1" ht="12.75"/>
    <row r="152" s="1974" customFormat="1" ht="12.75"/>
    <row r="153" s="1974" customFormat="1" ht="12.75"/>
    <row r="154" s="1974" customFormat="1" ht="12.75"/>
    <row r="155" s="1974" customFormat="1" ht="12.75"/>
    <row r="156" s="1974" customFormat="1" ht="12.75"/>
    <row r="157" s="1974" customFormat="1" ht="12.75"/>
    <row r="158" s="1974" customFormat="1" ht="12.75"/>
    <row r="159" s="1974" customFormat="1" ht="12.75"/>
    <row r="160" s="1974" customFormat="1" ht="12.75"/>
    <row r="161" spans="8:9" s="1974" customFormat="1" ht="12.75"/>
    <row r="162" spans="8:9" s="1974" customFormat="1" ht="12.75"/>
    <row r="163" spans="8:9" s="1974" customFormat="1" ht="12.75"/>
    <row r="164" spans="8:9" s="1974" customFormat="1" ht="12.75"/>
    <row r="165" spans="8:9" s="1974" customFormat="1" ht="12.75"/>
    <row r="166" spans="8:9" s="1974" customFormat="1" ht="12.75"/>
    <row r="167" spans="8:9" s="1974" customFormat="1" ht="12.75"/>
    <row r="168" spans="8:9" s="1974" customFormat="1" ht="12.75"/>
    <row r="169" spans="8:9" s="1974" customFormat="1" ht="12.75"/>
    <row r="170" spans="8:9" s="1974" customFormat="1" ht="12.75"/>
    <row r="171" spans="8:9" s="1974" customFormat="1" ht="12.75"/>
    <row r="172" spans="8:9" s="1974" customFormat="1" ht="12.75"/>
    <row r="173" spans="8:9" s="1974" customFormat="1" ht="12.75"/>
    <row r="174" spans="8:9">
      <c r="H174" s="1092"/>
      <c r="I174" s="1092"/>
    </row>
    <row r="175" spans="8:9">
      <c r="H175" s="1092"/>
      <c r="I175" s="1092"/>
    </row>
    <row r="176" spans="8:9">
      <c r="H176" s="1092"/>
      <c r="I176" s="1092"/>
    </row>
    <row r="177" spans="8:9">
      <c r="H177" s="1092"/>
      <c r="I177" s="1092"/>
    </row>
    <row r="178" spans="8:9">
      <c r="H178" s="1092"/>
      <c r="I178" s="1092"/>
    </row>
    <row r="179" spans="8:9">
      <c r="H179" s="1092"/>
      <c r="I179" s="1092"/>
    </row>
    <row r="180" spans="8:9">
      <c r="H180" s="1092"/>
      <c r="I180" s="1092"/>
    </row>
    <row r="181" spans="8:9">
      <c r="H181" s="1092"/>
      <c r="I181" s="1092"/>
    </row>
    <row r="182" spans="8:9">
      <c r="H182" s="1092"/>
      <c r="I182" s="1092"/>
    </row>
    <row r="183" spans="8:9">
      <c r="H183" s="1092"/>
      <c r="I183" s="1092"/>
    </row>
    <row r="184" spans="8:9">
      <c r="H184" s="1092"/>
      <c r="I184" s="1092"/>
    </row>
    <row r="185" spans="8:9">
      <c r="H185" s="1092"/>
      <c r="I185" s="1092"/>
    </row>
    <row r="186" spans="8:9">
      <c r="H186" s="1092"/>
      <c r="I186" s="1092"/>
    </row>
    <row r="187" spans="8:9">
      <c r="H187" s="1092"/>
      <c r="I187" s="1092"/>
    </row>
    <row r="188" spans="8:9">
      <c r="H188" s="1092"/>
      <c r="I188" s="1092"/>
    </row>
    <row r="189" spans="8:9">
      <c r="H189" s="1092"/>
      <c r="I189" s="1092"/>
    </row>
    <row r="190" spans="8:9">
      <c r="H190" s="1092"/>
      <c r="I190" s="1092"/>
    </row>
    <row r="191" spans="8:9">
      <c r="H191" s="1092"/>
      <c r="I191" s="1092"/>
    </row>
    <row r="192" spans="8:9">
      <c r="H192" s="1092"/>
      <c r="I192" s="1092"/>
    </row>
    <row r="193" spans="8:9">
      <c r="H193" s="1092"/>
      <c r="I193" s="1092"/>
    </row>
    <row r="194" spans="8:9">
      <c r="H194" s="1092"/>
      <c r="I194" s="1092"/>
    </row>
    <row r="195" spans="8:9">
      <c r="H195" s="1092"/>
      <c r="I195" s="1092"/>
    </row>
    <row r="196" spans="8:9">
      <c r="H196" s="1092"/>
      <c r="I196" s="1092"/>
    </row>
    <row r="197" spans="8:9">
      <c r="H197" s="1092"/>
      <c r="I197" s="1092"/>
    </row>
    <row r="198" spans="8:9">
      <c r="H198" s="1092"/>
      <c r="I198" s="1092"/>
    </row>
    <row r="199" spans="8:9">
      <c r="H199" s="1092"/>
      <c r="I199" s="1092"/>
    </row>
    <row r="200" spans="8:9">
      <c r="H200" s="1092"/>
      <c r="I200" s="1092"/>
    </row>
    <row r="201" spans="8:9">
      <c r="H201" s="1092"/>
      <c r="I201" s="1092"/>
    </row>
    <row r="202" spans="8:9">
      <c r="H202" s="1092"/>
      <c r="I202" s="1092"/>
    </row>
    <row r="203" spans="8:9">
      <c r="H203" s="1092"/>
      <c r="I203" s="1092"/>
    </row>
    <row r="204" spans="8:9">
      <c r="H204" s="1092"/>
      <c r="I204" s="1092"/>
    </row>
    <row r="205" spans="8:9">
      <c r="H205" s="1092"/>
      <c r="I205" s="1092"/>
    </row>
    <row r="206" spans="8:9">
      <c r="H206" s="1092"/>
      <c r="I206" s="1092"/>
    </row>
    <row r="207" spans="8:9">
      <c r="H207" s="1092"/>
      <c r="I207" s="1092"/>
    </row>
    <row r="208" spans="8:9">
      <c r="H208" s="1092"/>
      <c r="I208" s="1092"/>
    </row>
    <row r="209" spans="8:9">
      <c r="H209" s="1092"/>
      <c r="I209" s="1092"/>
    </row>
    <row r="210" spans="8:9">
      <c r="H210" s="1092"/>
      <c r="I210" s="1092"/>
    </row>
    <row r="211" spans="8:9">
      <c r="H211" s="1092"/>
      <c r="I211" s="1092"/>
    </row>
    <row r="212" spans="8:9">
      <c r="H212" s="1092"/>
      <c r="I212" s="1092"/>
    </row>
    <row r="213" spans="8:9">
      <c r="H213" s="1092"/>
      <c r="I213" s="1092"/>
    </row>
    <row r="214" spans="8:9">
      <c r="H214" s="1092"/>
      <c r="I214" s="1092"/>
    </row>
    <row r="215" spans="8:9">
      <c r="H215" s="1092"/>
      <c r="I215" s="1092"/>
    </row>
    <row r="216" spans="8:9">
      <c r="H216" s="1092"/>
      <c r="I216" s="1092"/>
    </row>
    <row r="217" spans="8:9">
      <c r="H217" s="1092"/>
      <c r="I217" s="1092"/>
    </row>
    <row r="218" spans="8:9">
      <c r="H218" s="1092"/>
      <c r="I218" s="1092"/>
    </row>
    <row r="219" spans="8:9">
      <c r="H219" s="1092"/>
      <c r="I219" s="1092"/>
    </row>
    <row r="220" spans="8:9">
      <c r="H220" s="1092"/>
      <c r="I220" s="1092"/>
    </row>
    <row r="221" spans="8:9">
      <c r="H221" s="1092"/>
      <c r="I221" s="1092"/>
    </row>
    <row r="222" spans="8:9">
      <c r="H222" s="1092"/>
      <c r="I222" s="1092"/>
    </row>
    <row r="223" spans="8:9">
      <c r="H223" s="1092"/>
      <c r="I223" s="1092"/>
    </row>
    <row r="224" spans="8:9">
      <c r="H224" s="1092"/>
      <c r="I224" s="1092"/>
    </row>
    <row r="225" spans="8:9">
      <c r="H225" s="1092"/>
      <c r="I225" s="1092"/>
    </row>
    <row r="226" spans="8:9">
      <c r="H226" s="1092"/>
      <c r="I226" s="1092"/>
    </row>
    <row r="227" spans="8:9">
      <c r="H227" s="1092"/>
      <c r="I227" s="1092"/>
    </row>
    <row r="228" spans="8:9">
      <c r="H228" s="1092"/>
      <c r="I228" s="1092"/>
    </row>
    <row r="229" spans="8:9">
      <c r="H229" s="1092"/>
      <c r="I229" s="1092"/>
    </row>
    <row r="230" spans="8:9">
      <c r="H230" s="1092"/>
      <c r="I230" s="1092"/>
    </row>
    <row r="231" spans="8:9">
      <c r="H231" s="1092"/>
      <c r="I231" s="1092"/>
    </row>
    <row r="232" spans="8:9">
      <c r="H232" s="1092"/>
      <c r="I232" s="1092"/>
    </row>
    <row r="233" spans="8:9">
      <c r="H233" s="1092"/>
      <c r="I233" s="1092"/>
    </row>
    <row r="234" spans="8:9">
      <c r="H234" s="1092"/>
      <c r="I234" s="1092"/>
    </row>
    <row r="235" spans="8:9">
      <c r="H235" s="1092"/>
      <c r="I235" s="1092"/>
    </row>
    <row r="236" spans="8:9">
      <c r="H236" s="1092"/>
      <c r="I236" s="1092"/>
    </row>
    <row r="237" spans="8:9">
      <c r="H237" s="1092"/>
      <c r="I237" s="1092"/>
    </row>
    <row r="238" spans="8:9">
      <c r="H238" s="1092"/>
      <c r="I238" s="1092"/>
    </row>
    <row r="239" spans="8:9">
      <c r="H239" s="1092"/>
      <c r="I239" s="1092"/>
    </row>
    <row r="240" spans="8:9">
      <c r="H240" s="1092"/>
      <c r="I240" s="1092"/>
    </row>
    <row r="241" spans="8:9">
      <c r="H241" s="1092"/>
      <c r="I241" s="1092"/>
    </row>
    <row r="242" spans="8:9">
      <c r="H242" s="1092"/>
      <c r="I242" s="1092"/>
    </row>
    <row r="243" spans="8:9">
      <c r="H243" s="1092"/>
      <c r="I243" s="1092"/>
    </row>
    <row r="244" spans="8:9">
      <c r="H244" s="1092"/>
      <c r="I244" s="1092"/>
    </row>
    <row r="245" spans="8:9">
      <c r="H245" s="1092"/>
      <c r="I245" s="1092"/>
    </row>
    <row r="246" spans="8:9">
      <c r="H246" s="1092"/>
      <c r="I246" s="1092"/>
    </row>
    <row r="247" spans="8:9">
      <c r="H247" s="1092"/>
      <c r="I247" s="1092"/>
    </row>
    <row r="248" spans="8:9">
      <c r="H248" s="1092"/>
      <c r="I248" s="1092"/>
    </row>
    <row r="249" spans="8:9">
      <c r="H249" s="1092"/>
      <c r="I249" s="1092"/>
    </row>
    <row r="250" spans="8:9">
      <c r="H250" s="1092"/>
      <c r="I250" s="1092"/>
    </row>
    <row r="251" spans="8:9">
      <c r="H251" s="1092"/>
      <c r="I251" s="1092"/>
    </row>
    <row r="252" spans="8:9">
      <c r="H252" s="1092"/>
      <c r="I252" s="1092"/>
    </row>
    <row r="253" spans="8:9">
      <c r="H253" s="1092"/>
      <c r="I253" s="1092"/>
    </row>
    <row r="254" spans="8:9">
      <c r="H254" s="1092"/>
      <c r="I254" s="1092"/>
    </row>
    <row r="255" spans="8:9">
      <c r="H255" s="1092"/>
      <c r="I255" s="1092"/>
    </row>
    <row r="256" spans="8:9">
      <c r="H256" s="1092"/>
      <c r="I256" s="1092"/>
    </row>
    <row r="257" spans="8:9">
      <c r="H257" s="1092"/>
      <c r="I257" s="1092"/>
    </row>
    <row r="258" spans="8:9">
      <c r="H258" s="1092"/>
      <c r="I258" s="1092"/>
    </row>
    <row r="259" spans="8:9">
      <c r="H259" s="1092"/>
      <c r="I259" s="1092"/>
    </row>
    <row r="260" spans="8:9">
      <c r="H260" s="1092"/>
      <c r="I260" s="1092"/>
    </row>
    <row r="261" spans="8:9">
      <c r="H261" s="1092"/>
      <c r="I261" s="1092"/>
    </row>
    <row r="262" spans="8:9">
      <c r="H262" s="1092"/>
      <c r="I262" s="1092"/>
    </row>
    <row r="263" spans="8:9">
      <c r="H263" s="1092"/>
      <c r="I263" s="1092"/>
    </row>
    <row r="264" spans="8:9">
      <c r="H264" s="1092"/>
      <c r="I264" s="1092"/>
    </row>
    <row r="265" spans="8:9">
      <c r="H265" s="1092"/>
      <c r="I265" s="1092"/>
    </row>
    <row r="266" spans="8:9">
      <c r="H266" s="1092"/>
      <c r="I266" s="1092"/>
    </row>
    <row r="267" spans="8:9">
      <c r="H267" s="1092"/>
      <c r="I267" s="1092"/>
    </row>
    <row r="268" spans="8:9">
      <c r="H268" s="1092"/>
      <c r="I268" s="1092"/>
    </row>
    <row r="269" spans="8:9">
      <c r="H269" s="1092"/>
      <c r="I269" s="1092"/>
    </row>
    <row r="270" spans="8:9">
      <c r="H270" s="1092"/>
      <c r="I270" s="1092"/>
    </row>
    <row r="271" spans="8:9">
      <c r="H271" s="1092"/>
      <c r="I271" s="1092"/>
    </row>
    <row r="272" spans="8:9">
      <c r="H272" s="1092"/>
      <c r="I272" s="1092"/>
    </row>
    <row r="273" spans="8:9">
      <c r="H273" s="1092"/>
      <c r="I273" s="1092"/>
    </row>
    <row r="274" spans="8:9">
      <c r="H274" s="1092"/>
      <c r="I274" s="1092"/>
    </row>
    <row r="275" spans="8:9">
      <c r="H275" s="1092"/>
      <c r="I275" s="1092"/>
    </row>
    <row r="276" spans="8:9">
      <c r="H276" s="1092"/>
      <c r="I276" s="1092"/>
    </row>
    <row r="277" spans="8:9">
      <c r="H277" s="1092"/>
      <c r="I277" s="1092"/>
    </row>
    <row r="278" spans="8:9">
      <c r="H278" s="1092"/>
      <c r="I278" s="1092"/>
    </row>
    <row r="279" spans="8:9">
      <c r="H279" s="1092"/>
      <c r="I279" s="1092"/>
    </row>
    <row r="280" spans="8:9">
      <c r="H280" s="1092"/>
      <c r="I280" s="1092"/>
    </row>
    <row r="281" spans="8:9">
      <c r="H281" s="1092"/>
      <c r="I281" s="1092"/>
    </row>
    <row r="282" spans="8:9">
      <c r="H282" s="1092"/>
      <c r="I282" s="1092"/>
    </row>
    <row r="283" spans="8:9">
      <c r="H283" s="1092"/>
      <c r="I283" s="1092"/>
    </row>
    <row r="284" spans="8:9">
      <c r="H284" s="1092"/>
      <c r="I284" s="1092"/>
    </row>
    <row r="285" spans="8:9">
      <c r="H285" s="1092"/>
      <c r="I285" s="1092"/>
    </row>
    <row r="286" spans="8:9">
      <c r="H286" s="1092"/>
      <c r="I286" s="1092"/>
    </row>
    <row r="287" spans="8:9">
      <c r="H287" s="1092"/>
      <c r="I287" s="1092"/>
    </row>
    <row r="288" spans="8:9">
      <c r="H288" s="1092"/>
      <c r="I288" s="1092"/>
    </row>
    <row r="289" spans="8:9">
      <c r="H289" s="1092"/>
      <c r="I289" s="1092"/>
    </row>
    <row r="290" spans="8:9">
      <c r="H290" s="1092"/>
      <c r="I290" s="1092"/>
    </row>
    <row r="291" spans="8:9">
      <c r="H291" s="1092"/>
      <c r="I291" s="1092"/>
    </row>
    <row r="292" spans="8:9">
      <c r="H292" s="1092"/>
      <c r="I292" s="1092"/>
    </row>
    <row r="293" spans="8:9">
      <c r="H293" s="1092"/>
      <c r="I293" s="1092"/>
    </row>
    <row r="294" spans="8:9">
      <c r="H294" s="1092"/>
      <c r="I294" s="1092"/>
    </row>
    <row r="295" spans="8:9">
      <c r="H295" s="1092"/>
      <c r="I295" s="1092"/>
    </row>
    <row r="296" spans="8:9">
      <c r="H296" s="1092"/>
      <c r="I296" s="1092"/>
    </row>
    <row r="297" spans="8:9">
      <c r="H297" s="1092"/>
      <c r="I297" s="1092"/>
    </row>
    <row r="298" spans="8:9">
      <c r="H298" s="1092"/>
      <c r="I298" s="1092"/>
    </row>
    <row r="299" spans="8:9">
      <c r="H299" s="1092"/>
      <c r="I299" s="1092"/>
    </row>
    <row r="300" spans="8:9">
      <c r="H300" s="1092"/>
      <c r="I300" s="1092"/>
    </row>
    <row r="301" spans="8:9">
      <c r="H301" s="1092"/>
      <c r="I301" s="1092"/>
    </row>
    <row r="302" spans="8:9">
      <c r="H302" s="1092"/>
      <c r="I302" s="1092"/>
    </row>
    <row r="303" spans="8:9">
      <c r="H303" s="1092"/>
      <c r="I303" s="1092"/>
    </row>
    <row r="304" spans="8:9">
      <c r="H304" s="1092"/>
      <c r="I304" s="1092"/>
    </row>
    <row r="305" spans="8:9">
      <c r="H305" s="1092"/>
      <c r="I305" s="1092"/>
    </row>
    <row r="306" spans="8:9">
      <c r="H306" s="1092"/>
      <c r="I306" s="1092"/>
    </row>
    <row r="307" spans="8:9">
      <c r="H307" s="1092"/>
      <c r="I307" s="1092"/>
    </row>
    <row r="308" spans="8:9">
      <c r="H308" s="1092"/>
      <c r="I308" s="1092"/>
    </row>
    <row r="309" spans="8:9">
      <c r="H309" s="1092"/>
      <c r="I309" s="1092"/>
    </row>
    <row r="310" spans="8:9">
      <c r="H310" s="1092"/>
      <c r="I310" s="1092"/>
    </row>
    <row r="311" spans="8:9">
      <c r="H311" s="1092"/>
      <c r="I311" s="1092"/>
    </row>
    <row r="312" spans="8:9">
      <c r="H312" s="1092"/>
      <c r="I312" s="1092"/>
    </row>
    <row r="313" spans="8:9">
      <c r="H313" s="1092"/>
      <c r="I313" s="1092"/>
    </row>
    <row r="314" spans="8:9">
      <c r="H314" s="1092"/>
      <c r="I314" s="1092"/>
    </row>
    <row r="315" spans="8:9">
      <c r="H315" s="1092"/>
      <c r="I315" s="1092"/>
    </row>
    <row r="316" spans="8:9">
      <c r="H316" s="1092"/>
      <c r="I316" s="1092"/>
    </row>
    <row r="317" spans="8:9">
      <c r="H317" s="1092"/>
      <c r="I317" s="1092"/>
    </row>
    <row r="318" spans="8:9">
      <c r="H318" s="1092"/>
      <c r="I318" s="1092"/>
    </row>
    <row r="319" spans="8:9">
      <c r="H319" s="1092"/>
      <c r="I319" s="1092"/>
    </row>
    <row r="320" spans="8:9">
      <c r="H320" s="1092"/>
      <c r="I320" s="1092"/>
    </row>
    <row r="321" spans="8:9">
      <c r="H321" s="1092"/>
      <c r="I321" s="1092"/>
    </row>
    <row r="322" spans="8:9">
      <c r="H322" s="1092"/>
      <c r="I322" s="1092"/>
    </row>
    <row r="323" spans="8:9">
      <c r="H323" s="1092"/>
      <c r="I323" s="1092"/>
    </row>
    <row r="324" spans="8:9">
      <c r="H324" s="1092"/>
      <c r="I324" s="1092"/>
    </row>
    <row r="325" spans="8:9">
      <c r="H325" s="1092"/>
      <c r="I325" s="1092"/>
    </row>
    <row r="326" spans="8:9">
      <c r="H326" s="1092"/>
      <c r="I326" s="1092"/>
    </row>
    <row r="327" spans="8:9">
      <c r="H327" s="1092"/>
      <c r="I327" s="1092"/>
    </row>
    <row r="328" spans="8:9">
      <c r="H328" s="1092"/>
      <c r="I328" s="1092"/>
    </row>
    <row r="329" spans="8:9">
      <c r="H329" s="1092"/>
      <c r="I329" s="1092"/>
    </row>
    <row r="330" spans="8:9">
      <c r="H330" s="1092"/>
      <c r="I330" s="1092"/>
    </row>
    <row r="331" spans="8:9">
      <c r="H331" s="1092"/>
      <c r="I331" s="1092"/>
    </row>
    <row r="332" spans="8:9">
      <c r="H332" s="1092"/>
      <c r="I332" s="1092"/>
    </row>
    <row r="333" spans="8:9">
      <c r="H333" s="1092"/>
      <c r="I333" s="1092"/>
    </row>
    <row r="334" spans="8:9">
      <c r="H334" s="1092"/>
      <c r="I334" s="1092"/>
    </row>
    <row r="335" spans="8:9">
      <c r="H335" s="1092"/>
      <c r="I335" s="1092"/>
    </row>
    <row r="336" spans="8:9">
      <c r="H336" s="1092"/>
      <c r="I336" s="1092"/>
    </row>
    <row r="337" spans="8:9">
      <c r="H337" s="1092"/>
      <c r="I337" s="1092"/>
    </row>
    <row r="338" spans="8:9">
      <c r="H338" s="1092"/>
      <c r="I338" s="1092"/>
    </row>
    <row r="339" spans="8:9">
      <c r="H339" s="1092"/>
      <c r="I339" s="1092"/>
    </row>
    <row r="340" spans="8:9">
      <c r="H340" s="1092"/>
      <c r="I340" s="1092"/>
    </row>
    <row r="341" spans="8:9">
      <c r="H341" s="1092"/>
      <c r="I341" s="1092"/>
    </row>
    <row r="342" spans="8:9">
      <c r="H342" s="1092"/>
      <c r="I342" s="1092"/>
    </row>
    <row r="343" spans="8:9">
      <c r="H343" s="1092"/>
      <c r="I343" s="1092"/>
    </row>
    <row r="344" spans="8:9">
      <c r="H344" s="1092"/>
      <c r="I344" s="1092"/>
    </row>
    <row r="345" spans="8:9">
      <c r="H345" s="1092"/>
      <c r="I345" s="1092"/>
    </row>
    <row r="346" spans="8:9">
      <c r="H346" s="1092"/>
      <c r="I346" s="1092"/>
    </row>
    <row r="347" spans="8:9">
      <c r="H347" s="1092"/>
      <c r="I347" s="1092"/>
    </row>
    <row r="348" spans="8:9">
      <c r="H348" s="1092"/>
      <c r="I348" s="1092"/>
    </row>
    <row r="349" spans="8:9">
      <c r="H349" s="1092"/>
      <c r="I349" s="1092"/>
    </row>
    <row r="350" spans="8:9">
      <c r="H350" s="1092"/>
      <c r="I350" s="1092"/>
    </row>
    <row r="351" spans="8:9">
      <c r="H351" s="1092"/>
      <c r="I351" s="1092"/>
    </row>
    <row r="352" spans="8:9">
      <c r="H352" s="1092"/>
      <c r="I352" s="1092"/>
    </row>
    <row r="353" spans="8:9">
      <c r="H353" s="1092"/>
      <c r="I353" s="1092"/>
    </row>
    <row r="354" spans="8:9">
      <c r="H354" s="1092"/>
      <c r="I354" s="1092"/>
    </row>
    <row r="355" spans="8:9">
      <c r="H355" s="1092"/>
      <c r="I355" s="1092"/>
    </row>
    <row r="356" spans="8:9">
      <c r="H356" s="1092"/>
      <c r="I356" s="1092"/>
    </row>
    <row r="357" spans="8:9">
      <c r="H357" s="1092"/>
      <c r="I357" s="1092"/>
    </row>
    <row r="358" spans="8:9">
      <c r="H358" s="1092"/>
      <c r="I358" s="1092"/>
    </row>
    <row r="359" spans="8:9">
      <c r="H359" s="1092"/>
      <c r="I359" s="1092"/>
    </row>
    <row r="360" spans="8:9">
      <c r="H360" s="1092"/>
      <c r="I360" s="1092"/>
    </row>
    <row r="361" spans="8:9">
      <c r="H361" s="1092"/>
      <c r="I361" s="1092"/>
    </row>
    <row r="362" spans="8:9">
      <c r="H362" s="1092"/>
      <c r="I362" s="1092"/>
    </row>
    <row r="363" spans="8:9">
      <c r="H363" s="1092"/>
      <c r="I363" s="1092"/>
    </row>
    <row r="364" spans="8:9">
      <c r="H364" s="1092"/>
      <c r="I364" s="1092"/>
    </row>
    <row r="365" spans="8:9">
      <c r="H365" s="1092"/>
      <c r="I365" s="1092"/>
    </row>
    <row r="366" spans="8:9">
      <c r="H366" s="1092"/>
      <c r="I366" s="1092"/>
    </row>
    <row r="367" spans="8:9">
      <c r="H367" s="1092"/>
      <c r="I367" s="1092"/>
    </row>
    <row r="368" spans="8:9">
      <c r="H368" s="1092"/>
      <c r="I368" s="1092"/>
    </row>
    <row r="369" spans="8:9">
      <c r="H369" s="1092"/>
      <c r="I369" s="1092"/>
    </row>
    <row r="370" spans="8:9">
      <c r="H370" s="1092"/>
      <c r="I370" s="1092"/>
    </row>
    <row r="371" spans="8:9">
      <c r="H371" s="1092"/>
      <c r="I371" s="1092"/>
    </row>
    <row r="372" spans="8:9">
      <c r="H372" s="1092"/>
      <c r="I372" s="1092"/>
    </row>
    <row r="373" spans="8:9">
      <c r="H373" s="1092"/>
      <c r="I373" s="1092"/>
    </row>
    <row r="374" spans="8:9">
      <c r="H374" s="1092"/>
      <c r="I374" s="1092"/>
    </row>
    <row r="375" spans="8:9">
      <c r="H375" s="1092"/>
      <c r="I375" s="1092"/>
    </row>
    <row r="376" spans="8:9">
      <c r="H376" s="1092"/>
      <c r="I376" s="1092"/>
    </row>
    <row r="377" spans="8:9">
      <c r="H377" s="1092"/>
      <c r="I377" s="1092"/>
    </row>
    <row r="378" spans="8:9">
      <c r="H378" s="1092"/>
      <c r="I378" s="1092"/>
    </row>
    <row r="379" spans="8:9">
      <c r="H379" s="1092"/>
      <c r="I379" s="1092"/>
    </row>
    <row r="380" spans="8:9">
      <c r="H380" s="1092"/>
      <c r="I380" s="1092"/>
    </row>
    <row r="381" spans="8:9">
      <c r="H381" s="1092"/>
      <c r="I381" s="1092"/>
    </row>
    <row r="382" spans="8:9">
      <c r="H382" s="1092"/>
      <c r="I382" s="1092"/>
    </row>
    <row r="383" spans="8:9">
      <c r="H383" s="1092"/>
      <c r="I383" s="1092"/>
    </row>
    <row r="384" spans="8:9">
      <c r="H384" s="1092"/>
      <c r="I384" s="1092"/>
    </row>
    <row r="385" spans="8:9">
      <c r="H385" s="1092"/>
      <c r="I385" s="1092"/>
    </row>
    <row r="386" spans="8:9">
      <c r="H386" s="1092"/>
      <c r="I386" s="1092"/>
    </row>
    <row r="387" spans="8:9">
      <c r="H387" s="1092"/>
      <c r="I387" s="1092"/>
    </row>
    <row r="388" spans="8:9">
      <c r="H388" s="1092"/>
      <c r="I388" s="1092"/>
    </row>
    <row r="389" spans="8:9">
      <c r="H389" s="1092"/>
      <c r="I389" s="1092"/>
    </row>
    <row r="390" spans="8:9">
      <c r="H390" s="1092"/>
      <c r="I390" s="1092"/>
    </row>
    <row r="391" spans="8:9">
      <c r="H391" s="1092"/>
      <c r="I391" s="1092"/>
    </row>
    <row r="392" spans="8:9">
      <c r="H392" s="1092"/>
      <c r="I392" s="1092"/>
    </row>
    <row r="393" spans="8:9">
      <c r="H393" s="1092"/>
      <c r="I393" s="1092"/>
    </row>
    <row r="394" spans="8:9">
      <c r="H394" s="1092"/>
      <c r="I394" s="1092"/>
    </row>
    <row r="395" spans="8:9">
      <c r="H395" s="1092"/>
      <c r="I395" s="1092"/>
    </row>
    <row r="396" spans="8:9">
      <c r="H396" s="1092"/>
      <c r="I396" s="1092"/>
    </row>
    <row r="397" spans="8:9">
      <c r="H397" s="1092"/>
      <c r="I397" s="1092"/>
    </row>
    <row r="398" spans="8:9">
      <c r="H398" s="1092"/>
      <c r="I398" s="1092"/>
    </row>
    <row r="399" spans="8:9">
      <c r="H399" s="1092"/>
      <c r="I399" s="1092"/>
    </row>
    <row r="400" spans="8:9">
      <c r="H400" s="1092"/>
      <c r="I400" s="1092"/>
    </row>
    <row r="401" spans="8:9">
      <c r="H401" s="1092"/>
      <c r="I401" s="1092"/>
    </row>
    <row r="402" spans="8:9">
      <c r="H402" s="1092"/>
      <c r="I402" s="1092"/>
    </row>
    <row r="403" spans="8:9">
      <c r="H403" s="1092"/>
      <c r="I403" s="1092"/>
    </row>
    <row r="404" spans="8:9">
      <c r="H404" s="1092"/>
      <c r="I404" s="1092"/>
    </row>
    <row r="405" spans="8:9">
      <c r="H405" s="1092"/>
      <c r="I405" s="1092"/>
    </row>
    <row r="406" spans="8:9">
      <c r="H406" s="1092"/>
      <c r="I406" s="1092"/>
    </row>
    <row r="407" spans="8:9">
      <c r="H407" s="1092"/>
      <c r="I407" s="1092"/>
    </row>
    <row r="408" spans="8:9">
      <c r="H408" s="1092"/>
      <c r="I408" s="1092"/>
    </row>
    <row r="409" spans="8:9">
      <c r="H409" s="1092"/>
      <c r="I409" s="1092"/>
    </row>
    <row r="410" spans="8:9">
      <c r="H410" s="1092"/>
      <c r="I410" s="1092"/>
    </row>
    <row r="411" spans="8:9">
      <c r="H411" s="1092"/>
      <c r="I411" s="1092"/>
    </row>
    <row r="412" spans="8:9">
      <c r="H412" s="1092"/>
      <c r="I412" s="1092"/>
    </row>
    <row r="413" spans="8:9">
      <c r="H413" s="1092"/>
      <c r="I413" s="1092"/>
    </row>
    <row r="414" spans="8:9">
      <c r="H414" s="1092"/>
      <c r="I414" s="1092"/>
    </row>
    <row r="415" spans="8:9">
      <c r="H415" s="1092"/>
      <c r="I415" s="1092"/>
    </row>
    <row r="416" spans="8:9">
      <c r="H416" s="1092"/>
      <c r="I416" s="1092"/>
    </row>
    <row r="417" spans="8:9">
      <c r="H417" s="1092"/>
      <c r="I417" s="1092"/>
    </row>
    <row r="418" spans="8:9">
      <c r="H418" s="1092"/>
      <c r="I418" s="1092"/>
    </row>
    <row r="419" spans="8:9">
      <c r="H419" s="1092"/>
      <c r="I419" s="1092"/>
    </row>
    <row r="420" spans="8:9">
      <c r="H420" s="1092"/>
      <c r="I420" s="1092"/>
    </row>
    <row r="421" spans="8:9">
      <c r="H421" s="1092"/>
      <c r="I421" s="1092"/>
    </row>
    <row r="422" spans="8:9">
      <c r="H422" s="1092"/>
      <c r="I422" s="1092"/>
    </row>
    <row r="423" spans="8:9">
      <c r="H423" s="1092"/>
      <c r="I423" s="1092"/>
    </row>
    <row r="424" spans="8:9">
      <c r="H424" s="1092"/>
      <c r="I424" s="1092"/>
    </row>
    <row r="425" spans="8:9">
      <c r="H425" s="1092"/>
      <c r="I425" s="1092"/>
    </row>
    <row r="426" spans="8:9">
      <c r="H426" s="1092"/>
      <c r="I426" s="1092"/>
    </row>
    <row r="427" spans="8:9">
      <c r="H427" s="1092"/>
      <c r="I427" s="1092"/>
    </row>
    <row r="428" spans="8:9">
      <c r="H428" s="1092"/>
      <c r="I428" s="1092"/>
    </row>
    <row r="429" spans="8:9">
      <c r="H429" s="1092"/>
      <c r="I429" s="1092"/>
    </row>
    <row r="430" spans="8:9">
      <c r="H430" s="1092"/>
      <c r="I430" s="1092"/>
    </row>
    <row r="431" spans="8:9">
      <c r="H431" s="1092"/>
      <c r="I431" s="1092"/>
    </row>
    <row r="432" spans="8:9">
      <c r="H432" s="1092"/>
      <c r="I432" s="1092"/>
    </row>
    <row r="433" spans="8:9">
      <c r="H433" s="1092"/>
      <c r="I433" s="1092"/>
    </row>
    <row r="434" spans="8:9">
      <c r="H434" s="1092"/>
      <c r="I434" s="1092"/>
    </row>
    <row r="435" spans="8:9">
      <c r="H435" s="1092"/>
      <c r="I435" s="1092"/>
    </row>
    <row r="436" spans="8:9">
      <c r="H436" s="1092"/>
      <c r="I436" s="1092"/>
    </row>
    <row r="437" spans="8:9">
      <c r="H437" s="1092"/>
      <c r="I437" s="1092"/>
    </row>
    <row r="438" spans="8:9">
      <c r="H438" s="1092"/>
      <c r="I438" s="1092"/>
    </row>
    <row r="439" spans="8:9">
      <c r="H439" s="1092"/>
      <c r="I439" s="1092"/>
    </row>
    <row r="440" spans="8:9">
      <c r="H440" s="1092"/>
      <c r="I440" s="1092"/>
    </row>
    <row r="441" spans="8:9">
      <c r="H441" s="1092"/>
      <c r="I441" s="1092"/>
    </row>
    <row r="442" spans="8:9">
      <c r="H442" s="1092"/>
      <c r="I442" s="1092"/>
    </row>
    <row r="443" spans="8:9">
      <c r="H443" s="1092"/>
      <c r="I443" s="1092"/>
    </row>
    <row r="444" spans="8:9">
      <c r="H444" s="1092"/>
      <c r="I444" s="1092"/>
    </row>
    <row r="445" spans="8:9">
      <c r="H445" s="1092"/>
      <c r="I445" s="1092"/>
    </row>
    <row r="446" spans="8:9">
      <c r="H446" s="1092"/>
      <c r="I446" s="1092"/>
    </row>
    <row r="447" spans="8:9">
      <c r="H447" s="1092"/>
      <c r="I447" s="1092"/>
    </row>
    <row r="448" spans="8:9">
      <c r="H448" s="1092"/>
      <c r="I448" s="1092"/>
    </row>
    <row r="449" spans="8:9">
      <c r="H449" s="1092"/>
      <c r="I449" s="1092"/>
    </row>
    <row r="450" spans="8:9">
      <c r="H450" s="1092"/>
      <c r="I450" s="1092"/>
    </row>
    <row r="451" spans="8:9">
      <c r="H451" s="1092"/>
      <c r="I451" s="1092"/>
    </row>
    <row r="452" spans="8:9">
      <c r="H452" s="1092"/>
      <c r="I452" s="1092"/>
    </row>
    <row r="453" spans="8:9">
      <c r="H453" s="1092"/>
      <c r="I453" s="1092"/>
    </row>
    <row r="454" spans="8:9">
      <c r="H454" s="1092"/>
      <c r="I454" s="1092"/>
    </row>
    <row r="455" spans="8:9">
      <c r="H455" s="1092"/>
      <c r="I455" s="1092"/>
    </row>
    <row r="456" spans="8:9">
      <c r="H456" s="1092"/>
      <c r="I456" s="1092"/>
    </row>
    <row r="457" spans="8:9">
      <c r="H457" s="1092"/>
      <c r="I457" s="1092"/>
    </row>
    <row r="458" spans="8:9">
      <c r="H458" s="1092"/>
      <c r="I458" s="1092"/>
    </row>
    <row r="459" spans="8:9">
      <c r="H459" s="1092"/>
      <c r="I459" s="1092"/>
    </row>
    <row r="460" spans="8:9">
      <c r="H460" s="1092"/>
      <c r="I460" s="1092"/>
    </row>
    <row r="461" spans="8:9">
      <c r="H461" s="1092"/>
      <c r="I461" s="1092"/>
    </row>
    <row r="462" spans="8:9">
      <c r="H462" s="1092"/>
      <c r="I462" s="1092"/>
    </row>
    <row r="463" spans="8:9">
      <c r="H463" s="1092"/>
      <c r="I463" s="1092"/>
    </row>
    <row r="464" spans="8:9">
      <c r="H464" s="1092"/>
      <c r="I464" s="1092"/>
    </row>
    <row r="465" spans="8:9">
      <c r="H465" s="1092"/>
      <c r="I465" s="1092"/>
    </row>
    <row r="466" spans="8:9">
      <c r="H466" s="1092"/>
      <c r="I466" s="1092"/>
    </row>
    <row r="467" spans="8:9">
      <c r="H467" s="1092"/>
      <c r="I467" s="1092"/>
    </row>
    <row r="468" spans="8:9">
      <c r="H468" s="1092"/>
      <c r="I468" s="1092"/>
    </row>
    <row r="469" spans="8:9">
      <c r="H469" s="1092"/>
      <c r="I469" s="1092"/>
    </row>
    <row r="470" spans="8:9">
      <c r="H470" s="1092"/>
      <c r="I470" s="1092"/>
    </row>
    <row r="471" spans="8:9">
      <c r="H471" s="1092"/>
      <c r="I471" s="1092"/>
    </row>
    <row r="472" spans="8:9">
      <c r="H472" s="1092"/>
      <c r="I472" s="1092"/>
    </row>
    <row r="473" spans="8:9">
      <c r="H473" s="1092"/>
      <c r="I473" s="1092"/>
    </row>
    <row r="474" spans="8:9">
      <c r="H474" s="1092"/>
      <c r="I474" s="1092"/>
    </row>
    <row r="475" spans="8:9">
      <c r="H475" s="1092"/>
      <c r="I475" s="1092"/>
    </row>
    <row r="476" spans="8:9">
      <c r="H476" s="1092"/>
      <c r="I476" s="1092"/>
    </row>
    <row r="477" spans="8:9">
      <c r="H477" s="1092"/>
      <c r="I477" s="1092"/>
    </row>
    <row r="478" spans="8:9">
      <c r="H478" s="1092"/>
      <c r="I478" s="1092"/>
    </row>
    <row r="479" spans="8:9">
      <c r="H479" s="1092"/>
      <c r="I479" s="1092"/>
    </row>
    <row r="480" spans="8:9">
      <c r="H480" s="1092"/>
      <c r="I480" s="1092"/>
    </row>
    <row r="481" spans="8:9">
      <c r="H481" s="1092"/>
      <c r="I481" s="1092"/>
    </row>
    <row r="482" spans="8:9">
      <c r="H482" s="1092"/>
      <c r="I482" s="1092"/>
    </row>
    <row r="483" spans="8:9">
      <c r="H483" s="1092"/>
      <c r="I483" s="1092"/>
    </row>
    <row r="484" spans="8:9">
      <c r="H484" s="1092"/>
      <c r="I484" s="1092"/>
    </row>
    <row r="485" spans="8:9">
      <c r="H485" s="1092"/>
      <c r="I485" s="1092"/>
    </row>
    <row r="486" spans="8:9">
      <c r="H486" s="1092"/>
      <c r="I486" s="1092"/>
    </row>
    <row r="487" spans="8:9">
      <c r="H487" s="1092"/>
      <c r="I487" s="1092"/>
    </row>
    <row r="488" spans="8:9">
      <c r="H488" s="1092"/>
      <c r="I488" s="1092"/>
    </row>
    <row r="489" spans="8:9">
      <c r="H489" s="1092"/>
      <c r="I489" s="1092"/>
    </row>
    <row r="490" spans="8:9">
      <c r="H490" s="1092"/>
      <c r="I490" s="1092"/>
    </row>
    <row r="491" spans="8:9">
      <c r="H491" s="1092"/>
      <c r="I491" s="1092"/>
    </row>
    <row r="492" spans="8:9">
      <c r="H492" s="1092"/>
      <c r="I492" s="1092"/>
    </row>
    <row r="493" spans="8:9">
      <c r="H493" s="1092"/>
      <c r="I493" s="1092"/>
    </row>
    <row r="494" spans="8:9">
      <c r="H494" s="1092"/>
      <c r="I494" s="1092"/>
    </row>
    <row r="495" spans="8:9">
      <c r="H495" s="1092"/>
      <c r="I495" s="1092"/>
    </row>
    <row r="496" spans="8:9">
      <c r="H496" s="1092"/>
      <c r="I496" s="1092"/>
    </row>
    <row r="497" spans="8:9">
      <c r="H497" s="1092"/>
      <c r="I497" s="1092"/>
    </row>
    <row r="498" spans="8:9">
      <c r="H498" s="1092"/>
      <c r="I498" s="1092"/>
    </row>
    <row r="499" spans="8:9">
      <c r="H499" s="1092"/>
      <c r="I499" s="1092"/>
    </row>
    <row r="500" spans="8:9">
      <c r="H500" s="1092"/>
      <c r="I500" s="1092"/>
    </row>
    <row r="501" spans="8:9">
      <c r="H501" s="1092"/>
      <c r="I501" s="1092"/>
    </row>
    <row r="502" spans="8:9">
      <c r="H502" s="1092"/>
      <c r="I502" s="1092"/>
    </row>
    <row r="503" spans="8:9">
      <c r="H503" s="1092"/>
      <c r="I503" s="1092"/>
    </row>
    <row r="504" spans="8:9">
      <c r="H504" s="1092"/>
      <c r="I504" s="1092"/>
    </row>
    <row r="505" spans="8:9">
      <c r="H505" s="1092"/>
      <c r="I505" s="1092"/>
    </row>
    <row r="506" spans="8:9">
      <c r="H506" s="1092"/>
      <c r="I506" s="1092"/>
    </row>
    <row r="507" spans="8:9">
      <c r="H507" s="1092"/>
      <c r="I507" s="1092"/>
    </row>
    <row r="508" spans="8:9">
      <c r="H508" s="1092"/>
      <c r="I508" s="1092"/>
    </row>
    <row r="509" spans="8:9">
      <c r="H509" s="1092"/>
      <c r="I509" s="1092"/>
    </row>
    <row r="510" spans="8:9">
      <c r="H510" s="1092"/>
      <c r="I510" s="1092"/>
    </row>
    <row r="511" spans="8:9">
      <c r="H511" s="1092"/>
      <c r="I511" s="1092"/>
    </row>
    <row r="512" spans="8:9">
      <c r="H512" s="1092"/>
      <c r="I512" s="1092"/>
    </row>
    <row r="513" spans="8:9">
      <c r="H513" s="1092"/>
      <c r="I513" s="1092"/>
    </row>
    <row r="514" spans="8:9">
      <c r="H514" s="1092"/>
      <c r="I514" s="1092"/>
    </row>
    <row r="515" spans="8:9">
      <c r="H515" s="1092"/>
      <c r="I515" s="1092"/>
    </row>
    <row r="516" spans="8:9">
      <c r="H516" s="1092"/>
      <c r="I516" s="1092"/>
    </row>
    <row r="517" spans="8:9">
      <c r="H517" s="1092"/>
      <c r="I517" s="1092"/>
    </row>
    <row r="518" spans="8:9">
      <c r="H518" s="1092"/>
      <c r="I518" s="1092"/>
    </row>
    <row r="519" spans="8:9">
      <c r="H519" s="1092"/>
      <c r="I519" s="1092"/>
    </row>
    <row r="520" spans="8:9">
      <c r="H520" s="1092"/>
      <c r="I520" s="1092"/>
    </row>
    <row r="521" spans="8:9">
      <c r="H521" s="1092"/>
      <c r="I521" s="1092"/>
    </row>
    <row r="522" spans="8:9">
      <c r="H522" s="1092"/>
      <c r="I522" s="1092"/>
    </row>
    <row r="523" spans="8:9">
      <c r="H523" s="1092"/>
      <c r="I523" s="1092"/>
    </row>
    <row r="524" spans="8:9">
      <c r="H524" s="1092"/>
      <c r="I524" s="1092"/>
    </row>
    <row r="525" spans="8:9">
      <c r="H525" s="1092"/>
      <c r="I525" s="1092"/>
    </row>
    <row r="526" spans="8:9">
      <c r="H526" s="1092"/>
      <c r="I526" s="1092"/>
    </row>
    <row r="527" spans="8:9">
      <c r="H527" s="1092"/>
      <c r="I527" s="1092"/>
    </row>
    <row r="528" spans="8:9">
      <c r="H528" s="1092"/>
      <c r="I528" s="1092"/>
    </row>
    <row r="529" spans="8:9">
      <c r="H529" s="1092"/>
      <c r="I529" s="1092"/>
    </row>
    <row r="530" spans="8:9">
      <c r="H530" s="1092"/>
      <c r="I530" s="1092"/>
    </row>
    <row r="531" spans="8:9">
      <c r="H531" s="1092"/>
      <c r="I531" s="1092"/>
    </row>
    <row r="532" spans="8:9">
      <c r="H532" s="1092"/>
      <c r="I532" s="1092"/>
    </row>
    <row r="533" spans="8:9">
      <c r="H533" s="1092"/>
      <c r="I533" s="1092"/>
    </row>
    <row r="534" spans="8:9">
      <c r="H534" s="1092"/>
      <c r="I534" s="1092"/>
    </row>
    <row r="535" spans="8:9">
      <c r="H535" s="1092"/>
      <c r="I535" s="1092"/>
    </row>
    <row r="536" spans="8:9">
      <c r="H536" s="1092"/>
      <c r="I536" s="1092"/>
    </row>
    <row r="537" spans="8:9">
      <c r="H537" s="1092"/>
      <c r="I537" s="1092"/>
    </row>
    <row r="538" spans="8:9">
      <c r="H538" s="1092"/>
      <c r="I538" s="1092"/>
    </row>
    <row r="539" spans="8:9">
      <c r="H539" s="1092"/>
      <c r="I539" s="1092"/>
    </row>
    <row r="540" spans="8:9">
      <c r="H540" s="1092"/>
      <c r="I540" s="1092"/>
    </row>
    <row r="541" spans="8:9">
      <c r="H541" s="1092"/>
      <c r="I541" s="1092"/>
    </row>
    <row r="542" spans="8:9">
      <c r="H542" s="1092"/>
      <c r="I542" s="1092"/>
    </row>
    <row r="543" spans="8:9">
      <c r="H543" s="1092"/>
      <c r="I543" s="1092"/>
    </row>
    <row r="544" spans="8:9">
      <c r="H544" s="1092"/>
      <c r="I544" s="1092"/>
    </row>
    <row r="545" spans="8:9">
      <c r="H545" s="1092"/>
      <c r="I545" s="1092"/>
    </row>
    <row r="546" spans="8:9">
      <c r="H546" s="1092"/>
      <c r="I546" s="1092"/>
    </row>
    <row r="547" spans="8:9">
      <c r="H547" s="1092"/>
      <c r="I547" s="1092"/>
    </row>
    <row r="548" spans="8:9">
      <c r="H548" s="1092"/>
      <c r="I548" s="1092"/>
    </row>
    <row r="549" spans="8:9">
      <c r="H549" s="1092"/>
      <c r="I549" s="1092"/>
    </row>
    <row r="550" spans="8:9">
      <c r="H550" s="1092"/>
      <c r="I550" s="1092"/>
    </row>
    <row r="551" spans="8:9">
      <c r="H551" s="1092"/>
      <c r="I551" s="1092"/>
    </row>
    <row r="552" spans="8:9">
      <c r="H552" s="1092"/>
      <c r="I552" s="1092"/>
    </row>
    <row r="553" spans="8:9">
      <c r="H553" s="1092"/>
      <c r="I553" s="1092"/>
    </row>
    <row r="554" spans="8:9">
      <c r="H554" s="1092"/>
      <c r="I554" s="1092"/>
    </row>
    <row r="555" spans="8:9">
      <c r="H555" s="1092"/>
      <c r="I555" s="1092"/>
    </row>
    <row r="556" spans="8:9">
      <c r="H556" s="1092"/>
      <c r="I556" s="1092"/>
    </row>
    <row r="557" spans="8:9">
      <c r="H557" s="1092"/>
      <c r="I557" s="1092"/>
    </row>
    <row r="558" spans="8:9">
      <c r="H558" s="1092"/>
      <c r="I558" s="1092"/>
    </row>
    <row r="559" spans="8:9">
      <c r="H559" s="1092"/>
      <c r="I559" s="1092"/>
    </row>
    <row r="560" spans="8:9">
      <c r="H560" s="1092"/>
      <c r="I560" s="1092"/>
    </row>
    <row r="561" spans="8:9">
      <c r="H561" s="1092"/>
      <c r="I561" s="1092"/>
    </row>
    <row r="562" spans="8:9">
      <c r="H562" s="1092"/>
      <c r="I562" s="1092"/>
    </row>
    <row r="563" spans="8:9">
      <c r="H563" s="1092"/>
      <c r="I563" s="1092"/>
    </row>
    <row r="564" spans="8:9">
      <c r="H564" s="1092"/>
      <c r="I564" s="1092"/>
    </row>
    <row r="565" spans="8:9">
      <c r="H565" s="1092"/>
      <c r="I565" s="1092"/>
    </row>
    <row r="566" spans="8:9">
      <c r="H566" s="1092"/>
      <c r="I566" s="1092"/>
    </row>
    <row r="567" spans="8:9">
      <c r="H567" s="1092"/>
      <c r="I567" s="1092"/>
    </row>
    <row r="568" spans="8:9">
      <c r="H568" s="1092"/>
      <c r="I568" s="1092"/>
    </row>
    <row r="569" spans="8:9">
      <c r="H569" s="1092"/>
      <c r="I569" s="1092"/>
    </row>
    <row r="570" spans="8:9">
      <c r="H570" s="1092"/>
      <c r="I570" s="1092"/>
    </row>
    <row r="571" spans="8:9">
      <c r="H571" s="1092"/>
      <c r="I571" s="1092"/>
    </row>
    <row r="572" spans="8:9">
      <c r="H572" s="1092"/>
      <c r="I572" s="1092"/>
    </row>
    <row r="573" spans="8:9">
      <c r="H573" s="1092"/>
      <c r="I573" s="1092"/>
    </row>
    <row r="574" spans="8:9">
      <c r="H574" s="1092"/>
      <c r="I574" s="1092"/>
    </row>
    <row r="575" spans="8:9">
      <c r="H575" s="1092"/>
      <c r="I575" s="1092"/>
    </row>
    <row r="576" spans="8:9">
      <c r="H576" s="1092"/>
      <c r="I576" s="1092"/>
    </row>
    <row r="577" spans="8:9">
      <c r="H577" s="1092"/>
      <c r="I577" s="1092"/>
    </row>
    <row r="578" spans="8:9">
      <c r="H578" s="1092"/>
      <c r="I578" s="1092"/>
    </row>
    <row r="579" spans="8:9">
      <c r="H579" s="1092"/>
      <c r="I579" s="1092"/>
    </row>
    <row r="580" spans="8:9">
      <c r="H580" s="1092"/>
      <c r="I580" s="1092"/>
    </row>
    <row r="581" spans="8:9">
      <c r="H581" s="1092"/>
      <c r="I581" s="1092"/>
    </row>
    <row r="582" spans="8:9">
      <c r="H582" s="1092"/>
      <c r="I582" s="1092"/>
    </row>
    <row r="583" spans="8:9">
      <c r="H583" s="1092"/>
      <c r="I583" s="1092"/>
    </row>
    <row r="584" spans="8:9">
      <c r="H584" s="1092"/>
      <c r="I584" s="1092"/>
    </row>
    <row r="585" spans="8:9">
      <c r="H585" s="1092"/>
      <c r="I585" s="1092"/>
    </row>
    <row r="586" spans="8:9">
      <c r="H586" s="1092"/>
      <c r="I586" s="1092"/>
    </row>
    <row r="587" spans="8:9">
      <c r="H587" s="1092"/>
      <c r="I587" s="1092"/>
    </row>
    <row r="588" spans="8:9">
      <c r="H588" s="1092"/>
      <c r="I588" s="1092"/>
    </row>
    <row r="589" spans="8:9">
      <c r="H589" s="1092"/>
      <c r="I589" s="1092"/>
    </row>
    <row r="590" spans="8:9">
      <c r="H590" s="1092"/>
      <c r="I590" s="1092"/>
    </row>
    <row r="591" spans="8:9">
      <c r="H591" s="1092"/>
      <c r="I591" s="1092"/>
    </row>
    <row r="592" spans="8:9">
      <c r="H592" s="1092"/>
      <c r="I592" s="1092"/>
    </row>
    <row r="593" spans="8:9">
      <c r="H593" s="1092"/>
      <c r="I593" s="1092"/>
    </row>
    <row r="594" spans="8:9">
      <c r="H594" s="1092"/>
      <c r="I594" s="1092"/>
    </row>
    <row r="595" spans="8:9">
      <c r="H595" s="1092"/>
      <c r="I595" s="1092"/>
    </row>
    <row r="596" spans="8:9">
      <c r="H596" s="1092"/>
      <c r="I596" s="1092"/>
    </row>
    <row r="597" spans="8:9">
      <c r="H597" s="1092"/>
      <c r="I597" s="1092"/>
    </row>
    <row r="598" spans="8:9">
      <c r="H598" s="1092"/>
      <c r="I598" s="1092"/>
    </row>
    <row r="599" spans="8:9">
      <c r="H599" s="1092"/>
      <c r="I599" s="1092"/>
    </row>
    <row r="600" spans="8:9">
      <c r="H600" s="1092"/>
      <c r="I600" s="1092"/>
    </row>
    <row r="601" spans="8:9">
      <c r="H601" s="1092"/>
      <c r="I601" s="1092"/>
    </row>
    <row r="602" spans="8:9">
      <c r="H602" s="1092"/>
      <c r="I602" s="1092"/>
    </row>
    <row r="603" spans="8:9">
      <c r="H603" s="1092"/>
      <c r="I603" s="1092"/>
    </row>
    <row r="604" spans="8:9">
      <c r="H604" s="1092"/>
      <c r="I604" s="1092"/>
    </row>
    <row r="605" spans="8:9">
      <c r="H605" s="1092"/>
      <c r="I605" s="1092"/>
    </row>
    <row r="606" spans="8:9">
      <c r="H606" s="1092"/>
      <c r="I606" s="1092"/>
    </row>
    <row r="607" spans="8:9">
      <c r="H607" s="1092"/>
      <c r="I607" s="1092"/>
    </row>
    <row r="608" spans="8:9">
      <c r="H608" s="1092"/>
      <c r="I608" s="1092"/>
    </row>
    <row r="609" spans="8:9">
      <c r="H609" s="1092"/>
      <c r="I609" s="1092"/>
    </row>
    <row r="610" spans="8:9">
      <c r="H610" s="1092"/>
      <c r="I610" s="1092"/>
    </row>
    <row r="611" spans="8:9">
      <c r="H611" s="1092"/>
      <c r="I611" s="1092"/>
    </row>
    <row r="612" spans="8:9">
      <c r="H612" s="1092"/>
      <c r="I612" s="1092"/>
    </row>
    <row r="613" spans="8:9">
      <c r="H613" s="1092"/>
      <c r="I613" s="1092"/>
    </row>
    <row r="614" spans="8:9">
      <c r="H614" s="1092"/>
      <c r="I614" s="1092"/>
    </row>
    <row r="615" spans="8:9">
      <c r="H615" s="1092"/>
      <c r="I615" s="1092"/>
    </row>
    <row r="616" spans="8:9">
      <c r="H616" s="1092"/>
      <c r="I616" s="1092"/>
    </row>
    <row r="617" spans="8:9">
      <c r="H617" s="1092"/>
      <c r="I617" s="1092"/>
    </row>
    <row r="618" spans="8:9">
      <c r="H618" s="1092"/>
      <c r="I618" s="1092"/>
    </row>
    <row r="619" spans="8:9">
      <c r="H619" s="1092"/>
      <c r="I619" s="1092"/>
    </row>
    <row r="620" spans="8:9">
      <c r="H620" s="1092"/>
      <c r="I620" s="1092"/>
    </row>
    <row r="621" spans="8:9">
      <c r="H621" s="1092"/>
      <c r="I621" s="1092"/>
    </row>
    <row r="622" spans="8:9">
      <c r="H622" s="1092"/>
      <c r="I622" s="1092"/>
    </row>
    <row r="623" spans="8:9">
      <c r="H623" s="1092"/>
      <c r="I623" s="1092"/>
    </row>
    <row r="624" spans="8:9">
      <c r="H624" s="1092"/>
      <c r="I624" s="1092"/>
    </row>
    <row r="625" spans="8:9">
      <c r="H625" s="1092"/>
      <c r="I625" s="1092"/>
    </row>
    <row r="626" spans="8:9">
      <c r="H626" s="1092"/>
      <c r="I626" s="1092"/>
    </row>
    <row r="627" spans="8:9">
      <c r="H627" s="1092"/>
      <c r="I627" s="1092"/>
    </row>
    <row r="628" spans="8:9">
      <c r="H628" s="1092"/>
      <c r="I628" s="1092"/>
    </row>
    <row r="629" spans="8:9">
      <c r="H629" s="1092"/>
      <c r="I629" s="1092"/>
    </row>
    <row r="630" spans="8:9">
      <c r="H630" s="1092"/>
      <c r="I630" s="1092"/>
    </row>
    <row r="631" spans="8:9">
      <c r="H631" s="1092"/>
      <c r="I631" s="1092"/>
    </row>
    <row r="632" spans="8:9">
      <c r="H632" s="1092"/>
      <c r="I632" s="1092"/>
    </row>
    <row r="633" spans="8:9">
      <c r="H633" s="1092"/>
      <c r="I633" s="1092"/>
    </row>
    <row r="634" spans="8:9">
      <c r="H634" s="1092"/>
      <c r="I634" s="1092"/>
    </row>
    <row r="635" spans="8:9">
      <c r="H635" s="1092"/>
      <c r="I635" s="1092"/>
    </row>
    <row r="636" spans="8:9">
      <c r="H636" s="1092"/>
      <c r="I636" s="1092"/>
    </row>
    <row r="637" spans="8:9">
      <c r="H637" s="1092"/>
      <c r="I637" s="1092"/>
    </row>
    <row r="638" spans="8:9">
      <c r="H638" s="1092"/>
      <c r="I638" s="1092"/>
    </row>
    <row r="639" spans="8:9">
      <c r="H639" s="1092"/>
      <c r="I639" s="1092"/>
    </row>
    <row r="640" spans="8:9">
      <c r="H640" s="1092"/>
      <c r="I640" s="1092"/>
    </row>
    <row r="641" spans="8:9">
      <c r="H641" s="1092"/>
      <c r="I641" s="1092"/>
    </row>
    <row r="642" spans="8:9">
      <c r="H642" s="1092"/>
      <c r="I642" s="1092"/>
    </row>
    <row r="643" spans="8:9">
      <c r="H643" s="1092"/>
      <c r="I643" s="1092"/>
    </row>
    <row r="644" spans="8:9">
      <c r="H644" s="1092"/>
      <c r="I644" s="1092"/>
    </row>
    <row r="645" spans="8:9">
      <c r="H645" s="1092"/>
      <c r="I645" s="1092"/>
    </row>
    <row r="646" spans="8:9">
      <c r="H646" s="1092"/>
      <c r="I646" s="1092"/>
    </row>
    <row r="647" spans="8:9">
      <c r="H647" s="1092"/>
      <c r="I647" s="1092"/>
    </row>
    <row r="648" spans="8:9">
      <c r="H648" s="1092"/>
      <c r="I648" s="1092"/>
    </row>
    <row r="649" spans="8:9">
      <c r="H649" s="1092"/>
      <c r="I649" s="1092"/>
    </row>
    <row r="650" spans="8:9">
      <c r="H650" s="1092"/>
      <c r="I650" s="1092"/>
    </row>
    <row r="651" spans="8:9">
      <c r="H651" s="1092"/>
      <c r="I651" s="1092"/>
    </row>
    <row r="652" spans="8:9">
      <c r="H652" s="1092"/>
      <c r="I652" s="1092"/>
    </row>
    <row r="653" spans="8:9">
      <c r="H653" s="1092"/>
      <c r="I653" s="1092"/>
    </row>
    <row r="654" spans="8:9">
      <c r="H654" s="1092"/>
      <c r="I654" s="1092"/>
    </row>
    <row r="655" spans="8:9">
      <c r="H655" s="1092"/>
      <c r="I655" s="1092"/>
    </row>
    <row r="656" spans="8:9">
      <c r="H656" s="1092"/>
      <c r="I656" s="1092"/>
    </row>
    <row r="657" spans="8:9">
      <c r="H657" s="1092"/>
      <c r="I657" s="1092"/>
    </row>
    <row r="658" spans="8:9">
      <c r="H658" s="1092"/>
      <c r="I658" s="1092"/>
    </row>
    <row r="659" spans="8:9">
      <c r="H659" s="1092"/>
      <c r="I659" s="1092"/>
    </row>
    <row r="660" spans="8:9">
      <c r="H660" s="1092"/>
      <c r="I660" s="1092"/>
    </row>
    <row r="661" spans="8:9">
      <c r="H661" s="1092"/>
      <c r="I661" s="1092"/>
    </row>
    <row r="662" spans="8:9">
      <c r="H662" s="1092"/>
      <c r="I662" s="1092"/>
    </row>
    <row r="663" spans="8:9">
      <c r="H663" s="1092"/>
      <c r="I663" s="1092"/>
    </row>
    <row r="664" spans="8:9">
      <c r="H664" s="1092"/>
      <c r="I664" s="1092"/>
    </row>
    <row r="665" spans="8:9">
      <c r="H665" s="1092"/>
      <c r="I665" s="1092"/>
    </row>
    <row r="666" spans="8:9">
      <c r="H666" s="1092"/>
      <c r="I666" s="1092"/>
    </row>
    <row r="667" spans="8:9">
      <c r="H667" s="1092"/>
      <c r="I667" s="1092"/>
    </row>
    <row r="668" spans="8:9">
      <c r="H668" s="1092"/>
      <c r="I668" s="1092"/>
    </row>
    <row r="669" spans="8:9">
      <c r="H669" s="1092"/>
      <c r="I669" s="1092"/>
    </row>
    <row r="670" spans="8:9">
      <c r="H670" s="1092"/>
      <c r="I670" s="1092"/>
    </row>
    <row r="671" spans="8:9">
      <c r="H671" s="1092"/>
      <c r="I671" s="1092"/>
    </row>
    <row r="672" spans="8:9">
      <c r="H672" s="1092"/>
      <c r="I672" s="1092"/>
    </row>
    <row r="673" spans="8:9">
      <c r="H673" s="1092"/>
      <c r="I673" s="1092"/>
    </row>
    <row r="674" spans="8:9">
      <c r="H674" s="1092"/>
      <c r="I674" s="1092"/>
    </row>
    <row r="675" spans="8:9">
      <c r="H675" s="1092"/>
      <c r="I675" s="1092"/>
    </row>
    <row r="676" spans="8:9">
      <c r="H676" s="1092"/>
      <c r="I676" s="1092"/>
    </row>
    <row r="677" spans="8:9">
      <c r="H677" s="1092"/>
      <c r="I677" s="1092"/>
    </row>
    <row r="678" spans="8:9">
      <c r="H678" s="1092"/>
      <c r="I678" s="1092"/>
    </row>
    <row r="679" spans="8:9">
      <c r="H679" s="1092"/>
      <c r="I679" s="1092"/>
    </row>
    <row r="680" spans="8:9">
      <c r="H680" s="1092"/>
      <c r="I680" s="1092"/>
    </row>
    <row r="681" spans="8:9">
      <c r="H681" s="1092"/>
      <c r="I681" s="1092"/>
    </row>
    <row r="682" spans="8:9">
      <c r="H682" s="1092"/>
      <c r="I682" s="1092"/>
    </row>
    <row r="683" spans="8:9">
      <c r="H683" s="1092"/>
      <c r="I683" s="1092"/>
    </row>
    <row r="684" spans="8:9">
      <c r="H684" s="1092"/>
      <c r="I684" s="1092"/>
    </row>
    <row r="685" spans="8:9">
      <c r="H685" s="1092"/>
      <c r="I685" s="1092"/>
    </row>
    <row r="686" spans="8:9">
      <c r="H686" s="1092"/>
      <c r="I686" s="1092"/>
    </row>
    <row r="687" spans="8:9">
      <c r="H687" s="1092"/>
      <c r="I687" s="1092"/>
    </row>
    <row r="688" spans="8:9">
      <c r="H688" s="1092"/>
      <c r="I688" s="1092"/>
    </row>
    <row r="689" spans="8:9">
      <c r="H689" s="1092"/>
      <c r="I689" s="1092"/>
    </row>
    <row r="690" spans="8:9">
      <c r="H690" s="1092"/>
      <c r="I690" s="1092"/>
    </row>
    <row r="691" spans="8:9">
      <c r="H691" s="1092"/>
      <c r="I691" s="1092"/>
    </row>
    <row r="692" spans="8:9">
      <c r="H692" s="1092"/>
      <c r="I692" s="1092"/>
    </row>
    <row r="693" spans="8:9">
      <c r="H693" s="1092"/>
      <c r="I693" s="1092"/>
    </row>
    <row r="694" spans="8:9">
      <c r="H694" s="1092"/>
      <c r="I694" s="1092"/>
    </row>
    <row r="695" spans="8:9">
      <c r="H695" s="1092"/>
      <c r="I695" s="1092"/>
    </row>
    <row r="696" spans="8:9">
      <c r="H696" s="1092"/>
      <c r="I696" s="1092"/>
    </row>
    <row r="697" spans="8:9">
      <c r="H697" s="1092"/>
      <c r="I697" s="1092"/>
    </row>
    <row r="698" spans="8:9">
      <c r="H698" s="1092"/>
      <c r="I698" s="1092"/>
    </row>
    <row r="699" spans="8:9">
      <c r="H699" s="1092"/>
      <c r="I699" s="1092"/>
    </row>
    <row r="700" spans="8:9">
      <c r="H700" s="1092"/>
      <c r="I700" s="1092"/>
    </row>
    <row r="701" spans="8:9">
      <c r="H701" s="1092"/>
      <c r="I701" s="1092"/>
    </row>
    <row r="702" spans="8:9">
      <c r="H702" s="1092"/>
      <c r="I702" s="1092"/>
    </row>
    <row r="703" spans="8:9">
      <c r="H703" s="1092"/>
      <c r="I703" s="1092"/>
    </row>
    <row r="704" spans="8:9">
      <c r="H704" s="1092"/>
      <c r="I704" s="1092"/>
    </row>
    <row r="705" spans="8:9">
      <c r="H705" s="1092"/>
      <c r="I705" s="1092"/>
    </row>
    <row r="706" spans="8:9">
      <c r="H706" s="1092"/>
      <c r="I706" s="1092"/>
    </row>
    <row r="707" spans="8:9">
      <c r="H707" s="1092"/>
      <c r="I707" s="1092"/>
    </row>
    <row r="708" spans="8:9">
      <c r="H708" s="1092"/>
      <c r="I708" s="1092"/>
    </row>
    <row r="709" spans="8:9">
      <c r="H709" s="1092"/>
      <c r="I709" s="1092"/>
    </row>
    <row r="710" spans="8:9">
      <c r="H710" s="1092"/>
      <c r="I710" s="1092"/>
    </row>
    <row r="711" spans="8:9">
      <c r="H711" s="1092"/>
      <c r="I711" s="1092"/>
    </row>
    <row r="712" spans="8:9">
      <c r="H712" s="1092"/>
      <c r="I712" s="1092"/>
    </row>
    <row r="713" spans="8:9">
      <c r="H713" s="1092"/>
      <c r="I713" s="1092"/>
    </row>
    <row r="714" spans="8:9">
      <c r="H714" s="1092"/>
      <c r="I714" s="1092"/>
    </row>
    <row r="715" spans="8:9">
      <c r="H715" s="1092"/>
      <c r="I715" s="1092"/>
    </row>
    <row r="716" spans="8:9">
      <c r="H716" s="1092"/>
      <c r="I716" s="1092"/>
    </row>
    <row r="717" spans="8:9">
      <c r="H717" s="1092"/>
      <c r="I717" s="1092"/>
    </row>
    <row r="718" spans="8:9">
      <c r="H718" s="1092"/>
      <c r="I718" s="1092"/>
    </row>
    <row r="719" spans="8:9">
      <c r="H719" s="1092"/>
      <c r="I719" s="1092"/>
    </row>
    <row r="720" spans="8:9">
      <c r="H720" s="1092"/>
      <c r="I720" s="1092"/>
    </row>
    <row r="721" spans="8:9">
      <c r="H721" s="1092"/>
      <c r="I721" s="1092"/>
    </row>
    <row r="722" spans="8:9">
      <c r="H722" s="1092"/>
      <c r="I722" s="1092"/>
    </row>
    <row r="723" spans="8:9">
      <c r="H723" s="1092"/>
      <c r="I723" s="1092"/>
    </row>
    <row r="724" spans="8:9">
      <c r="H724" s="1092"/>
      <c r="I724" s="1092"/>
    </row>
    <row r="725" spans="8:9">
      <c r="H725" s="1092"/>
      <c r="I725" s="1092"/>
    </row>
    <row r="726" spans="8:9">
      <c r="H726" s="1092"/>
      <c r="I726" s="1092"/>
    </row>
    <row r="727" spans="8:9">
      <c r="H727" s="1092"/>
      <c r="I727" s="1092"/>
    </row>
    <row r="728" spans="8:9">
      <c r="H728" s="1092"/>
      <c r="I728" s="1092"/>
    </row>
    <row r="729" spans="8:9">
      <c r="H729" s="1092"/>
      <c r="I729" s="1092"/>
    </row>
    <row r="730" spans="8:9">
      <c r="H730" s="1092"/>
      <c r="I730" s="1092"/>
    </row>
    <row r="731" spans="8:9">
      <c r="H731" s="1092"/>
      <c r="I731" s="1092"/>
    </row>
    <row r="732" spans="8:9">
      <c r="H732" s="1092"/>
      <c r="I732" s="1092"/>
    </row>
    <row r="733" spans="8:9">
      <c r="H733" s="1092"/>
      <c r="I733" s="1092"/>
    </row>
    <row r="734" spans="8:9">
      <c r="H734" s="1092"/>
      <c r="I734" s="1092"/>
    </row>
    <row r="735" spans="8:9">
      <c r="H735" s="1092"/>
      <c r="I735" s="1092"/>
    </row>
    <row r="736" spans="8:9">
      <c r="H736" s="1092"/>
      <c r="I736" s="1092"/>
    </row>
    <row r="737" spans="8:9">
      <c r="H737" s="1092"/>
      <c r="I737" s="1092"/>
    </row>
    <row r="738" spans="8:9">
      <c r="H738" s="1092"/>
      <c r="I738" s="1092"/>
    </row>
    <row r="739" spans="8:9">
      <c r="H739" s="1092"/>
      <c r="I739" s="1092"/>
    </row>
    <row r="740" spans="8:9">
      <c r="H740" s="1092"/>
      <c r="I740" s="1092"/>
    </row>
    <row r="741" spans="8:9">
      <c r="H741" s="1092"/>
      <c r="I741" s="1092"/>
    </row>
    <row r="742" spans="8:9">
      <c r="H742" s="1092"/>
      <c r="I742" s="1092"/>
    </row>
    <row r="743" spans="8:9">
      <c r="H743" s="1092"/>
      <c r="I743" s="1092"/>
    </row>
    <row r="744" spans="8:9">
      <c r="H744" s="1092"/>
      <c r="I744" s="1092"/>
    </row>
    <row r="745" spans="8:9">
      <c r="H745" s="1092"/>
      <c r="I745" s="1092"/>
    </row>
    <row r="746" spans="8:9">
      <c r="H746" s="1092"/>
      <c r="I746" s="1092"/>
    </row>
    <row r="747" spans="8:9">
      <c r="H747" s="1092"/>
      <c r="I747" s="1092"/>
    </row>
    <row r="748" spans="8:9">
      <c r="H748" s="1092"/>
      <c r="I748" s="1092"/>
    </row>
    <row r="749" spans="8:9">
      <c r="H749" s="1092"/>
      <c r="I749" s="1092"/>
    </row>
    <row r="750" spans="8:9">
      <c r="H750" s="1092"/>
      <c r="I750" s="1092"/>
    </row>
    <row r="751" spans="8:9">
      <c r="H751" s="1092"/>
      <c r="I751" s="1092"/>
    </row>
    <row r="752" spans="8:9">
      <c r="H752" s="1092"/>
      <c r="I752" s="1092"/>
    </row>
    <row r="753" spans="8:9">
      <c r="H753" s="1092"/>
      <c r="I753" s="1092"/>
    </row>
    <row r="754" spans="8:9">
      <c r="H754" s="1092"/>
      <c r="I754" s="1092"/>
    </row>
    <row r="755" spans="8:9">
      <c r="H755" s="1092"/>
      <c r="I755" s="1092"/>
    </row>
    <row r="756" spans="8:9">
      <c r="H756" s="1092"/>
      <c r="I756" s="1092"/>
    </row>
    <row r="757" spans="8:9">
      <c r="H757" s="1092"/>
      <c r="I757" s="1092"/>
    </row>
    <row r="758" spans="8:9">
      <c r="H758" s="1092"/>
      <c r="I758" s="1092"/>
    </row>
    <row r="759" spans="8:9">
      <c r="H759" s="1092"/>
      <c r="I759" s="1092"/>
    </row>
    <row r="760" spans="8:9">
      <c r="H760" s="1092"/>
      <c r="I760" s="1092"/>
    </row>
    <row r="761" spans="8:9">
      <c r="H761" s="1092"/>
      <c r="I761" s="1092"/>
    </row>
    <row r="762" spans="8:9">
      <c r="H762" s="1092"/>
      <c r="I762" s="1092"/>
    </row>
    <row r="763" spans="8:9">
      <c r="H763" s="1092"/>
      <c r="I763" s="1092"/>
    </row>
    <row r="764" spans="8:9">
      <c r="H764" s="1092"/>
      <c r="I764" s="1092"/>
    </row>
    <row r="765" spans="8:9">
      <c r="H765" s="1092"/>
      <c r="I765" s="1092"/>
    </row>
    <row r="766" spans="8:9">
      <c r="H766" s="1092"/>
      <c r="I766" s="1092"/>
    </row>
    <row r="767" spans="8:9">
      <c r="H767" s="1092"/>
      <c r="I767" s="1092"/>
    </row>
    <row r="768" spans="8:9">
      <c r="H768" s="1092"/>
      <c r="I768" s="1092"/>
    </row>
    <row r="769" spans="8:9">
      <c r="H769" s="1092"/>
      <c r="I769" s="1092"/>
    </row>
    <row r="770" spans="8:9">
      <c r="H770" s="1092"/>
      <c r="I770" s="1092"/>
    </row>
    <row r="771" spans="8:9">
      <c r="H771" s="1092"/>
      <c r="I771" s="1092"/>
    </row>
    <row r="772" spans="8:9">
      <c r="H772" s="1092"/>
      <c r="I772" s="1092"/>
    </row>
    <row r="773" spans="8:9">
      <c r="H773" s="1092"/>
      <c r="I773" s="1092"/>
    </row>
    <row r="774" spans="8:9">
      <c r="H774" s="1092"/>
      <c r="I774" s="1092"/>
    </row>
    <row r="775" spans="8:9">
      <c r="H775" s="1092"/>
      <c r="I775" s="1092"/>
    </row>
    <row r="776" spans="8:9">
      <c r="H776" s="1092"/>
      <c r="I776" s="1092"/>
    </row>
    <row r="777" spans="8:9">
      <c r="H777" s="1092"/>
      <c r="I777" s="1092"/>
    </row>
    <row r="778" spans="8:9">
      <c r="H778" s="1092"/>
      <c r="I778" s="1092"/>
    </row>
    <row r="779" spans="8:9">
      <c r="H779" s="1092"/>
      <c r="I779" s="1092"/>
    </row>
    <row r="780" spans="8:9">
      <c r="H780" s="1092"/>
      <c r="I780" s="1092"/>
    </row>
    <row r="781" spans="8:9">
      <c r="H781" s="1092"/>
      <c r="I781" s="1092"/>
    </row>
    <row r="782" spans="8:9">
      <c r="H782" s="1092"/>
      <c r="I782" s="1092"/>
    </row>
    <row r="783" spans="8:9">
      <c r="H783" s="1092"/>
      <c r="I783" s="1092"/>
    </row>
    <row r="784" spans="8:9">
      <c r="H784" s="1092"/>
      <c r="I784" s="1092"/>
    </row>
    <row r="785" spans="8:9">
      <c r="H785" s="1092"/>
      <c r="I785" s="1092"/>
    </row>
    <row r="786" spans="8:9">
      <c r="H786" s="1092"/>
      <c r="I786" s="1092"/>
    </row>
    <row r="787" spans="8:9">
      <c r="H787" s="1092"/>
      <c r="I787" s="1092"/>
    </row>
    <row r="788" spans="8:9">
      <c r="H788" s="1092"/>
      <c r="I788" s="1092"/>
    </row>
    <row r="789" spans="8:9">
      <c r="H789" s="1092"/>
      <c r="I789" s="1092"/>
    </row>
    <row r="790" spans="8:9">
      <c r="H790" s="1092"/>
      <c r="I790" s="1092"/>
    </row>
    <row r="791" spans="8:9">
      <c r="H791" s="1092"/>
      <c r="I791" s="1092"/>
    </row>
    <row r="792" spans="8:9">
      <c r="H792" s="1092"/>
      <c r="I792" s="1092"/>
    </row>
    <row r="793" spans="8:9">
      <c r="H793" s="1092"/>
      <c r="I793" s="1092"/>
    </row>
    <row r="794" spans="8:9">
      <c r="H794" s="1092"/>
      <c r="I794" s="1092"/>
    </row>
    <row r="795" spans="8:9">
      <c r="H795" s="1092"/>
      <c r="I795" s="1092"/>
    </row>
    <row r="796" spans="8:9">
      <c r="H796" s="1092"/>
      <c r="I796" s="1092"/>
    </row>
    <row r="797" spans="8:9">
      <c r="H797" s="1092"/>
      <c r="I797" s="1092"/>
    </row>
    <row r="798" spans="8:9">
      <c r="H798" s="1092"/>
      <c r="I798" s="1092"/>
    </row>
    <row r="799" spans="8:9">
      <c r="H799" s="1092"/>
      <c r="I799" s="1092"/>
    </row>
    <row r="800" spans="8:9">
      <c r="H800" s="1092"/>
      <c r="I800" s="1092"/>
    </row>
    <row r="801" spans="8:9">
      <c r="H801" s="1092"/>
      <c r="I801" s="1092"/>
    </row>
    <row r="802" spans="8:9">
      <c r="H802" s="1092"/>
      <c r="I802" s="1092"/>
    </row>
    <row r="803" spans="8:9">
      <c r="H803" s="1092"/>
      <c r="I803" s="1092"/>
    </row>
    <row r="804" spans="8:9">
      <c r="H804" s="1092"/>
      <c r="I804" s="1092"/>
    </row>
    <row r="805" spans="8:9">
      <c r="H805" s="1092"/>
      <c r="I805" s="1092"/>
    </row>
    <row r="806" spans="8:9">
      <c r="H806" s="1092"/>
      <c r="I806" s="1092"/>
    </row>
    <row r="807" spans="8:9">
      <c r="H807" s="1092"/>
      <c r="I807" s="1092"/>
    </row>
    <row r="808" spans="8:9">
      <c r="H808" s="1092"/>
      <c r="I808" s="1092"/>
    </row>
    <row r="809" spans="8:9">
      <c r="H809" s="1092"/>
      <c r="I809" s="1092"/>
    </row>
    <row r="810" spans="8:9">
      <c r="H810" s="1092"/>
      <c r="I810" s="1092"/>
    </row>
    <row r="811" spans="8:9">
      <c r="H811" s="1092"/>
      <c r="I811" s="1092"/>
    </row>
    <row r="812" spans="8:9">
      <c r="H812" s="1092"/>
      <c r="I812" s="1092"/>
    </row>
    <row r="813" spans="8:9">
      <c r="H813" s="1092"/>
      <c r="I813" s="1092"/>
    </row>
    <row r="814" spans="8:9">
      <c r="H814" s="1092"/>
      <c r="I814" s="1092"/>
    </row>
    <row r="815" spans="8:9">
      <c r="H815" s="1092"/>
      <c r="I815" s="1092"/>
    </row>
    <row r="816" spans="8:9">
      <c r="H816" s="1092"/>
      <c r="I816" s="1092"/>
    </row>
    <row r="817" spans="8:9">
      <c r="H817" s="1092"/>
      <c r="I817" s="1092"/>
    </row>
    <row r="818" spans="8:9">
      <c r="H818" s="1092"/>
      <c r="I818" s="1092"/>
    </row>
    <row r="819" spans="8:9">
      <c r="H819" s="1092"/>
      <c r="I819" s="1092"/>
    </row>
    <row r="820" spans="8:9">
      <c r="H820" s="1092"/>
      <c r="I820" s="1092"/>
    </row>
    <row r="821" spans="8:9">
      <c r="H821" s="1092"/>
      <c r="I821" s="1092"/>
    </row>
    <row r="822" spans="8:9">
      <c r="H822" s="1092"/>
      <c r="I822" s="1092"/>
    </row>
    <row r="823" spans="8:9">
      <c r="H823" s="1092"/>
      <c r="I823" s="1092"/>
    </row>
    <row r="824" spans="8:9">
      <c r="H824" s="1092"/>
      <c r="I824" s="1092"/>
    </row>
    <row r="825" spans="8:9">
      <c r="H825" s="1092"/>
      <c r="I825" s="1092"/>
    </row>
    <row r="826" spans="8:9">
      <c r="H826" s="1092"/>
      <c r="I826" s="1092"/>
    </row>
    <row r="827" spans="8:9">
      <c r="H827" s="1092"/>
      <c r="I827" s="1092"/>
    </row>
    <row r="828" spans="8:9">
      <c r="H828" s="1092"/>
      <c r="I828" s="1092"/>
    </row>
    <row r="829" spans="8:9">
      <c r="H829" s="1092"/>
      <c r="I829" s="1092"/>
    </row>
    <row r="830" spans="8:9">
      <c r="H830" s="1092"/>
      <c r="I830" s="1092"/>
    </row>
    <row r="831" spans="8:9">
      <c r="H831" s="1092"/>
      <c r="I831" s="1092"/>
    </row>
    <row r="832" spans="8:9">
      <c r="H832" s="1092"/>
      <c r="I832" s="1092"/>
    </row>
    <row r="833" spans="8:9">
      <c r="H833" s="1092"/>
      <c r="I833" s="1092"/>
    </row>
    <row r="834" spans="8:9">
      <c r="H834" s="1092"/>
      <c r="I834" s="1092"/>
    </row>
    <row r="835" spans="8:9">
      <c r="H835" s="1092"/>
      <c r="I835" s="1092"/>
    </row>
    <row r="836" spans="8:9">
      <c r="H836" s="1092"/>
      <c r="I836" s="1092"/>
    </row>
    <row r="837" spans="8:9">
      <c r="H837" s="1092"/>
      <c r="I837" s="1092"/>
    </row>
    <row r="838" spans="8:9">
      <c r="H838" s="1092"/>
      <c r="I838" s="1092"/>
    </row>
    <row r="839" spans="8:9">
      <c r="H839" s="1092"/>
      <c r="I839" s="1092"/>
    </row>
    <row r="840" spans="8:9">
      <c r="H840" s="1092"/>
      <c r="I840" s="1092"/>
    </row>
    <row r="841" spans="8:9">
      <c r="H841" s="1092"/>
      <c r="I841" s="1092"/>
    </row>
    <row r="842" spans="8:9">
      <c r="H842" s="1092"/>
      <c r="I842" s="1092"/>
    </row>
    <row r="843" spans="8:9">
      <c r="H843" s="1092"/>
      <c r="I843" s="1092"/>
    </row>
    <row r="844" spans="8:9">
      <c r="H844" s="1092"/>
      <c r="I844" s="1092"/>
    </row>
    <row r="845" spans="8:9">
      <c r="H845" s="1092"/>
      <c r="I845" s="1092"/>
    </row>
    <row r="846" spans="8:9">
      <c r="H846" s="1092"/>
      <c r="I846" s="1092"/>
    </row>
    <row r="847" spans="8:9">
      <c r="H847" s="1092"/>
      <c r="I847" s="1092"/>
    </row>
    <row r="848" spans="8:9">
      <c r="H848" s="1092"/>
      <c r="I848" s="1092"/>
    </row>
    <row r="849" spans="8:9">
      <c r="H849" s="1092"/>
      <c r="I849" s="1092"/>
    </row>
    <row r="850" spans="8:9">
      <c r="H850" s="1092"/>
      <c r="I850" s="1092"/>
    </row>
    <row r="851" spans="8:9">
      <c r="H851" s="1092"/>
      <c r="I851" s="1092"/>
    </row>
    <row r="852" spans="8:9">
      <c r="H852" s="1092"/>
      <c r="I852" s="1092"/>
    </row>
    <row r="853" spans="8:9">
      <c r="H853" s="1092"/>
      <c r="I853" s="1092"/>
    </row>
    <row r="854" spans="8:9">
      <c r="H854" s="1092"/>
      <c r="I854" s="1092"/>
    </row>
    <row r="855" spans="8:9">
      <c r="H855" s="1092"/>
      <c r="I855" s="1092"/>
    </row>
    <row r="856" spans="8:9">
      <c r="H856" s="1092"/>
      <c r="I856" s="1092"/>
    </row>
    <row r="857" spans="8:9">
      <c r="H857" s="1092"/>
      <c r="I857" s="1092"/>
    </row>
    <row r="858" spans="8:9">
      <c r="H858" s="1092"/>
      <c r="I858" s="1092"/>
    </row>
    <row r="859" spans="8:9">
      <c r="H859" s="1092"/>
      <c r="I859" s="1092"/>
    </row>
    <row r="860" spans="8:9">
      <c r="H860" s="1092"/>
      <c r="I860" s="1092"/>
    </row>
    <row r="861" spans="8:9">
      <c r="H861" s="1092"/>
      <c r="I861" s="1092"/>
    </row>
    <row r="862" spans="8:9">
      <c r="H862" s="1092"/>
      <c r="I862" s="1092"/>
    </row>
    <row r="863" spans="8:9">
      <c r="H863" s="1092"/>
      <c r="I863" s="1092"/>
    </row>
    <row r="864" spans="8:9">
      <c r="H864" s="1092"/>
      <c r="I864" s="1092"/>
    </row>
    <row r="865" spans="8:9">
      <c r="H865" s="1092"/>
      <c r="I865" s="1092"/>
    </row>
    <row r="866" spans="8:9">
      <c r="H866" s="1092"/>
      <c r="I866" s="1092"/>
    </row>
    <row r="867" spans="8:9">
      <c r="H867" s="1092"/>
      <c r="I867" s="1092"/>
    </row>
    <row r="868" spans="8:9">
      <c r="H868" s="1092"/>
      <c r="I868" s="1092"/>
    </row>
    <row r="869" spans="8:9">
      <c r="H869" s="1092"/>
      <c r="I869" s="1092"/>
    </row>
    <row r="870" spans="8:9">
      <c r="H870" s="1092"/>
      <c r="I870" s="1092"/>
    </row>
    <row r="871" spans="8:9">
      <c r="H871" s="1092"/>
      <c r="I871" s="1092"/>
    </row>
    <row r="872" spans="8:9">
      <c r="H872" s="1092"/>
      <c r="I872" s="1092"/>
    </row>
    <row r="873" spans="8:9">
      <c r="H873" s="1092"/>
      <c r="I873" s="1092"/>
    </row>
    <row r="874" spans="8:9">
      <c r="H874" s="1092"/>
      <c r="I874" s="1092"/>
    </row>
    <row r="875" spans="8:9">
      <c r="H875" s="1092"/>
      <c r="I875" s="1092"/>
    </row>
    <row r="876" spans="8:9">
      <c r="H876" s="1092"/>
      <c r="I876" s="1092"/>
    </row>
    <row r="877" spans="8:9">
      <c r="H877" s="1092"/>
      <c r="I877" s="1092"/>
    </row>
    <row r="878" spans="8:9">
      <c r="H878" s="1092"/>
      <c r="I878" s="1092"/>
    </row>
    <row r="879" spans="8:9">
      <c r="H879" s="1092"/>
      <c r="I879" s="1092"/>
    </row>
    <row r="880" spans="8:9">
      <c r="H880" s="1092"/>
      <c r="I880" s="1092"/>
    </row>
    <row r="881" spans="8:9">
      <c r="H881" s="1092"/>
      <c r="I881" s="1092"/>
    </row>
    <row r="882" spans="8:9">
      <c r="H882" s="1092"/>
      <c r="I882" s="1092"/>
    </row>
    <row r="883" spans="8:9">
      <c r="H883" s="1092"/>
      <c r="I883" s="1092"/>
    </row>
    <row r="884" spans="8:9">
      <c r="H884" s="1092"/>
      <c r="I884" s="1092"/>
    </row>
    <row r="885" spans="8:9">
      <c r="H885" s="1092"/>
      <c r="I885" s="1092"/>
    </row>
    <row r="886" spans="8:9">
      <c r="H886" s="1092"/>
      <c r="I886" s="1092"/>
    </row>
    <row r="887" spans="8:9">
      <c r="H887" s="1092"/>
      <c r="I887" s="1092"/>
    </row>
    <row r="888" spans="8:9">
      <c r="H888" s="1092"/>
      <c r="I888" s="1092"/>
    </row>
    <row r="889" spans="8:9">
      <c r="H889" s="1092"/>
      <c r="I889" s="1092"/>
    </row>
    <row r="890" spans="8:9">
      <c r="H890" s="1092"/>
      <c r="I890" s="1092"/>
    </row>
    <row r="891" spans="8:9">
      <c r="H891" s="1092"/>
      <c r="I891" s="1092"/>
    </row>
    <row r="892" spans="8:9">
      <c r="H892" s="1092"/>
      <c r="I892" s="1092"/>
    </row>
    <row r="893" spans="8:9">
      <c r="H893" s="1092"/>
      <c r="I893" s="1092"/>
    </row>
    <row r="894" spans="8:9">
      <c r="H894" s="1092"/>
      <c r="I894" s="1092"/>
    </row>
    <row r="895" spans="8:9">
      <c r="H895" s="1092"/>
      <c r="I895" s="1092"/>
    </row>
    <row r="896" spans="8:9">
      <c r="H896" s="1092"/>
      <c r="I896" s="1092"/>
    </row>
    <row r="897" spans="8:9">
      <c r="H897" s="1092"/>
      <c r="I897" s="1092"/>
    </row>
    <row r="898" spans="8:9">
      <c r="H898" s="1092"/>
      <c r="I898" s="1092"/>
    </row>
    <row r="899" spans="8:9">
      <c r="H899" s="1092"/>
      <c r="I899" s="1092"/>
    </row>
    <row r="900" spans="8:9">
      <c r="H900" s="1092"/>
      <c r="I900" s="1092"/>
    </row>
    <row r="901" spans="8:9">
      <c r="H901" s="1092"/>
      <c r="I901" s="1092"/>
    </row>
    <row r="902" spans="8:9">
      <c r="H902" s="1092"/>
      <c r="I902" s="1092"/>
    </row>
    <row r="903" spans="8:9">
      <c r="H903" s="1092"/>
      <c r="I903" s="1092"/>
    </row>
    <row r="904" spans="8:9">
      <c r="H904" s="1092"/>
      <c r="I904" s="1092"/>
    </row>
    <row r="905" spans="8:9">
      <c r="H905" s="1092"/>
      <c r="I905" s="1092"/>
    </row>
    <row r="906" spans="8:9">
      <c r="H906" s="1092"/>
      <c r="I906" s="1092"/>
    </row>
    <row r="907" spans="8:9">
      <c r="H907" s="1092"/>
      <c r="I907" s="1092"/>
    </row>
    <row r="908" spans="8:9">
      <c r="H908" s="1092"/>
      <c r="I908" s="1092"/>
    </row>
    <row r="909" spans="8:9">
      <c r="H909" s="1092"/>
      <c r="I909" s="1092"/>
    </row>
    <row r="910" spans="8:9">
      <c r="H910" s="1092"/>
      <c r="I910" s="1092"/>
    </row>
    <row r="911" spans="8:9">
      <c r="H911" s="1092"/>
      <c r="I911" s="1092"/>
    </row>
    <row r="912" spans="8:9">
      <c r="H912" s="1092"/>
      <c r="I912" s="1092"/>
    </row>
    <row r="913" spans="8:9">
      <c r="H913" s="1092"/>
      <c r="I913" s="1092"/>
    </row>
    <row r="914" spans="8:9">
      <c r="H914" s="1092"/>
      <c r="I914" s="1092"/>
    </row>
    <row r="915" spans="8:9">
      <c r="H915" s="1092"/>
      <c r="I915" s="1092"/>
    </row>
    <row r="916" spans="8:9">
      <c r="H916" s="1092"/>
      <c r="I916" s="1092"/>
    </row>
    <row r="917" spans="8:9">
      <c r="H917" s="1092"/>
      <c r="I917" s="1092"/>
    </row>
    <row r="918" spans="8:9">
      <c r="H918" s="1092"/>
      <c r="I918" s="1092"/>
    </row>
    <row r="919" spans="8:9">
      <c r="H919" s="1092"/>
      <c r="I919" s="1092"/>
    </row>
    <row r="920" spans="8:9">
      <c r="H920" s="1092"/>
      <c r="I920" s="1092"/>
    </row>
    <row r="921" spans="8:9">
      <c r="H921" s="1092"/>
      <c r="I921" s="1092"/>
    </row>
    <row r="922" spans="8:9">
      <c r="H922" s="1092"/>
      <c r="I922" s="1092"/>
    </row>
    <row r="923" spans="8:9">
      <c r="H923" s="1092"/>
      <c r="I923" s="1092"/>
    </row>
    <row r="924" spans="8:9">
      <c r="H924" s="1092"/>
      <c r="I924" s="1092"/>
    </row>
    <row r="925" spans="8:9">
      <c r="H925" s="1092"/>
      <c r="I925" s="1092"/>
    </row>
    <row r="926" spans="8:9">
      <c r="H926" s="1092"/>
      <c r="I926" s="1092"/>
    </row>
    <row r="927" spans="8:9">
      <c r="H927" s="1092"/>
      <c r="I927" s="1092"/>
    </row>
    <row r="928" spans="8:9">
      <c r="H928" s="1092"/>
      <c r="I928" s="1092"/>
    </row>
    <row r="929" spans="8:9">
      <c r="H929" s="1092"/>
      <c r="I929" s="1092"/>
    </row>
    <row r="930" spans="8:9">
      <c r="H930" s="1092"/>
      <c r="I930" s="1092"/>
    </row>
    <row r="931" spans="8:9">
      <c r="H931" s="1092"/>
      <c r="I931" s="1092"/>
    </row>
    <row r="932" spans="8:9">
      <c r="H932" s="1092"/>
      <c r="I932" s="1092"/>
    </row>
    <row r="933" spans="8:9">
      <c r="H933" s="1092"/>
      <c r="I933" s="1092"/>
    </row>
    <row r="934" spans="8:9">
      <c r="H934" s="1092"/>
      <c r="I934" s="1092"/>
    </row>
    <row r="935" spans="8:9">
      <c r="H935" s="1092"/>
      <c r="I935" s="1092"/>
    </row>
    <row r="936" spans="8:9">
      <c r="H936" s="1092"/>
      <c r="I936" s="1092"/>
    </row>
    <row r="937" spans="8:9">
      <c r="H937" s="1092"/>
      <c r="I937" s="1092"/>
    </row>
    <row r="938" spans="8:9">
      <c r="H938" s="1092"/>
      <c r="I938" s="1092"/>
    </row>
    <row r="939" spans="8:9">
      <c r="H939" s="1092"/>
      <c r="I939" s="1092"/>
    </row>
    <row r="940" spans="8:9">
      <c r="H940" s="1092"/>
      <c r="I940" s="1092"/>
    </row>
    <row r="941" spans="8:9">
      <c r="H941" s="1092"/>
      <c r="I941" s="1092"/>
    </row>
    <row r="942" spans="8:9">
      <c r="H942" s="1092"/>
      <c r="I942" s="1092"/>
    </row>
    <row r="943" spans="8:9">
      <c r="H943" s="1092"/>
      <c r="I943" s="1092"/>
    </row>
    <row r="944" spans="8:9">
      <c r="H944" s="1092"/>
      <c r="I944" s="1092"/>
    </row>
    <row r="945" spans="8:9">
      <c r="H945" s="1092"/>
      <c r="I945" s="1092"/>
    </row>
    <row r="946" spans="8:9">
      <c r="H946" s="1092"/>
      <c r="I946" s="1092"/>
    </row>
    <row r="947" spans="8:9">
      <c r="H947" s="1092"/>
      <c r="I947" s="1092"/>
    </row>
    <row r="948" spans="8:9">
      <c r="H948" s="1092"/>
      <c r="I948" s="1092"/>
    </row>
    <row r="949" spans="8:9">
      <c r="H949" s="1092"/>
      <c r="I949" s="1092"/>
    </row>
    <row r="950" spans="8:9">
      <c r="H950" s="1092"/>
      <c r="I950" s="1092"/>
    </row>
    <row r="951" spans="8:9">
      <c r="H951" s="1092"/>
      <c r="I951" s="1092"/>
    </row>
    <row r="952" spans="8:9">
      <c r="H952" s="1092"/>
      <c r="I952" s="1092"/>
    </row>
    <row r="953" spans="8:9">
      <c r="H953" s="1092"/>
      <c r="I953" s="1092"/>
    </row>
    <row r="954" spans="8:9">
      <c r="H954" s="1092"/>
      <c r="I954" s="1092"/>
    </row>
    <row r="955" spans="8:9">
      <c r="H955" s="1092"/>
      <c r="I955" s="1092"/>
    </row>
    <row r="956" spans="8:9">
      <c r="H956" s="1092"/>
      <c r="I956" s="1092"/>
    </row>
    <row r="957" spans="8:9">
      <c r="H957" s="1092"/>
      <c r="I957" s="1092"/>
    </row>
    <row r="958" spans="8:9">
      <c r="H958" s="1092"/>
      <c r="I958" s="1092"/>
    </row>
    <row r="959" spans="8:9">
      <c r="H959" s="1092"/>
      <c r="I959" s="1092"/>
    </row>
    <row r="960" spans="8:9">
      <c r="H960" s="1092"/>
      <c r="I960" s="1092"/>
    </row>
    <row r="961" spans="8:9">
      <c r="H961" s="1092"/>
      <c r="I961" s="1092"/>
    </row>
    <row r="962" spans="8:9">
      <c r="H962" s="1092"/>
      <c r="I962" s="1092"/>
    </row>
    <row r="963" spans="8:9">
      <c r="H963" s="1092"/>
      <c r="I963" s="1092"/>
    </row>
    <row r="964" spans="8:9">
      <c r="H964" s="1092"/>
      <c r="I964" s="1092"/>
    </row>
    <row r="965" spans="8:9">
      <c r="H965" s="1092"/>
      <c r="I965" s="1092"/>
    </row>
    <row r="966" spans="8:9">
      <c r="H966" s="1092"/>
      <c r="I966" s="1092"/>
    </row>
    <row r="967" spans="8:9">
      <c r="H967" s="1092"/>
      <c r="I967" s="1092"/>
    </row>
    <row r="968" spans="8:9">
      <c r="H968" s="1092"/>
      <c r="I968" s="1092"/>
    </row>
    <row r="969" spans="8:9">
      <c r="H969" s="1092"/>
      <c r="I969" s="1092"/>
    </row>
    <row r="970" spans="8:9">
      <c r="H970" s="1092"/>
      <c r="I970" s="1092"/>
    </row>
    <row r="971" spans="8:9">
      <c r="H971" s="1092"/>
      <c r="I971" s="1092"/>
    </row>
    <row r="972" spans="8:9">
      <c r="H972" s="1092"/>
      <c r="I972" s="1092"/>
    </row>
    <row r="973" spans="8:9">
      <c r="H973" s="1092"/>
      <c r="I973" s="1092"/>
    </row>
    <row r="974" spans="8:9">
      <c r="H974" s="1092"/>
      <c r="I974" s="1092"/>
    </row>
    <row r="975" spans="8:9">
      <c r="H975" s="1092"/>
      <c r="I975" s="1092"/>
    </row>
    <row r="976" spans="8:9">
      <c r="H976" s="1092"/>
      <c r="I976" s="1092"/>
    </row>
    <row r="977" spans="8:9">
      <c r="H977" s="1092"/>
      <c r="I977" s="1092"/>
    </row>
    <row r="978" spans="8:9">
      <c r="H978" s="1092"/>
      <c r="I978" s="1092"/>
    </row>
    <row r="979" spans="8:9">
      <c r="H979" s="1092"/>
      <c r="I979" s="1092"/>
    </row>
    <row r="980" spans="8:9">
      <c r="H980" s="1092"/>
      <c r="I980" s="1092"/>
    </row>
    <row r="981" spans="8:9">
      <c r="H981" s="1092"/>
      <c r="I981" s="1092"/>
    </row>
    <row r="982" spans="8:9">
      <c r="H982" s="1092"/>
      <c r="I982" s="1092"/>
    </row>
    <row r="983" spans="8:9">
      <c r="H983" s="1092"/>
      <c r="I983" s="1092"/>
    </row>
    <row r="984" spans="8:9">
      <c r="H984" s="1092"/>
      <c r="I984" s="1092"/>
    </row>
    <row r="985" spans="8:9">
      <c r="H985" s="1092"/>
      <c r="I985" s="1092"/>
    </row>
    <row r="986" spans="8:9">
      <c r="H986" s="1092"/>
      <c r="I986" s="1092"/>
    </row>
    <row r="987" spans="8:9">
      <c r="H987" s="1092"/>
      <c r="I987" s="1092"/>
    </row>
    <row r="988" spans="8:9">
      <c r="H988" s="1092"/>
      <c r="I988" s="1092"/>
    </row>
    <row r="989" spans="8:9">
      <c r="H989" s="1092"/>
      <c r="I989" s="1092"/>
    </row>
    <row r="990" spans="8:9">
      <c r="H990" s="1092"/>
      <c r="I990" s="1092"/>
    </row>
    <row r="991" spans="8:9">
      <c r="H991" s="1092"/>
      <c r="I991" s="1092"/>
    </row>
    <row r="992" spans="8:9">
      <c r="H992" s="1092"/>
      <c r="I992" s="1092"/>
    </row>
    <row r="993" spans="8:9">
      <c r="H993" s="1092"/>
      <c r="I993" s="1092"/>
    </row>
    <row r="994" spans="8:9">
      <c r="H994" s="1092"/>
      <c r="I994" s="1092"/>
    </row>
    <row r="995" spans="8:9">
      <c r="H995" s="1092"/>
      <c r="I995" s="1092"/>
    </row>
    <row r="996" spans="8:9">
      <c r="H996" s="1092"/>
      <c r="I996" s="1092"/>
    </row>
    <row r="997" spans="8:9">
      <c r="H997" s="1092"/>
      <c r="I997" s="1092"/>
    </row>
    <row r="998" spans="8:9">
      <c r="H998" s="1092"/>
      <c r="I998" s="1092"/>
    </row>
    <row r="999" spans="8:9">
      <c r="H999" s="1092"/>
      <c r="I999" s="1092"/>
    </row>
    <row r="1000" spans="8:9">
      <c r="H1000" s="1092"/>
      <c r="I1000" s="1092"/>
    </row>
    <row r="1001" spans="8:9">
      <c r="H1001" s="1092"/>
      <c r="I1001" s="1092"/>
    </row>
    <row r="1002" spans="8:9">
      <c r="H1002" s="1092"/>
      <c r="I1002" s="1092"/>
    </row>
    <row r="1003" spans="8:9">
      <c r="H1003" s="1092"/>
      <c r="I1003" s="1092"/>
    </row>
    <row r="1004" spans="8:9">
      <c r="H1004" s="1092"/>
      <c r="I1004" s="1092"/>
    </row>
    <row r="1005" spans="8:9">
      <c r="H1005" s="1092"/>
      <c r="I1005" s="1092"/>
    </row>
    <row r="1006" spans="8:9">
      <c r="H1006" s="1092"/>
      <c r="I1006" s="1092"/>
    </row>
    <row r="1007" spans="8:9">
      <c r="H1007" s="1092"/>
      <c r="I1007" s="1092"/>
    </row>
    <row r="1008" spans="8:9">
      <c r="H1008" s="1092"/>
      <c r="I1008" s="1092"/>
    </row>
    <row r="1009" spans="8:9">
      <c r="H1009" s="1092"/>
      <c r="I1009" s="1092"/>
    </row>
    <row r="1010" spans="8:9">
      <c r="H1010" s="1092"/>
      <c r="I1010" s="1092"/>
    </row>
    <row r="1011" spans="8:9">
      <c r="H1011" s="1092"/>
      <c r="I1011" s="1092"/>
    </row>
    <row r="1012" spans="8:9">
      <c r="H1012" s="1092"/>
      <c r="I1012" s="1092"/>
    </row>
    <row r="1013" spans="8:9">
      <c r="H1013" s="1092"/>
      <c r="I1013" s="1092"/>
    </row>
    <row r="1014" spans="8:9">
      <c r="H1014" s="1092"/>
      <c r="I1014" s="1092"/>
    </row>
    <row r="1015" spans="8:9">
      <c r="H1015" s="1092"/>
      <c r="I1015" s="1092"/>
    </row>
    <row r="1016" spans="8:9">
      <c r="H1016" s="1092"/>
      <c r="I1016" s="1092"/>
    </row>
    <row r="1017" spans="8:9">
      <c r="H1017" s="1092"/>
      <c r="I1017" s="1092"/>
    </row>
    <row r="1018" spans="8:9">
      <c r="H1018" s="1092"/>
      <c r="I1018" s="1092"/>
    </row>
    <row r="1019" spans="8:9">
      <c r="H1019" s="1092"/>
      <c r="I1019" s="1092"/>
    </row>
    <row r="1020" spans="8:9">
      <c r="H1020" s="1092"/>
      <c r="I1020" s="1092"/>
    </row>
    <row r="1021" spans="8:9">
      <c r="H1021" s="1092"/>
      <c r="I1021" s="1092"/>
    </row>
    <row r="1022" spans="8:9">
      <c r="H1022" s="1092"/>
      <c r="I1022" s="1092"/>
    </row>
    <row r="1023" spans="8:9">
      <c r="H1023" s="1092"/>
      <c r="I1023" s="1092"/>
    </row>
    <row r="1024" spans="8:9">
      <c r="H1024" s="1092"/>
      <c r="I1024" s="1092"/>
    </row>
    <row r="1025" spans="8:9">
      <c r="H1025" s="1092"/>
      <c r="I1025" s="1092"/>
    </row>
    <row r="1026" spans="8:9">
      <c r="H1026" s="1092"/>
      <c r="I1026" s="1092"/>
    </row>
    <row r="1027" spans="8:9">
      <c r="H1027" s="1092"/>
      <c r="I1027" s="1092"/>
    </row>
    <row r="1028" spans="8:9">
      <c r="H1028" s="1092"/>
      <c r="I1028" s="1092"/>
    </row>
    <row r="1029" spans="8:9">
      <c r="H1029" s="1092"/>
      <c r="I1029" s="1092"/>
    </row>
    <row r="1030" spans="8:9">
      <c r="H1030" s="1092"/>
      <c r="I1030" s="1092"/>
    </row>
    <row r="1031" spans="8:9">
      <c r="H1031" s="1092"/>
      <c r="I1031" s="1092"/>
    </row>
    <row r="1032" spans="8:9">
      <c r="H1032" s="1092"/>
      <c r="I1032" s="1092"/>
    </row>
    <row r="1033" spans="8:9">
      <c r="H1033" s="1092"/>
      <c r="I1033" s="1092"/>
    </row>
    <row r="1034" spans="8:9">
      <c r="H1034" s="1092"/>
      <c r="I1034" s="1092"/>
    </row>
    <row r="1035" spans="8:9">
      <c r="H1035" s="1092"/>
      <c r="I1035" s="1092"/>
    </row>
    <row r="1036" spans="8:9">
      <c r="H1036" s="1092"/>
      <c r="I1036" s="1092"/>
    </row>
    <row r="1037" spans="8:9">
      <c r="H1037" s="1092"/>
      <c r="I1037" s="1092"/>
    </row>
    <row r="1038" spans="8:9">
      <c r="H1038" s="1092"/>
      <c r="I1038" s="1092"/>
    </row>
    <row r="1039" spans="8:9">
      <c r="H1039" s="1092"/>
      <c r="I1039" s="1092"/>
    </row>
    <row r="1040" spans="8:9">
      <c r="H1040" s="1092"/>
      <c r="I1040" s="1092"/>
    </row>
    <row r="1041" spans="8:9">
      <c r="H1041" s="1092"/>
      <c r="I1041" s="1092"/>
    </row>
    <row r="1042" spans="8:9">
      <c r="H1042" s="1092"/>
      <c r="I1042" s="1092"/>
    </row>
    <row r="1043" spans="8:9">
      <c r="H1043" s="1092"/>
      <c r="I1043" s="1092"/>
    </row>
    <row r="1044" spans="8:9">
      <c r="H1044" s="1092"/>
      <c r="I1044" s="1092"/>
    </row>
    <row r="1045" spans="8:9">
      <c r="H1045" s="1092"/>
      <c r="I1045" s="1092"/>
    </row>
    <row r="1046" spans="8:9">
      <c r="H1046" s="1092"/>
      <c r="I1046" s="1092"/>
    </row>
    <row r="1047" spans="8:9">
      <c r="H1047" s="1092"/>
      <c r="I1047" s="1092"/>
    </row>
    <row r="1048" spans="8:9">
      <c r="H1048" s="1092"/>
      <c r="I1048" s="1092"/>
    </row>
    <row r="1049" spans="8:9">
      <c r="H1049" s="1092"/>
      <c r="I1049" s="1092"/>
    </row>
    <row r="1050" spans="8:9">
      <c r="H1050" s="1092"/>
      <c r="I1050" s="1092"/>
    </row>
    <row r="1051" spans="8:9">
      <c r="H1051" s="1092"/>
      <c r="I1051" s="1092"/>
    </row>
    <row r="1052" spans="8:9">
      <c r="H1052" s="1092"/>
      <c r="I1052" s="1092"/>
    </row>
    <row r="1053" spans="8:9">
      <c r="H1053" s="1092"/>
      <c r="I1053" s="1092"/>
    </row>
    <row r="1054" spans="8:9">
      <c r="H1054" s="1092"/>
      <c r="I1054" s="1092"/>
    </row>
    <row r="1055" spans="8:9">
      <c r="H1055" s="1092"/>
      <c r="I1055" s="1092"/>
    </row>
    <row r="1056" spans="8:9">
      <c r="H1056" s="1092"/>
      <c r="I1056" s="1092"/>
    </row>
    <row r="1057" spans="8:9">
      <c r="H1057" s="1092"/>
      <c r="I1057" s="1092"/>
    </row>
    <row r="1058" spans="8:9">
      <c r="H1058" s="1092"/>
      <c r="I1058" s="1092"/>
    </row>
    <row r="1059" spans="8:9">
      <c r="H1059" s="1092"/>
      <c r="I1059" s="1092"/>
    </row>
    <row r="1060" spans="8:9">
      <c r="H1060" s="1092"/>
      <c r="I1060" s="1092"/>
    </row>
    <row r="1061" spans="8:9">
      <c r="H1061" s="1092"/>
      <c r="I1061" s="1092"/>
    </row>
    <row r="1062" spans="8:9">
      <c r="H1062" s="1092"/>
      <c r="I1062" s="1092"/>
    </row>
    <row r="1063" spans="8:9">
      <c r="H1063" s="1092"/>
      <c r="I1063" s="1092"/>
    </row>
    <row r="1064" spans="8:9">
      <c r="H1064" s="1092"/>
      <c r="I1064" s="1092"/>
    </row>
    <row r="1065" spans="8:9">
      <c r="H1065" s="1092"/>
      <c r="I1065" s="1092"/>
    </row>
    <row r="1066" spans="8:9">
      <c r="H1066" s="1092"/>
      <c r="I1066" s="1092"/>
    </row>
    <row r="1067" spans="8:9">
      <c r="H1067" s="1092"/>
      <c r="I1067" s="1092"/>
    </row>
    <row r="1068" spans="8:9">
      <c r="H1068" s="1092"/>
      <c r="I1068" s="1092"/>
    </row>
    <row r="1069" spans="8:9">
      <c r="H1069" s="1092"/>
      <c r="I1069" s="1092"/>
    </row>
    <row r="1070" spans="8:9">
      <c r="H1070" s="1092"/>
      <c r="I1070" s="1092"/>
    </row>
    <row r="1071" spans="8:9">
      <c r="H1071" s="1092"/>
      <c r="I1071" s="1092"/>
    </row>
    <row r="1072" spans="8:9">
      <c r="H1072" s="1092"/>
      <c r="I1072" s="1092"/>
    </row>
    <row r="1073" spans="8:9">
      <c r="H1073" s="1092"/>
      <c r="I1073" s="1092"/>
    </row>
    <row r="1074" spans="8:9">
      <c r="H1074" s="1092"/>
      <c r="I1074" s="1092"/>
    </row>
    <row r="1075" spans="8:9">
      <c r="H1075" s="1092"/>
      <c r="I1075" s="1092"/>
    </row>
    <row r="1076" spans="8:9">
      <c r="H1076" s="1092"/>
      <c r="I1076" s="1092"/>
    </row>
    <row r="1077" spans="8:9">
      <c r="H1077" s="1092"/>
      <c r="I1077" s="1092"/>
    </row>
    <row r="1078" spans="8:9">
      <c r="H1078" s="1092"/>
      <c r="I1078" s="1092"/>
    </row>
    <row r="1079" spans="8:9">
      <c r="H1079" s="1092"/>
      <c r="I1079" s="1092"/>
    </row>
    <row r="1080" spans="8:9">
      <c r="H1080" s="1092"/>
      <c r="I1080" s="1092"/>
    </row>
    <row r="1081" spans="8:9">
      <c r="H1081" s="1092"/>
      <c r="I1081" s="1092"/>
    </row>
    <row r="1082" spans="8:9">
      <c r="H1082" s="1092"/>
      <c r="I1082" s="1092"/>
    </row>
    <row r="1083" spans="8:9">
      <c r="H1083" s="1092"/>
      <c r="I1083" s="1092"/>
    </row>
    <row r="1084" spans="8:9">
      <c r="H1084" s="1092"/>
      <c r="I1084" s="1092"/>
    </row>
    <row r="1085" spans="8:9">
      <c r="H1085" s="1092"/>
      <c r="I1085" s="1092"/>
    </row>
    <row r="1086" spans="8:9">
      <c r="H1086" s="1092"/>
      <c r="I1086" s="1092"/>
    </row>
    <row r="1087" spans="8:9">
      <c r="H1087" s="1092"/>
      <c r="I1087" s="1092"/>
    </row>
    <row r="1088" spans="8:9">
      <c r="H1088" s="1092"/>
      <c r="I1088" s="1092"/>
    </row>
    <row r="1089" spans="8:9">
      <c r="H1089" s="1092"/>
      <c r="I1089" s="1092"/>
    </row>
    <row r="1090" spans="8:9">
      <c r="H1090" s="1092"/>
      <c r="I1090" s="1092"/>
    </row>
    <row r="1091" spans="8:9">
      <c r="H1091" s="1092"/>
      <c r="I1091" s="1092"/>
    </row>
    <row r="1092" spans="8:9">
      <c r="H1092" s="1092"/>
      <c r="I1092" s="1092"/>
    </row>
    <row r="1093" spans="8:9">
      <c r="H1093" s="1092"/>
      <c r="I1093" s="1092"/>
    </row>
    <row r="1094" spans="8:9">
      <c r="H1094" s="1092"/>
      <c r="I1094" s="1092"/>
    </row>
    <row r="1095" spans="8:9">
      <c r="H1095" s="1092"/>
      <c r="I1095" s="1092"/>
    </row>
    <row r="1096" spans="8:9">
      <c r="H1096" s="1092"/>
      <c r="I1096" s="1092"/>
    </row>
    <row r="1097" spans="8:9">
      <c r="H1097" s="1092"/>
      <c r="I1097" s="1092"/>
    </row>
    <row r="1098" spans="8:9">
      <c r="H1098" s="1092"/>
      <c r="I1098" s="1092"/>
    </row>
    <row r="1099" spans="8:9">
      <c r="H1099" s="1092"/>
      <c r="I1099" s="1092"/>
    </row>
    <row r="1100" spans="8:9">
      <c r="H1100" s="1092"/>
      <c r="I1100" s="1092"/>
    </row>
    <row r="1101" spans="8:9">
      <c r="H1101" s="1092"/>
      <c r="I1101" s="1092"/>
    </row>
    <row r="1102" spans="8:9">
      <c r="H1102" s="1092"/>
      <c r="I1102" s="1092"/>
    </row>
    <row r="1103" spans="8:9">
      <c r="H1103" s="1092"/>
      <c r="I1103" s="1092"/>
    </row>
    <row r="1104" spans="8:9">
      <c r="H1104" s="1092"/>
      <c r="I1104" s="1092"/>
    </row>
    <row r="1105" spans="8:9">
      <c r="H1105" s="1092"/>
      <c r="I1105" s="1092"/>
    </row>
    <row r="1106" spans="8:9">
      <c r="H1106" s="1092"/>
      <c r="I1106" s="1092"/>
    </row>
    <row r="1107" spans="8:9">
      <c r="H1107" s="1092"/>
      <c r="I1107" s="1092"/>
    </row>
    <row r="1108" spans="8:9">
      <c r="H1108" s="1092"/>
      <c r="I1108" s="1092"/>
    </row>
    <row r="1109" spans="8:9">
      <c r="H1109" s="1092"/>
      <c r="I1109" s="1092"/>
    </row>
    <row r="1110" spans="8:9">
      <c r="H1110" s="1092"/>
      <c r="I1110" s="1092"/>
    </row>
    <row r="1111" spans="8:9">
      <c r="H1111" s="1092"/>
      <c r="I1111" s="1092"/>
    </row>
    <row r="1112" spans="8:9">
      <c r="H1112" s="1092"/>
      <c r="I1112" s="1092"/>
    </row>
    <row r="1113" spans="8:9">
      <c r="H1113" s="1092"/>
      <c r="I1113" s="1092"/>
    </row>
    <row r="1114" spans="8:9">
      <c r="H1114" s="1092"/>
      <c r="I1114" s="1092"/>
    </row>
    <row r="1115" spans="8:9">
      <c r="H1115" s="1092"/>
      <c r="I1115" s="1092"/>
    </row>
    <row r="1116" spans="8:9">
      <c r="H1116" s="1092"/>
      <c r="I1116" s="1092"/>
    </row>
    <row r="1117" spans="8:9">
      <c r="H1117" s="1092"/>
      <c r="I1117" s="1092"/>
    </row>
    <row r="1118" spans="8:9">
      <c r="H1118" s="1092"/>
      <c r="I1118" s="1092"/>
    </row>
    <row r="1119" spans="8:9">
      <c r="H1119" s="1092"/>
      <c r="I1119" s="1092"/>
    </row>
    <row r="1120" spans="8:9">
      <c r="H1120" s="1092"/>
      <c r="I1120" s="1092"/>
    </row>
    <row r="1121" spans="8:9">
      <c r="H1121" s="1092"/>
      <c r="I1121" s="1092"/>
    </row>
    <row r="1122" spans="8:9">
      <c r="H1122" s="1092"/>
      <c r="I1122" s="1092"/>
    </row>
    <row r="1123" spans="8:9">
      <c r="H1123" s="1092"/>
      <c r="I1123" s="1092"/>
    </row>
    <row r="1124" spans="8:9">
      <c r="H1124" s="1092"/>
      <c r="I1124" s="1092"/>
    </row>
    <row r="1125" spans="8:9">
      <c r="H1125" s="1092"/>
      <c r="I1125" s="1092"/>
    </row>
    <row r="1126" spans="8:9">
      <c r="H1126" s="1092"/>
      <c r="I1126" s="1092"/>
    </row>
    <row r="1127" spans="8:9">
      <c r="H1127" s="1092"/>
      <c r="I1127" s="1092"/>
    </row>
    <row r="1128" spans="8:9">
      <c r="H1128" s="1092"/>
      <c r="I1128" s="1092"/>
    </row>
    <row r="1129" spans="8:9">
      <c r="H1129" s="1092"/>
      <c r="I1129" s="1092"/>
    </row>
    <row r="1130" spans="8:9">
      <c r="H1130" s="1092"/>
      <c r="I1130" s="1092"/>
    </row>
    <row r="1131" spans="8:9">
      <c r="H1131" s="1092"/>
      <c r="I1131" s="1092"/>
    </row>
    <row r="1132" spans="8:9">
      <c r="H1132" s="1092"/>
      <c r="I1132" s="1092"/>
    </row>
    <row r="1133" spans="8:9">
      <c r="H1133" s="1092"/>
      <c r="I1133" s="1092"/>
    </row>
    <row r="1134" spans="8:9">
      <c r="H1134" s="1092"/>
      <c r="I1134" s="1092"/>
    </row>
    <row r="1135" spans="8:9">
      <c r="H1135" s="1092"/>
      <c r="I1135" s="1092"/>
    </row>
    <row r="1136" spans="8:9">
      <c r="H1136" s="1092"/>
      <c r="I1136" s="1092"/>
    </row>
    <row r="1137" spans="8:9">
      <c r="H1137" s="1092"/>
      <c r="I1137" s="1092"/>
    </row>
    <row r="1138" spans="8:9">
      <c r="H1138" s="1092"/>
      <c r="I1138" s="1092"/>
    </row>
    <row r="1139" spans="8:9">
      <c r="H1139" s="1092"/>
      <c r="I1139" s="1092"/>
    </row>
    <row r="1140" spans="8:9">
      <c r="H1140" s="1092"/>
      <c r="I1140" s="1092"/>
    </row>
    <row r="1141" spans="8:9">
      <c r="H1141" s="1092"/>
      <c r="I1141" s="1092"/>
    </row>
    <row r="1142" spans="8:9">
      <c r="H1142" s="1092"/>
      <c r="I1142" s="1092"/>
    </row>
    <row r="1143" spans="8:9">
      <c r="H1143" s="1092"/>
      <c r="I1143" s="1092"/>
    </row>
    <row r="1144" spans="8:9">
      <c r="H1144" s="1092"/>
      <c r="I1144" s="1092"/>
    </row>
    <row r="1145" spans="8:9">
      <c r="H1145" s="1092"/>
      <c r="I1145" s="1092"/>
    </row>
    <row r="1146" spans="8:9">
      <c r="H1146" s="1092"/>
      <c r="I1146" s="1092"/>
    </row>
    <row r="1147" spans="8:9">
      <c r="H1147" s="1092"/>
      <c r="I1147" s="1092"/>
    </row>
    <row r="1148" spans="8:9">
      <c r="H1148" s="1092"/>
      <c r="I1148" s="1092"/>
    </row>
    <row r="1149" spans="8:9">
      <c r="H1149" s="1092"/>
      <c r="I1149" s="1092"/>
    </row>
    <row r="1150" spans="8:9">
      <c r="H1150" s="1092"/>
      <c r="I1150" s="1092"/>
    </row>
    <row r="1151" spans="8:9">
      <c r="H1151" s="1092"/>
      <c r="I1151" s="1092"/>
    </row>
    <row r="1152" spans="8:9">
      <c r="H1152" s="1092"/>
      <c r="I1152" s="1092"/>
    </row>
    <row r="1153" spans="8:9">
      <c r="H1153" s="1092"/>
      <c r="I1153" s="1092"/>
    </row>
    <row r="1154" spans="8:9">
      <c r="H1154" s="1092"/>
      <c r="I1154" s="1092"/>
    </row>
    <row r="1155" spans="8:9">
      <c r="H1155" s="1092"/>
      <c r="I1155" s="1092"/>
    </row>
    <row r="1156" spans="8:9">
      <c r="H1156" s="1092"/>
      <c r="I1156" s="1092"/>
    </row>
    <row r="1157" spans="8:9">
      <c r="H1157" s="1092"/>
      <c r="I1157" s="1092"/>
    </row>
    <row r="1158" spans="8:9">
      <c r="H1158" s="1092"/>
      <c r="I1158" s="1092"/>
    </row>
    <row r="1159" spans="8:9">
      <c r="H1159" s="1092"/>
      <c r="I1159" s="1092"/>
    </row>
    <row r="1160" spans="8:9">
      <c r="H1160" s="1092"/>
      <c r="I1160" s="1092"/>
    </row>
    <row r="1161" spans="8:9">
      <c r="H1161" s="1092"/>
      <c r="I1161" s="1092"/>
    </row>
    <row r="1162" spans="8:9">
      <c r="H1162" s="1092"/>
      <c r="I1162" s="1092"/>
    </row>
    <row r="1163" spans="8:9">
      <c r="H1163" s="1092"/>
      <c r="I1163" s="1092"/>
    </row>
    <row r="1164" spans="8:9">
      <c r="H1164" s="1092"/>
      <c r="I1164" s="1092"/>
    </row>
    <row r="1165" spans="8:9">
      <c r="H1165" s="1092"/>
      <c r="I1165" s="1092"/>
    </row>
    <row r="1166" spans="8:9">
      <c r="H1166" s="1092"/>
      <c r="I1166" s="1092"/>
    </row>
    <row r="1167" spans="8:9">
      <c r="H1167" s="1092"/>
      <c r="I1167" s="1092"/>
    </row>
    <row r="1168" spans="8:9">
      <c r="H1168" s="1092"/>
      <c r="I1168" s="1092"/>
    </row>
    <row r="1169" spans="8:9">
      <c r="H1169" s="1092"/>
      <c r="I1169" s="1092"/>
    </row>
    <row r="1170" spans="8:9">
      <c r="H1170" s="1092"/>
      <c r="I1170" s="1092"/>
    </row>
    <row r="1171" spans="8:9">
      <c r="H1171" s="1092"/>
      <c r="I1171" s="1092"/>
    </row>
    <row r="1172" spans="8:9">
      <c r="H1172" s="1092"/>
      <c r="I1172" s="1092"/>
    </row>
    <row r="1173" spans="8:9">
      <c r="H1173" s="1092"/>
      <c r="I1173" s="1092"/>
    </row>
    <row r="1174" spans="8:9">
      <c r="H1174" s="1092"/>
      <c r="I1174" s="1092"/>
    </row>
    <row r="1175" spans="8:9">
      <c r="H1175" s="1092"/>
      <c r="I1175" s="1092"/>
    </row>
    <row r="1176" spans="8:9">
      <c r="H1176" s="1092"/>
      <c r="I1176" s="1092"/>
    </row>
    <row r="1177" spans="8:9">
      <c r="H1177" s="1092"/>
      <c r="I1177" s="1092"/>
    </row>
    <row r="1178" spans="8:9">
      <c r="H1178" s="1092"/>
      <c r="I1178" s="1092"/>
    </row>
    <row r="1179" spans="8:9">
      <c r="H1179" s="1092"/>
      <c r="I1179" s="1092"/>
    </row>
    <row r="1180" spans="8:9">
      <c r="H1180" s="1092"/>
      <c r="I1180" s="1092"/>
    </row>
    <row r="1181" spans="8:9">
      <c r="H1181" s="1092"/>
      <c r="I1181" s="1092"/>
    </row>
    <row r="1182" spans="8:9">
      <c r="H1182" s="1092"/>
      <c r="I1182" s="1092"/>
    </row>
    <row r="1183" spans="8:9">
      <c r="H1183" s="1092"/>
      <c r="I1183" s="1092"/>
    </row>
    <row r="1184" spans="8:9">
      <c r="H1184" s="1092"/>
      <c r="I1184" s="1092"/>
    </row>
    <row r="1185" spans="8:9">
      <c r="H1185" s="1092"/>
      <c r="I1185" s="1092"/>
    </row>
    <row r="1186" spans="8:9">
      <c r="H1186" s="1092"/>
      <c r="I1186" s="1092"/>
    </row>
    <row r="1187" spans="8:9">
      <c r="H1187" s="1092"/>
      <c r="I1187" s="1092"/>
    </row>
    <row r="1188" spans="8:9">
      <c r="H1188" s="1092"/>
      <c r="I1188" s="1092"/>
    </row>
    <row r="1189" spans="8:9">
      <c r="H1189" s="1092"/>
      <c r="I1189" s="1092"/>
    </row>
    <row r="1190" spans="8:9">
      <c r="H1190" s="1092"/>
      <c r="I1190" s="1092"/>
    </row>
    <row r="1191" spans="8:9">
      <c r="H1191" s="1092"/>
      <c r="I1191" s="1092"/>
    </row>
    <row r="1192" spans="8:9">
      <c r="H1192" s="1092"/>
      <c r="I1192" s="1092"/>
    </row>
    <row r="1193" spans="8:9">
      <c r="H1193" s="1092"/>
      <c r="I1193" s="1092"/>
    </row>
    <row r="1194" spans="8:9">
      <c r="H1194" s="1092"/>
      <c r="I1194" s="1092"/>
    </row>
    <row r="1195" spans="8:9">
      <c r="H1195" s="1092"/>
      <c r="I1195" s="1092"/>
    </row>
    <row r="1196" spans="8:9">
      <c r="H1196" s="1092"/>
      <c r="I1196" s="1092"/>
    </row>
    <row r="1197" spans="8:9">
      <c r="H1197" s="1092"/>
      <c r="I1197" s="1092"/>
    </row>
    <row r="1198" spans="8:9">
      <c r="H1198" s="1092"/>
      <c r="I1198" s="1092"/>
    </row>
    <row r="1199" spans="8:9">
      <c r="H1199" s="1092"/>
      <c r="I1199" s="1092"/>
    </row>
    <row r="1200" spans="8:9">
      <c r="H1200" s="1092"/>
      <c r="I1200" s="1092"/>
    </row>
    <row r="1201" spans="8:9">
      <c r="H1201" s="1092"/>
      <c r="I1201" s="1092"/>
    </row>
    <row r="1202" spans="8:9">
      <c r="H1202" s="1092"/>
      <c r="I1202" s="1092"/>
    </row>
    <row r="1203" spans="8:9">
      <c r="H1203" s="1092"/>
      <c r="I1203" s="1092"/>
    </row>
    <row r="1204" spans="8:9">
      <c r="H1204" s="1092"/>
      <c r="I1204" s="1092"/>
    </row>
    <row r="1205" spans="8:9">
      <c r="H1205" s="1092"/>
      <c r="I1205" s="1092"/>
    </row>
    <row r="1206" spans="8:9">
      <c r="H1206" s="1092"/>
      <c r="I1206" s="1092"/>
    </row>
    <row r="1207" spans="8:9">
      <c r="H1207" s="1092"/>
      <c r="I1207" s="1092"/>
    </row>
    <row r="1208" spans="8:9">
      <c r="H1208" s="1092"/>
      <c r="I1208" s="1092"/>
    </row>
    <row r="1209" spans="8:9">
      <c r="H1209" s="1092"/>
      <c r="I1209" s="1092"/>
    </row>
    <row r="1210" spans="8:9">
      <c r="H1210" s="1092"/>
      <c r="I1210" s="1092"/>
    </row>
    <row r="1211" spans="8:9">
      <c r="H1211" s="1092"/>
      <c r="I1211" s="1092"/>
    </row>
    <row r="1212" spans="8:9">
      <c r="H1212" s="1092"/>
      <c r="I1212" s="1092"/>
    </row>
    <row r="1213" spans="8:9">
      <c r="H1213" s="1092"/>
      <c r="I1213" s="1092"/>
    </row>
    <row r="1214" spans="8:9">
      <c r="H1214" s="1092"/>
      <c r="I1214" s="1092"/>
    </row>
    <row r="1215" spans="8:9">
      <c r="H1215" s="1092"/>
      <c r="I1215" s="1092"/>
    </row>
    <row r="1216" spans="8:9">
      <c r="H1216" s="1092"/>
      <c r="I1216" s="1092"/>
    </row>
    <row r="1217" spans="8:9">
      <c r="H1217" s="1092"/>
      <c r="I1217" s="1092"/>
    </row>
    <row r="1218" spans="8:9">
      <c r="H1218" s="1092"/>
      <c r="I1218" s="1092"/>
    </row>
    <row r="1219" spans="8:9">
      <c r="H1219" s="1092"/>
      <c r="I1219" s="1092"/>
    </row>
    <row r="1220" spans="8:9">
      <c r="H1220" s="1092"/>
      <c r="I1220" s="1092"/>
    </row>
    <row r="1221" spans="8:9">
      <c r="H1221" s="1092"/>
      <c r="I1221" s="1092"/>
    </row>
    <row r="1222" spans="8:9">
      <c r="H1222" s="1092"/>
      <c r="I1222" s="1092"/>
    </row>
    <row r="1223" spans="8:9">
      <c r="H1223" s="1092"/>
      <c r="I1223" s="1092"/>
    </row>
    <row r="1224" spans="8:9">
      <c r="H1224" s="1092"/>
      <c r="I1224" s="1092"/>
    </row>
    <row r="1225" spans="8:9">
      <c r="H1225" s="1092"/>
      <c r="I1225" s="1092"/>
    </row>
    <row r="1226" spans="8:9">
      <c r="H1226" s="1092"/>
      <c r="I1226" s="1092"/>
    </row>
    <row r="1227" spans="8:9">
      <c r="H1227" s="1092"/>
      <c r="I1227" s="1092"/>
    </row>
    <row r="1228" spans="8:9">
      <c r="H1228" s="1092"/>
      <c r="I1228" s="1092"/>
    </row>
    <row r="1229" spans="8:9">
      <c r="H1229" s="1092"/>
      <c r="I1229" s="1092"/>
    </row>
    <row r="1230" spans="8:9">
      <c r="H1230" s="1092"/>
      <c r="I1230" s="1092"/>
    </row>
    <row r="1231" spans="8:9">
      <c r="H1231" s="1092"/>
      <c r="I1231" s="1092"/>
    </row>
    <row r="1232" spans="8:9">
      <c r="H1232" s="1092"/>
      <c r="I1232" s="1092"/>
    </row>
    <row r="1233" spans="8:9">
      <c r="H1233" s="1092"/>
      <c r="I1233" s="1092"/>
    </row>
    <row r="1234" spans="8:9">
      <c r="H1234" s="1092"/>
      <c r="I1234" s="1092"/>
    </row>
    <row r="1235" spans="8:9">
      <c r="H1235" s="1092"/>
      <c r="I1235" s="1092"/>
    </row>
    <row r="1236" spans="8:9">
      <c r="H1236" s="1092"/>
      <c r="I1236" s="1092"/>
    </row>
    <row r="1237" spans="8:9">
      <c r="H1237" s="1092"/>
      <c r="I1237" s="1092"/>
    </row>
    <row r="1238" spans="8:9">
      <c r="H1238" s="1092"/>
      <c r="I1238" s="1092"/>
    </row>
    <row r="1239" spans="8:9">
      <c r="H1239" s="1092"/>
      <c r="I1239" s="1092"/>
    </row>
    <row r="1240" spans="8:9">
      <c r="H1240" s="1092"/>
      <c r="I1240" s="1092"/>
    </row>
    <row r="1241" spans="8:9">
      <c r="H1241" s="1092"/>
      <c r="I1241" s="1092"/>
    </row>
    <row r="1242" spans="8:9">
      <c r="H1242" s="1092"/>
      <c r="I1242" s="1092"/>
    </row>
    <row r="1243" spans="8:9">
      <c r="H1243" s="1092"/>
      <c r="I1243" s="1092"/>
    </row>
    <row r="1244" spans="8:9">
      <c r="H1244" s="1092"/>
      <c r="I1244" s="1092"/>
    </row>
    <row r="1245" spans="8:9">
      <c r="H1245" s="1092"/>
      <c r="I1245" s="1092"/>
    </row>
    <row r="1246" spans="8:9">
      <c r="H1246" s="1092"/>
      <c r="I1246" s="1092"/>
    </row>
    <row r="1247" spans="8:9">
      <c r="H1247" s="1092"/>
      <c r="I1247" s="1092"/>
    </row>
    <row r="1248" spans="8:9">
      <c r="H1248" s="1092"/>
      <c r="I1248" s="1092"/>
    </row>
    <row r="1249" spans="8:9">
      <c r="H1249" s="1092"/>
      <c r="I1249" s="1092"/>
    </row>
    <row r="1250" spans="8:9">
      <c r="H1250" s="1092"/>
      <c r="I1250" s="1092"/>
    </row>
    <row r="1251" spans="8:9">
      <c r="H1251" s="1092"/>
      <c r="I1251" s="1092"/>
    </row>
    <row r="1252" spans="8:9">
      <c r="H1252" s="1092"/>
      <c r="I1252" s="1092"/>
    </row>
    <row r="1253" spans="8:9">
      <c r="H1253" s="1092"/>
      <c r="I1253" s="1092"/>
    </row>
    <row r="1254" spans="8:9">
      <c r="H1254" s="1092"/>
      <c r="I1254" s="1092"/>
    </row>
    <row r="1255" spans="8:9">
      <c r="H1255" s="1092"/>
      <c r="I1255" s="1092"/>
    </row>
    <row r="1256" spans="8:9">
      <c r="H1256" s="1092"/>
      <c r="I1256" s="1092"/>
    </row>
    <row r="1257" spans="8:9">
      <c r="H1257" s="1092"/>
      <c r="I1257" s="1092"/>
    </row>
    <row r="1258" spans="8:9">
      <c r="H1258" s="1092"/>
      <c r="I1258" s="1092"/>
    </row>
    <row r="1259" spans="8:9">
      <c r="H1259" s="1092"/>
      <c r="I1259" s="1092"/>
    </row>
    <row r="1260" spans="8:9">
      <c r="H1260" s="1092"/>
      <c r="I1260" s="1092"/>
    </row>
    <row r="1261" spans="8:9">
      <c r="H1261" s="1092"/>
      <c r="I1261" s="1092"/>
    </row>
    <row r="1262" spans="8:9">
      <c r="H1262" s="1092"/>
      <c r="I1262" s="1092"/>
    </row>
    <row r="1263" spans="8:9">
      <c r="H1263" s="1092"/>
      <c r="I1263" s="1092"/>
    </row>
    <row r="1264" spans="8:9">
      <c r="H1264" s="1092"/>
      <c r="I1264" s="1092"/>
    </row>
    <row r="1265" spans="8:9">
      <c r="H1265" s="1092"/>
      <c r="I1265" s="1092"/>
    </row>
    <row r="1266" spans="8:9">
      <c r="H1266" s="1092"/>
      <c r="I1266" s="1092"/>
    </row>
    <row r="1267" spans="8:9">
      <c r="H1267" s="1092"/>
      <c r="I1267" s="1092"/>
    </row>
    <row r="1268" spans="8:9">
      <c r="H1268" s="1092"/>
      <c r="I1268" s="1092"/>
    </row>
    <row r="1269" spans="8:9">
      <c r="H1269" s="1092"/>
      <c r="I1269" s="1092"/>
    </row>
    <row r="1270" spans="8:9">
      <c r="H1270" s="1092"/>
      <c r="I1270" s="1092"/>
    </row>
    <row r="1271" spans="8:9">
      <c r="H1271" s="1092"/>
      <c r="I1271" s="1092"/>
    </row>
    <row r="1272" spans="8:9">
      <c r="H1272" s="1092"/>
      <c r="I1272" s="1092"/>
    </row>
    <row r="1273" spans="8:9">
      <c r="H1273" s="1092"/>
      <c r="I1273" s="1092"/>
    </row>
    <row r="1274" spans="8:9">
      <c r="H1274" s="1092"/>
      <c r="I1274" s="1092"/>
    </row>
    <row r="1275" spans="8:9">
      <c r="H1275" s="1092"/>
      <c r="I1275" s="1092"/>
    </row>
    <row r="1276" spans="8:9">
      <c r="H1276" s="1092"/>
      <c r="I1276" s="1092"/>
    </row>
    <row r="1277" spans="8:9">
      <c r="H1277" s="1092"/>
      <c r="I1277" s="1092"/>
    </row>
    <row r="1278" spans="8:9">
      <c r="H1278" s="1092"/>
      <c r="I1278" s="1092"/>
    </row>
    <row r="1279" spans="8:9">
      <c r="H1279" s="1092"/>
      <c r="I1279" s="1092"/>
    </row>
    <row r="1280" spans="8:9">
      <c r="H1280" s="1092"/>
      <c r="I1280" s="1092"/>
    </row>
    <row r="1281" spans="8:9">
      <c r="H1281" s="1092"/>
      <c r="I1281" s="1092"/>
    </row>
    <row r="1282" spans="8:9">
      <c r="H1282" s="1092"/>
      <c r="I1282" s="1092"/>
    </row>
    <row r="1283" spans="8:9">
      <c r="H1283" s="1092"/>
      <c r="I1283" s="1092"/>
    </row>
    <row r="1284" spans="8:9">
      <c r="H1284" s="1092"/>
      <c r="I1284" s="1092"/>
    </row>
    <row r="1285" spans="8:9">
      <c r="H1285" s="1092"/>
      <c r="I1285" s="1092"/>
    </row>
    <row r="1286" spans="8:9">
      <c r="H1286" s="1092"/>
      <c r="I1286" s="1092"/>
    </row>
    <row r="1287" spans="8:9">
      <c r="H1287" s="1092"/>
      <c r="I1287" s="1092"/>
    </row>
    <row r="1288" spans="8:9">
      <c r="H1288" s="1092"/>
      <c r="I1288" s="1092"/>
    </row>
    <row r="1289" spans="8:9">
      <c r="H1289" s="1092"/>
      <c r="I1289" s="1092"/>
    </row>
    <row r="1290" spans="8:9">
      <c r="H1290" s="1092"/>
      <c r="I1290" s="1092"/>
    </row>
    <row r="1291" spans="8:9">
      <c r="H1291" s="1092"/>
      <c r="I1291" s="1092"/>
    </row>
    <row r="1292" spans="8:9">
      <c r="H1292" s="1092"/>
      <c r="I1292" s="1092"/>
    </row>
    <row r="1293" spans="8:9">
      <c r="H1293" s="1092"/>
      <c r="I1293" s="1092"/>
    </row>
    <row r="1294" spans="8:9">
      <c r="H1294" s="1092"/>
      <c r="I1294" s="1092"/>
    </row>
    <row r="1295" spans="8:9">
      <c r="H1295" s="1092"/>
      <c r="I1295" s="1092"/>
    </row>
    <row r="1296" spans="8:9">
      <c r="H1296" s="1092"/>
      <c r="I1296" s="1092"/>
    </row>
    <row r="1297" spans="8:9">
      <c r="H1297" s="1092"/>
      <c r="I1297" s="1092"/>
    </row>
    <row r="1298" spans="8:9">
      <c r="H1298" s="1092"/>
      <c r="I1298" s="1092"/>
    </row>
    <row r="1299" spans="8:9">
      <c r="H1299" s="1092"/>
      <c r="I1299" s="1092"/>
    </row>
    <row r="1300" spans="8:9">
      <c r="H1300" s="1092"/>
      <c r="I1300" s="1092"/>
    </row>
    <row r="1301" spans="8:9">
      <c r="H1301" s="1092"/>
      <c r="I1301" s="1092"/>
    </row>
    <row r="1302" spans="8:9">
      <c r="H1302" s="1092"/>
      <c r="I1302" s="1092"/>
    </row>
    <row r="1303" spans="8:9">
      <c r="H1303" s="1092"/>
      <c r="I1303" s="1092"/>
    </row>
    <row r="1304" spans="8:9">
      <c r="H1304" s="1092"/>
      <c r="I1304" s="1092"/>
    </row>
    <row r="1305" spans="8:9">
      <c r="H1305" s="1092"/>
      <c r="I1305" s="1092"/>
    </row>
    <row r="1306" spans="8:9">
      <c r="H1306" s="1092"/>
      <c r="I1306" s="1092"/>
    </row>
    <row r="1307" spans="8:9">
      <c r="H1307" s="1092"/>
      <c r="I1307" s="1092"/>
    </row>
    <row r="1308" spans="8:9">
      <c r="H1308" s="1092"/>
      <c r="I1308" s="1092"/>
    </row>
    <row r="1309" spans="8:9">
      <c r="H1309" s="1092"/>
      <c r="I1309" s="1092"/>
    </row>
    <row r="1310" spans="8:9">
      <c r="H1310" s="1092"/>
      <c r="I1310" s="1092"/>
    </row>
    <row r="1311" spans="8:9">
      <c r="H1311" s="1092"/>
      <c r="I1311" s="1092"/>
    </row>
    <row r="1312" spans="8:9">
      <c r="H1312" s="1092"/>
      <c r="I1312" s="1092"/>
    </row>
    <row r="1313" spans="8:9">
      <c r="H1313" s="1092"/>
      <c r="I1313" s="1092"/>
    </row>
    <row r="1314" spans="8:9">
      <c r="H1314" s="1092"/>
      <c r="I1314" s="1092"/>
    </row>
    <row r="1315" spans="8:9">
      <c r="H1315" s="1092"/>
      <c r="I1315" s="1092"/>
    </row>
    <row r="1316" spans="8:9">
      <c r="H1316" s="1092"/>
      <c r="I1316" s="1092"/>
    </row>
    <row r="1317" spans="8:9">
      <c r="H1317" s="1092"/>
      <c r="I1317" s="1092"/>
    </row>
    <row r="1318" spans="8:9">
      <c r="H1318" s="1092"/>
      <c r="I1318" s="1092"/>
    </row>
    <row r="1319" spans="8:9">
      <c r="H1319" s="1092"/>
      <c r="I1319" s="1092"/>
    </row>
    <row r="1320" spans="8:9">
      <c r="H1320" s="1092"/>
      <c r="I1320" s="1092"/>
    </row>
    <row r="1321" spans="8:9">
      <c r="H1321" s="1092"/>
      <c r="I1321" s="1092"/>
    </row>
    <row r="1322" spans="8:9">
      <c r="H1322" s="1092"/>
      <c r="I1322" s="1092"/>
    </row>
    <row r="1323" spans="8:9">
      <c r="H1323" s="1092"/>
      <c r="I1323" s="1092"/>
    </row>
    <row r="1324" spans="8:9">
      <c r="H1324" s="1092"/>
      <c r="I1324" s="1092"/>
    </row>
    <row r="1325" spans="8:9">
      <c r="H1325" s="1092"/>
      <c r="I1325" s="1092"/>
    </row>
    <row r="1326" spans="8:9">
      <c r="H1326" s="1092"/>
      <c r="I1326" s="1092"/>
    </row>
    <row r="1327" spans="8:9">
      <c r="H1327" s="1092"/>
      <c r="I1327" s="1092"/>
    </row>
    <row r="1328" spans="8:9">
      <c r="H1328" s="1092"/>
      <c r="I1328" s="1092"/>
    </row>
    <row r="1329" spans="8:9">
      <c r="H1329" s="1092"/>
      <c r="I1329" s="1092"/>
    </row>
    <row r="1330" spans="8:9">
      <c r="H1330" s="1092"/>
      <c r="I1330" s="1092"/>
    </row>
    <row r="1331" spans="8:9">
      <c r="H1331" s="1092"/>
      <c r="I1331" s="1092"/>
    </row>
    <row r="1332" spans="8:9">
      <c r="H1332" s="1092"/>
      <c r="I1332" s="1092"/>
    </row>
    <row r="1333" spans="8:9">
      <c r="H1333" s="1092"/>
      <c r="I1333" s="1092"/>
    </row>
    <row r="1334" spans="8:9">
      <c r="H1334" s="1092"/>
      <c r="I1334" s="1092"/>
    </row>
    <row r="1335" spans="8:9">
      <c r="H1335" s="1092"/>
      <c r="I1335" s="1092"/>
    </row>
    <row r="1336" spans="8:9">
      <c r="H1336" s="1092"/>
      <c r="I1336" s="1092"/>
    </row>
    <row r="1337" spans="8:9">
      <c r="H1337" s="1092"/>
      <c r="I1337" s="1092"/>
    </row>
    <row r="1338" spans="8:9">
      <c r="H1338" s="1092"/>
      <c r="I1338" s="1092"/>
    </row>
    <row r="1339" spans="8:9">
      <c r="H1339" s="1092"/>
      <c r="I1339" s="1092"/>
    </row>
    <row r="1340" spans="8:9">
      <c r="H1340" s="1092"/>
      <c r="I1340" s="1092"/>
    </row>
    <row r="1341" spans="8:9">
      <c r="H1341" s="1092"/>
      <c r="I1341" s="1092"/>
    </row>
    <row r="1342" spans="8:9">
      <c r="H1342" s="1092"/>
      <c r="I1342" s="1092"/>
    </row>
    <row r="1343" spans="8:9">
      <c r="H1343" s="1092"/>
      <c r="I1343" s="1092"/>
    </row>
    <row r="1344" spans="8:9">
      <c r="H1344" s="1092"/>
      <c r="I1344" s="1092"/>
    </row>
    <row r="1345" spans="8:9">
      <c r="H1345" s="1092"/>
      <c r="I1345" s="1092"/>
    </row>
    <row r="1346" spans="8:9">
      <c r="H1346" s="1092"/>
      <c r="I1346" s="1092"/>
    </row>
    <row r="1347" spans="8:9">
      <c r="H1347" s="1092"/>
      <c r="I1347" s="1092"/>
    </row>
    <row r="1348" spans="8:9">
      <c r="H1348" s="1092"/>
      <c r="I1348" s="1092"/>
    </row>
    <row r="1349" spans="8:9">
      <c r="H1349" s="1092"/>
      <c r="I1349" s="1092"/>
    </row>
    <row r="1350" spans="8:9">
      <c r="H1350" s="1092"/>
      <c r="I1350" s="1092"/>
    </row>
    <row r="1351" spans="8:9">
      <c r="H1351" s="1092"/>
      <c r="I1351" s="1092"/>
    </row>
    <row r="1352" spans="8:9">
      <c r="H1352" s="1092"/>
      <c r="I1352" s="1092"/>
    </row>
    <row r="1353" spans="8:9">
      <c r="H1353" s="1092"/>
      <c r="I1353" s="1092"/>
    </row>
    <row r="1354" spans="8:9">
      <c r="H1354" s="1092"/>
      <c r="I1354" s="1092"/>
    </row>
    <row r="1355" spans="8:9">
      <c r="H1355" s="1092"/>
      <c r="I1355" s="1092"/>
    </row>
    <row r="1356" spans="8:9">
      <c r="H1356" s="1092"/>
      <c r="I1356" s="1092"/>
    </row>
    <row r="1357" spans="8:9">
      <c r="H1357" s="1092"/>
      <c r="I1357" s="1092"/>
    </row>
    <row r="1358" spans="8:9">
      <c r="H1358" s="1092"/>
      <c r="I1358" s="1092"/>
    </row>
    <row r="1359" spans="8:9">
      <c r="H1359" s="1092"/>
      <c r="I1359" s="1092"/>
    </row>
    <row r="1360" spans="8:9">
      <c r="H1360" s="1092"/>
      <c r="I1360" s="1092"/>
    </row>
    <row r="1361" spans="8:9">
      <c r="H1361" s="1092"/>
      <c r="I1361" s="1092"/>
    </row>
    <row r="1362" spans="8:9">
      <c r="H1362" s="1092"/>
      <c r="I1362" s="1092"/>
    </row>
    <row r="1363" spans="8:9">
      <c r="H1363" s="1092"/>
      <c r="I1363" s="1092"/>
    </row>
    <row r="1364" spans="8:9">
      <c r="H1364" s="1092"/>
      <c r="I1364" s="1092"/>
    </row>
    <row r="1365" spans="8:9">
      <c r="H1365" s="1092"/>
      <c r="I1365" s="1092"/>
    </row>
    <row r="1366" spans="8:9">
      <c r="H1366" s="1092"/>
      <c r="I1366" s="1092"/>
    </row>
    <row r="1367" spans="8:9">
      <c r="H1367" s="1092"/>
      <c r="I1367" s="1092"/>
    </row>
    <row r="1368" spans="8:9">
      <c r="H1368" s="1092"/>
      <c r="I1368" s="1092"/>
    </row>
    <row r="1369" spans="8:9">
      <c r="H1369" s="1092"/>
      <c r="I1369" s="1092"/>
    </row>
    <row r="1370" spans="8:9">
      <c r="H1370" s="1092"/>
      <c r="I1370" s="1092"/>
    </row>
    <row r="1371" spans="8:9">
      <c r="H1371" s="1092"/>
      <c r="I1371" s="1092"/>
    </row>
    <row r="1372" spans="8:9">
      <c r="H1372" s="1092"/>
      <c r="I1372" s="1092"/>
    </row>
    <row r="1373" spans="8:9">
      <c r="H1373" s="1092"/>
      <c r="I1373" s="1092"/>
    </row>
    <row r="1374" spans="8:9">
      <c r="H1374" s="1092"/>
      <c r="I1374" s="1092"/>
    </row>
    <row r="1375" spans="8:9">
      <c r="H1375" s="1092"/>
      <c r="I1375" s="1092"/>
    </row>
    <row r="1376" spans="8:9">
      <c r="H1376" s="1092"/>
      <c r="I1376" s="1092"/>
    </row>
    <row r="1377" spans="8:9">
      <c r="H1377" s="1092"/>
      <c r="I1377" s="1092"/>
    </row>
    <row r="1378" spans="8:9">
      <c r="H1378" s="1092"/>
      <c r="I1378" s="1092"/>
    </row>
    <row r="1379" spans="8:9">
      <c r="H1379" s="1092"/>
      <c r="I1379" s="1092"/>
    </row>
    <row r="1380" spans="8:9">
      <c r="H1380" s="1092"/>
      <c r="I1380" s="1092"/>
    </row>
    <row r="1381" spans="8:9">
      <c r="H1381" s="1092"/>
      <c r="I1381" s="1092"/>
    </row>
    <row r="1382" spans="8:9">
      <c r="H1382" s="1092"/>
      <c r="I1382" s="1092"/>
    </row>
    <row r="1383" spans="8:9">
      <c r="H1383" s="1092"/>
      <c r="I1383" s="1092"/>
    </row>
    <row r="1384" spans="8:9">
      <c r="H1384" s="1092"/>
      <c r="I1384" s="1092"/>
    </row>
    <row r="1385" spans="8:9">
      <c r="H1385" s="1092"/>
      <c r="I1385" s="1092"/>
    </row>
    <row r="1386" spans="8:9">
      <c r="H1386" s="1092"/>
      <c r="I1386" s="1092"/>
    </row>
    <row r="1387" spans="8:9">
      <c r="H1387" s="1092"/>
      <c r="I1387" s="1092"/>
    </row>
    <row r="1388" spans="8:9">
      <c r="H1388" s="1092"/>
      <c r="I1388" s="1092"/>
    </row>
    <row r="1389" spans="8:9">
      <c r="H1389" s="1092"/>
      <c r="I1389" s="1092"/>
    </row>
    <row r="1390" spans="8:9">
      <c r="H1390" s="1092"/>
      <c r="I1390" s="1092"/>
    </row>
    <row r="1391" spans="8:9">
      <c r="H1391" s="1092"/>
      <c r="I1391" s="1092"/>
    </row>
    <row r="1392" spans="8:9">
      <c r="H1392" s="1092"/>
      <c r="I1392" s="1092"/>
    </row>
    <row r="1393" spans="8:9">
      <c r="H1393" s="1092"/>
      <c r="I1393" s="1092"/>
    </row>
    <row r="1394" spans="8:9">
      <c r="H1394" s="1092"/>
      <c r="I1394" s="1092"/>
    </row>
    <row r="1395" spans="8:9">
      <c r="H1395" s="1092"/>
      <c r="I1395" s="1092"/>
    </row>
    <row r="1396" spans="8:9">
      <c r="H1396" s="1092"/>
      <c r="I1396" s="1092"/>
    </row>
    <row r="1397" spans="8:9">
      <c r="H1397" s="1092"/>
      <c r="I1397" s="1092"/>
    </row>
    <row r="1398" spans="8:9">
      <c r="H1398" s="1092"/>
      <c r="I1398" s="1092"/>
    </row>
    <row r="1399" spans="8:9">
      <c r="H1399" s="1092"/>
      <c r="I1399" s="1092"/>
    </row>
    <row r="1400" spans="8:9">
      <c r="H1400" s="1092"/>
      <c r="I1400" s="1092"/>
    </row>
    <row r="1401" spans="8:9">
      <c r="H1401" s="1092"/>
      <c r="I1401" s="1092"/>
    </row>
    <row r="1402" spans="8:9">
      <c r="H1402" s="1092"/>
      <c r="I1402" s="1092"/>
    </row>
    <row r="1403" spans="8:9">
      <c r="H1403" s="1092"/>
      <c r="I1403" s="1092"/>
    </row>
    <row r="1404" spans="8:9">
      <c r="H1404" s="1092"/>
      <c r="I1404" s="1092"/>
    </row>
    <row r="1405" spans="8:9">
      <c r="H1405" s="1092"/>
      <c r="I1405" s="1092"/>
    </row>
    <row r="1406" spans="8:9">
      <c r="H1406" s="1092"/>
      <c r="I1406" s="1092"/>
    </row>
    <row r="1407" spans="8:9">
      <c r="H1407" s="1092"/>
      <c r="I1407" s="1092"/>
    </row>
    <row r="1408" spans="8:9">
      <c r="H1408" s="1092"/>
      <c r="I1408" s="1092"/>
    </row>
    <row r="1409" spans="8:9">
      <c r="H1409" s="1092"/>
      <c r="I1409" s="1092"/>
    </row>
    <row r="1410" spans="8:9">
      <c r="H1410" s="1092"/>
      <c r="I1410" s="1092"/>
    </row>
    <row r="1411" spans="8:9">
      <c r="H1411" s="1092"/>
      <c r="I1411" s="1092"/>
    </row>
    <row r="1412" spans="8:9">
      <c r="H1412" s="1092"/>
      <c r="I1412" s="1092"/>
    </row>
    <row r="1413" spans="8:9">
      <c r="H1413" s="1092"/>
      <c r="I1413" s="1092"/>
    </row>
    <row r="1414" spans="8:9">
      <c r="H1414" s="1092"/>
      <c r="I1414" s="1092"/>
    </row>
    <row r="1415" spans="8:9">
      <c r="H1415" s="1092"/>
      <c r="I1415" s="1092"/>
    </row>
    <row r="1416" spans="8:9">
      <c r="H1416" s="1092"/>
      <c r="I1416" s="1092"/>
    </row>
    <row r="1417" spans="8:9">
      <c r="H1417" s="1092"/>
      <c r="I1417" s="1092"/>
    </row>
    <row r="1418" spans="8:9">
      <c r="H1418" s="1092"/>
      <c r="I1418" s="1092"/>
    </row>
    <row r="1419" spans="8:9">
      <c r="H1419" s="1092"/>
      <c r="I1419" s="1092"/>
    </row>
    <row r="1420" spans="8:9">
      <c r="H1420" s="1092"/>
      <c r="I1420" s="1092"/>
    </row>
    <row r="1421" spans="8:9">
      <c r="H1421" s="1092"/>
      <c r="I1421" s="1092"/>
    </row>
    <row r="1422" spans="8:9">
      <c r="H1422" s="1092"/>
      <c r="I1422" s="1092"/>
    </row>
    <row r="1423" spans="8:9">
      <c r="H1423" s="1092"/>
      <c r="I1423" s="1092"/>
    </row>
    <row r="1424" spans="8:9">
      <c r="H1424" s="1092"/>
      <c r="I1424" s="1092"/>
    </row>
    <row r="1425" spans="8:9">
      <c r="H1425" s="1092"/>
      <c r="I1425" s="1092"/>
    </row>
    <row r="1426" spans="8:9">
      <c r="H1426" s="1092"/>
      <c r="I1426" s="1092"/>
    </row>
    <row r="1427" spans="8:9">
      <c r="H1427" s="1092"/>
      <c r="I1427" s="1092"/>
    </row>
    <row r="1428" spans="8:9">
      <c r="H1428" s="1092"/>
      <c r="I1428" s="1092"/>
    </row>
    <row r="1429" spans="8:9">
      <c r="H1429" s="1092"/>
      <c r="I1429" s="1092"/>
    </row>
    <row r="1430" spans="8:9">
      <c r="H1430" s="1092"/>
      <c r="I1430" s="1092"/>
    </row>
    <row r="1431" spans="8:9">
      <c r="H1431" s="1092"/>
      <c r="I1431" s="1092"/>
    </row>
    <row r="1432" spans="8:9">
      <c r="H1432" s="1092"/>
      <c r="I1432" s="1092"/>
    </row>
    <row r="1433" spans="8:9">
      <c r="H1433" s="1092"/>
      <c r="I1433" s="1092"/>
    </row>
    <row r="1434" spans="8:9">
      <c r="H1434" s="1092"/>
      <c r="I1434" s="1092"/>
    </row>
    <row r="1435" spans="8:9">
      <c r="H1435" s="1092"/>
      <c r="I1435" s="1092"/>
    </row>
    <row r="1436" spans="8:9">
      <c r="H1436" s="1092"/>
      <c r="I1436" s="1092"/>
    </row>
    <row r="1437" spans="8:9">
      <c r="H1437" s="1092"/>
      <c r="I1437" s="1092"/>
    </row>
    <row r="1438" spans="8:9">
      <c r="H1438" s="1092"/>
      <c r="I1438" s="1092"/>
    </row>
    <row r="1439" spans="8:9">
      <c r="H1439" s="1092"/>
      <c r="I1439" s="1092"/>
    </row>
    <row r="1440" spans="8:9">
      <c r="H1440" s="1092"/>
      <c r="I1440" s="1092"/>
    </row>
    <row r="1441" spans="8:9">
      <c r="H1441" s="1092"/>
      <c r="I1441" s="1092"/>
    </row>
    <row r="1442" spans="8:9">
      <c r="H1442" s="1092"/>
      <c r="I1442" s="1092"/>
    </row>
    <row r="1443" spans="8:9">
      <c r="H1443" s="1092"/>
      <c r="I1443" s="1092"/>
    </row>
    <row r="1444" spans="8:9">
      <c r="H1444" s="1092"/>
      <c r="I1444" s="1092"/>
    </row>
    <row r="1445" spans="8:9">
      <c r="H1445" s="1092"/>
      <c r="I1445" s="1092"/>
    </row>
    <row r="1446" spans="8:9">
      <c r="H1446" s="1092"/>
      <c r="I1446" s="1092"/>
    </row>
    <row r="1447" spans="8:9">
      <c r="H1447" s="1092"/>
      <c r="I1447" s="1092"/>
    </row>
    <row r="1448" spans="8:9">
      <c r="H1448" s="1092"/>
      <c r="I1448" s="1092"/>
    </row>
    <row r="1449" spans="8:9">
      <c r="H1449" s="1092"/>
      <c r="I1449" s="1092"/>
    </row>
    <row r="1450" spans="8:9">
      <c r="H1450" s="1092"/>
      <c r="I1450" s="1092"/>
    </row>
    <row r="1451" spans="8:9">
      <c r="H1451" s="1092"/>
      <c r="I1451" s="1092"/>
    </row>
    <row r="1452" spans="8:9">
      <c r="H1452" s="1092"/>
      <c r="I1452" s="1092"/>
    </row>
    <row r="1453" spans="8:9">
      <c r="H1453" s="1092"/>
      <c r="I1453" s="1092"/>
    </row>
    <row r="1454" spans="8:9">
      <c r="H1454" s="1092"/>
      <c r="I1454" s="1092"/>
    </row>
    <row r="1455" spans="8:9">
      <c r="H1455" s="1092"/>
      <c r="I1455" s="1092"/>
    </row>
    <row r="1456" spans="8:9">
      <c r="H1456" s="1092"/>
      <c r="I1456" s="1092"/>
    </row>
    <row r="1457" spans="8:9">
      <c r="H1457" s="1092"/>
      <c r="I1457" s="1092"/>
    </row>
    <row r="1458" spans="8:9">
      <c r="H1458" s="1092"/>
      <c r="I1458" s="1092"/>
    </row>
    <row r="1459" spans="8:9">
      <c r="H1459" s="1092"/>
      <c r="I1459" s="1092"/>
    </row>
    <row r="1460" spans="8:9">
      <c r="H1460" s="1092"/>
      <c r="I1460" s="1092"/>
    </row>
    <row r="1461" spans="8:9">
      <c r="H1461" s="1092"/>
      <c r="I1461" s="1092"/>
    </row>
    <row r="1462" spans="8:9">
      <c r="H1462" s="1092"/>
      <c r="I1462" s="1092"/>
    </row>
    <row r="1463" spans="8:9">
      <c r="H1463" s="1092"/>
      <c r="I1463" s="1092"/>
    </row>
    <row r="1464" spans="8:9">
      <c r="H1464" s="1092"/>
      <c r="I1464" s="1092"/>
    </row>
    <row r="1465" spans="8:9">
      <c r="H1465" s="1092"/>
      <c r="I1465" s="1092"/>
    </row>
    <row r="1466" spans="8:9">
      <c r="H1466" s="1092"/>
      <c r="I1466" s="1092"/>
    </row>
    <row r="1467" spans="8:9">
      <c r="H1467" s="1092"/>
      <c r="I1467" s="1092"/>
    </row>
    <row r="1468" spans="8:9">
      <c r="H1468" s="1092"/>
      <c r="I1468" s="1092"/>
    </row>
    <row r="1469" spans="8:9">
      <c r="H1469" s="1092"/>
      <c r="I1469" s="1092"/>
    </row>
    <row r="1470" spans="8:9">
      <c r="H1470" s="1092"/>
      <c r="I1470" s="1092"/>
    </row>
    <row r="1471" spans="8:9">
      <c r="H1471" s="1092"/>
      <c r="I1471" s="1092"/>
    </row>
    <row r="1472" spans="8:9">
      <c r="H1472" s="1092"/>
      <c r="I1472" s="1092"/>
    </row>
    <row r="1473" spans="8:9">
      <c r="H1473" s="1092"/>
      <c r="I1473" s="1092"/>
    </row>
    <row r="1474" spans="8:9">
      <c r="H1474" s="1092"/>
      <c r="I1474" s="1092"/>
    </row>
    <row r="1475" spans="8:9">
      <c r="H1475" s="1092"/>
      <c r="I1475" s="1092"/>
    </row>
    <row r="1476" spans="8:9">
      <c r="H1476" s="1092"/>
      <c r="I1476" s="1092"/>
    </row>
    <row r="1477" spans="8:9">
      <c r="H1477" s="1092"/>
      <c r="I1477" s="1092"/>
    </row>
    <row r="1478" spans="8:9">
      <c r="H1478" s="1092"/>
      <c r="I1478" s="1092"/>
    </row>
    <row r="1479" spans="8:9">
      <c r="H1479" s="1092"/>
      <c r="I1479" s="1092"/>
    </row>
    <row r="1480" spans="8:9">
      <c r="H1480" s="1092"/>
      <c r="I1480" s="1092"/>
    </row>
    <row r="1481" spans="8:9">
      <c r="H1481" s="1092"/>
      <c r="I1481" s="1092"/>
    </row>
    <row r="1482" spans="8:9">
      <c r="H1482" s="1092"/>
      <c r="I1482" s="1092"/>
    </row>
    <row r="1483" spans="8:9">
      <c r="H1483" s="1092"/>
      <c r="I1483" s="1092"/>
    </row>
    <row r="1484" spans="8:9">
      <c r="H1484" s="1092"/>
      <c r="I1484" s="1092"/>
    </row>
    <row r="1485" spans="8:9">
      <c r="H1485" s="1092"/>
      <c r="I1485" s="1092"/>
    </row>
    <row r="1486" spans="8:9">
      <c r="H1486" s="1092"/>
      <c r="I1486" s="1092"/>
    </row>
    <row r="1487" spans="8:9">
      <c r="H1487" s="1092"/>
      <c r="I1487" s="1092"/>
    </row>
    <row r="1488" spans="8:9">
      <c r="H1488" s="1092"/>
      <c r="I1488" s="1092"/>
    </row>
    <row r="1489" spans="8:9">
      <c r="H1489" s="1092"/>
      <c r="I1489" s="1092"/>
    </row>
    <row r="1490" spans="8:9">
      <c r="H1490" s="1092"/>
      <c r="I1490" s="1092"/>
    </row>
    <row r="1491" spans="8:9">
      <c r="H1491" s="1092"/>
      <c r="I1491" s="1092"/>
    </row>
    <row r="1492" spans="8:9">
      <c r="H1492" s="1092"/>
      <c r="I1492" s="1092"/>
    </row>
    <row r="1493" spans="8:9">
      <c r="H1493" s="1092"/>
      <c r="I1493" s="1092"/>
    </row>
    <row r="1494" spans="8:9">
      <c r="H1494" s="1092"/>
      <c r="I1494" s="1092"/>
    </row>
    <row r="1495" spans="8:9">
      <c r="H1495" s="1092"/>
      <c r="I1495" s="1092"/>
    </row>
    <row r="1496" spans="8:9">
      <c r="H1496" s="1092"/>
      <c r="I1496" s="1092"/>
    </row>
    <row r="1497" spans="8:9">
      <c r="H1497" s="1092"/>
      <c r="I1497" s="1092"/>
    </row>
    <row r="1498" spans="8:9">
      <c r="H1498" s="1092"/>
      <c r="I1498" s="1092"/>
    </row>
    <row r="1499" spans="8:9">
      <c r="H1499" s="1092"/>
      <c r="I1499" s="1092"/>
    </row>
    <row r="1500" spans="8:9">
      <c r="H1500" s="1092"/>
      <c r="I1500" s="1092"/>
    </row>
    <row r="1501" spans="8:9">
      <c r="H1501" s="1092"/>
      <c r="I1501" s="1092"/>
    </row>
    <row r="1502" spans="8:9">
      <c r="H1502" s="1092"/>
      <c r="I1502" s="1092"/>
    </row>
    <row r="1503" spans="8:9">
      <c r="H1503" s="1092"/>
      <c r="I1503" s="1092"/>
    </row>
    <row r="1504" spans="8:9">
      <c r="H1504" s="1092"/>
      <c r="I1504" s="1092"/>
    </row>
    <row r="1505" spans="8:9">
      <c r="H1505" s="1092"/>
      <c r="I1505" s="1092"/>
    </row>
    <row r="1506" spans="8:9">
      <c r="H1506" s="1092"/>
      <c r="I1506" s="1092"/>
    </row>
    <row r="1507" spans="8:9">
      <c r="H1507" s="1092"/>
      <c r="I1507" s="1092"/>
    </row>
    <row r="1508" spans="8:9">
      <c r="H1508" s="1092"/>
      <c r="I1508" s="1092"/>
    </row>
    <row r="1509" spans="8:9">
      <c r="H1509" s="1092"/>
      <c r="I1509" s="1092"/>
    </row>
    <row r="1510" spans="8:9">
      <c r="H1510" s="1092"/>
      <c r="I1510" s="1092"/>
    </row>
    <row r="1511" spans="8:9">
      <c r="H1511" s="1092"/>
      <c r="I1511" s="1092"/>
    </row>
    <row r="1512" spans="8:9">
      <c r="H1512" s="1092"/>
      <c r="I1512" s="1092"/>
    </row>
    <row r="1513" spans="8:9">
      <c r="H1513" s="1092"/>
      <c r="I1513" s="1092"/>
    </row>
    <row r="1514" spans="8:9">
      <c r="H1514" s="1092"/>
      <c r="I1514" s="1092"/>
    </row>
    <row r="1515" spans="8:9">
      <c r="H1515" s="1092"/>
      <c r="I1515" s="1092"/>
    </row>
    <row r="1516" spans="8:9">
      <c r="H1516" s="1092"/>
      <c r="I1516" s="1092"/>
    </row>
    <row r="1517" spans="8:9">
      <c r="H1517" s="1092"/>
      <c r="I1517" s="1092"/>
    </row>
    <row r="1518" spans="8:9">
      <c r="H1518" s="1092"/>
      <c r="I1518" s="1092"/>
    </row>
    <row r="1519" spans="8:9">
      <c r="H1519" s="1092"/>
      <c r="I1519" s="1092"/>
    </row>
    <row r="1520" spans="8:9">
      <c r="H1520" s="1092"/>
      <c r="I1520" s="1092"/>
    </row>
    <row r="1521" spans="8:9">
      <c r="H1521" s="1092"/>
      <c r="I1521" s="1092"/>
    </row>
    <row r="1522" spans="8:9">
      <c r="H1522" s="1092"/>
      <c r="I1522" s="1092"/>
    </row>
    <row r="1523" spans="8:9">
      <c r="H1523" s="1092"/>
      <c r="I1523" s="1092"/>
    </row>
    <row r="1524" spans="8:9">
      <c r="H1524" s="1092"/>
      <c r="I1524" s="1092"/>
    </row>
    <row r="1525" spans="8:9">
      <c r="H1525" s="1092"/>
      <c r="I1525" s="1092"/>
    </row>
    <row r="1526" spans="8:9">
      <c r="H1526" s="1092"/>
      <c r="I1526" s="1092"/>
    </row>
    <row r="1527" spans="8:9">
      <c r="H1527" s="1092"/>
      <c r="I1527" s="1092"/>
    </row>
    <row r="1528" spans="8:9">
      <c r="H1528" s="1092"/>
      <c r="I1528" s="1092"/>
    </row>
    <row r="1529" spans="8:9">
      <c r="H1529" s="1092"/>
      <c r="I1529" s="1092"/>
    </row>
    <row r="1530" spans="8:9">
      <c r="H1530" s="1092"/>
      <c r="I1530" s="1092"/>
    </row>
    <row r="1531" spans="8:9">
      <c r="H1531" s="1092"/>
      <c r="I1531" s="1092"/>
    </row>
    <row r="1532" spans="8:9">
      <c r="H1532" s="1092"/>
      <c r="I1532" s="1092"/>
    </row>
    <row r="1533" spans="8:9">
      <c r="H1533" s="1092"/>
      <c r="I1533" s="1092"/>
    </row>
    <row r="1534" spans="8:9">
      <c r="H1534" s="1092"/>
      <c r="I1534" s="1092"/>
    </row>
    <row r="1535" spans="8:9">
      <c r="H1535" s="1092"/>
      <c r="I1535" s="1092"/>
    </row>
    <row r="1536" spans="8:9">
      <c r="H1536" s="1092"/>
      <c r="I1536" s="1092"/>
    </row>
    <row r="1537" spans="8:9">
      <c r="H1537" s="1092"/>
      <c r="I1537" s="1092"/>
    </row>
    <row r="1538" spans="8:9">
      <c r="H1538" s="1092"/>
      <c r="I1538" s="1092"/>
    </row>
    <row r="1539" spans="8:9">
      <c r="H1539" s="1092"/>
      <c r="I1539" s="1092"/>
    </row>
    <row r="1540" spans="8:9">
      <c r="H1540" s="1092"/>
      <c r="I1540" s="1092"/>
    </row>
    <row r="1541" spans="8:9">
      <c r="H1541" s="1092"/>
      <c r="I1541" s="1092"/>
    </row>
    <row r="1542" spans="8:9">
      <c r="H1542" s="1092"/>
      <c r="I1542" s="1092"/>
    </row>
    <row r="1543" spans="8:9">
      <c r="H1543" s="1092"/>
      <c r="I1543" s="1092"/>
    </row>
    <row r="1544" spans="8:9">
      <c r="H1544" s="1092"/>
      <c r="I1544" s="1092"/>
    </row>
    <row r="1545" spans="8:9">
      <c r="H1545" s="1092"/>
      <c r="I1545" s="1092"/>
    </row>
    <row r="1546" spans="8:9">
      <c r="H1546" s="1092"/>
      <c r="I1546" s="1092"/>
    </row>
    <row r="1547" spans="8:9">
      <c r="H1547" s="1092"/>
      <c r="I1547" s="1092"/>
    </row>
    <row r="1548" spans="8:9">
      <c r="H1548" s="1092"/>
      <c r="I1548" s="1092"/>
    </row>
    <row r="1549" spans="8:9">
      <c r="H1549" s="1092"/>
      <c r="I1549" s="1092"/>
    </row>
    <row r="1550" spans="8:9">
      <c r="H1550" s="1092"/>
      <c r="I1550" s="1092"/>
    </row>
    <row r="1551" spans="8:9">
      <c r="H1551" s="1092"/>
      <c r="I1551" s="1092"/>
    </row>
    <row r="1552" spans="8:9">
      <c r="H1552" s="1092"/>
      <c r="I1552" s="1092"/>
    </row>
    <row r="1553" spans="8:9">
      <c r="H1553" s="1092"/>
      <c r="I1553" s="1092"/>
    </row>
    <row r="1554" spans="8:9">
      <c r="H1554" s="1092"/>
      <c r="I1554" s="1092"/>
    </row>
    <row r="1555" spans="8:9">
      <c r="H1555" s="1092"/>
      <c r="I1555" s="1092"/>
    </row>
    <row r="1556" spans="8:9">
      <c r="H1556" s="1092"/>
      <c r="I1556" s="1092"/>
    </row>
    <row r="1557" spans="8:9">
      <c r="H1557" s="1092"/>
      <c r="I1557" s="1092"/>
    </row>
    <row r="1558" spans="8:9">
      <c r="H1558" s="1092"/>
      <c r="I1558" s="1092"/>
    </row>
    <row r="1559" spans="8:9">
      <c r="H1559" s="1092"/>
      <c r="I1559" s="1092"/>
    </row>
    <row r="1560" spans="8:9">
      <c r="H1560" s="1092"/>
      <c r="I1560" s="1092"/>
    </row>
    <row r="1561" spans="8:9">
      <c r="H1561" s="1092"/>
      <c r="I1561" s="1092"/>
    </row>
    <row r="1562" spans="8:9">
      <c r="H1562" s="1092"/>
      <c r="I1562" s="1092"/>
    </row>
    <row r="1563" spans="8:9">
      <c r="H1563" s="1092"/>
      <c r="I1563" s="1092"/>
    </row>
    <row r="1564" spans="8:9">
      <c r="H1564" s="1092"/>
      <c r="I1564" s="1092"/>
    </row>
    <row r="1565" spans="8:9">
      <c r="H1565" s="1092"/>
      <c r="I1565" s="1092"/>
    </row>
    <row r="1566" spans="8:9">
      <c r="H1566" s="1092"/>
      <c r="I1566" s="1092"/>
    </row>
    <row r="1567" spans="8:9">
      <c r="H1567" s="1092"/>
      <c r="I1567" s="1092"/>
    </row>
    <row r="1568" spans="8:9">
      <c r="H1568" s="1092"/>
      <c r="I1568" s="1092"/>
    </row>
    <row r="1569" spans="8:9">
      <c r="H1569" s="1092"/>
      <c r="I1569" s="1092"/>
    </row>
    <row r="1570" spans="8:9">
      <c r="H1570" s="1092"/>
      <c r="I1570" s="1092"/>
    </row>
    <row r="1571" spans="8:9">
      <c r="H1571" s="1092"/>
      <c r="I1571" s="1092"/>
    </row>
    <row r="1572" spans="8:9">
      <c r="H1572" s="1092"/>
      <c r="I1572" s="1092"/>
    </row>
    <row r="1573" spans="8:9">
      <c r="H1573" s="1092"/>
      <c r="I1573" s="1092"/>
    </row>
    <row r="1574" spans="8:9">
      <c r="H1574" s="1092"/>
      <c r="I1574" s="1092"/>
    </row>
    <row r="1575" spans="8:9">
      <c r="H1575" s="1092"/>
      <c r="I1575" s="1092"/>
    </row>
    <row r="1576" spans="8:9">
      <c r="H1576" s="1092"/>
      <c r="I1576" s="1092"/>
    </row>
    <row r="1577" spans="8:9">
      <c r="H1577" s="1092"/>
      <c r="I1577" s="1092"/>
    </row>
    <row r="1578" spans="8:9">
      <c r="H1578" s="1092"/>
      <c r="I1578" s="1092"/>
    </row>
    <row r="1579" spans="8:9">
      <c r="H1579" s="1092"/>
      <c r="I1579" s="1092"/>
    </row>
    <row r="1580" spans="8:9">
      <c r="H1580" s="1092"/>
      <c r="I1580" s="1092"/>
    </row>
    <row r="1581" spans="8:9">
      <c r="H1581" s="1092"/>
      <c r="I1581" s="1092"/>
    </row>
    <row r="1582" spans="8:9">
      <c r="H1582" s="1092"/>
      <c r="I1582" s="1092"/>
    </row>
    <row r="1583" spans="8:9">
      <c r="H1583" s="1092"/>
      <c r="I1583" s="1092"/>
    </row>
    <row r="1584" spans="8:9">
      <c r="H1584" s="1092"/>
      <c r="I1584" s="1092"/>
    </row>
    <row r="1585" spans="8:9">
      <c r="H1585" s="1092"/>
      <c r="I1585" s="1092"/>
    </row>
    <row r="1586" spans="8:9">
      <c r="H1586" s="1092"/>
      <c r="I1586" s="1092"/>
    </row>
    <row r="1587" spans="8:9">
      <c r="H1587" s="1092"/>
      <c r="I1587" s="1092"/>
    </row>
    <row r="1588" spans="8:9">
      <c r="H1588" s="1092"/>
      <c r="I1588" s="1092"/>
    </row>
    <row r="1589" spans="8:9">
      <c r="H1589" s="1092"/>
      <c r="I1589" s="1092"/>
    </row>
    <row r="1590" spans="8:9">
      <c r="H1590" s="1092"/>
      <c r="I1590" s="1092"/>
    </row>
    <row r="1591" spans="8:9">
      <c r="H1591" s="1092"/>
      <c r="I1591" s="1092"/>
    </row>
    <row r="1592" spans="8:9">
      <c r="H1592" s="1092"/>
      <c r="I1592" s="1092"/>
    </row>
    <row r="1593" spans="8:9">
      <c r="H1593" s="1092"/>
      <c r="I1593" s="1092"/>
    </row>
    <row r="1594" spans="8:9">
      <c r="H1594" s="1092"/>
      <c r="I1594" s="1092"/>
    </row>
    <row r="1595" spans="8:9">
      <c r="H1595" s="1092"/>
      <c r="I1595" s="1092"/>
    </row>
    <row r="1596" spans="8:9">
      <c r="H1596" s="1092"/>
      <c r="I1596" s="1092"/>
    </row>
    <row r="1597" spans="8:9">
      <c r="H1597" s="1092"/>
      <c r="I1597" s="1092"/>
    </row>
    <row r="1598" spans="8:9">
      <c r="H1598" s="1092"/>
      <c r="I1598" s="1092"/>
    </row>
    <row r="1599" spans="8:9">
      <c r="H1599" s="1092"/>
      <c r="I1599" s="1092"/>
    </row>
    <row r="1600" spans="8:9">
      <c r="H1600" s="1092"/>
      <c r="I1600" s="1092"/>
    </row>
    <row r="1601" spans="8:9">
      <c r="H1601" s="1092"/>
      <c r="I1601" s="1092"/>
    </row>
    <row r="1602" spans="8:9">
      <c r="H1602" s="1092"/>
      <c r="I1602" s="1092"/>
    </row>
    <row r="1603" spans="8:9">
      <c r="H1603" s="1092"/>
      <c r="I1603" s="1092"/>
    </row>
    <row r="1604" spans="8:9">
      <c r="H1604" s="1092"/>
      <c r="I1604" s="1092"/>
    </row>
    <row r="1605" spans="8:9">
      <c r="H1605" s="1092"/>
      <c r="I1605" s="1092"/>
    </row>
    <row r="1606" spans="8:9">
      <c r="H1606" s="1092"/>
      <c r="I1606" s="1092"/>
    </row>
    <row r="1607" spans="8:9">
      <c r="H1607" s="1092"/>
      <c r="I1607" s="1092"/>
    </row>
    <row r="1608" spans="8:9">
      <c r="H1608" s="1092"/>
      <c r="I1608" s="1092"/>
    </row>
    <row r="1609" spans="8:9">
      <c r="H1609" s="1092"/>
      <c r="I1609" s="1092"/>
    </row>
    <row r="1610" spans="8:9">
      <c r="H1610" s="1092"/>
      <c r="I1610" s="1092"/>
    </row>
    <row r="1611" spans="8:9">
      <c r="H1611" s="1092"/>
      <c r="I1611" s="1092"/>
    </row>
    <row r="1612" spans="8:9">
      <c r="H1612" s="1092"/>
      <c r="I1612" s="1092"/>
    </row>
    <row r="1613" spans="8:9">
      <c r="H1613" s="1092"/>
      <c r="I1613" s="1092"/>
    </row>
    <row r="1614" spans="8:9">
      <c r="H1614" s="1092"/>
      <c r="I1614" s="1092"/>
    </row>
    <row r="1615" spans="8:9">
      <c r="H1615" s="1092"/>
      <c r="I1615" s="1092"/>
    </row>
    <row r="1616" spans="8:9">
      <c r="H1616" s="1092"/>
      <c r="I1616" s="1092"/>
    </row>
    <row r="1617" spans="8:9">
      <c r="H1617" s="1092"/>
      <c r="I1617" s="1092"/>
    </row>
    <row r="1618" spans="8:9">
      <c r="H1618" s="1092"/>
      <c r="I1618" s="1092"/>
    </row>
    <row r="1619" spans="8:9">
      <c r="H1619" s="1092"/>
      <c r="I1619" s="1092"/>
    </row>
    <row r="1620" spans="8:9">
      <c r="H1620" s="1092"/>
      <c r="I1620" s="1092"/>
    </row>
    <row r="1621" spans="8:9">
      <c r="H1621" s="1092"/>
      <c r="I1621" s="1092"/>
    </row>
    <row r="1622" spans="8:9">
      <c r="H1622" s="1092"/>
      <c r="I1622" s="1092"/>
    </row>
    <row r="1623" spans="8:9">
      <c r="H1623" s="1092"/>
      <c r="I1623" s="1092"/>
    </row>
    <row r="1624" spans="8:9">
      <c r="H1624" s="1092"/>
      <c r="I1624" s="1092"/>
    </row>
    <row r="1625" spans="8:9">
      <c r="H1625" s="1092"/>
      <c r="I1625" s="1092"/>
    </row>
    <row r="1626" spans="8:9">
      <c r="H1626" s="1092"/>
      <c r="I1626" s="1092"/>
    </row>
    <row r="1627" spans="8:9">
      <c r="H1627" s="1092"/>
      <c r="I1627" s="1092"/>
    </row>
    <row r="1628" spans="8:9">
      <c r="H1628" s="1092"/>
      <c r="I1628" s="1092"/>
    </row>
    <row r="1629" spans="8:9">
      <c r="H1629" s="1092"/>
      <c r="I1629" s="1092"/>
    </row>
    <row r="1630" spans="8:9">
      <c r="H1630" s="1092"/>
      <c r="I1630" s="1092"/>
    </row>
    <row r="1631" spans="8:9">
      <c r="H1631" s="1092"/>
      <c r="I1631" s="1092"/>
    </row>
    <row r="1632" spans="8:9">
      <c r="H1632" s="1092"/>
      <c r="I1632" s="1092"/>
    </row>
    <row r="1633" spans="8:9">
      <c r="H1633" s="1092"/>
      <c r="I1633" s="1092"/>
    </row>
    <row r="1634" spans="8:9">
      <c r="H1634" s="1092"/>
      <c r="I1634" s="1092"/>
    </row>
    <row r="1635" spans="8:9">
      <c r="H1635" s="1092"/>
      <c r="I1635" s="1092"/>
    </row>
    <row r="1636" spans="8:9">
      <c r="H1636" s="1092"/>
      <c r="I1636" s="1092"/>
    </row>
    <row r="1637" spans="8:9">
      <c r="H1637" s="1092"/>
      <c r="I1637" s="1092"/>
    </row>
    <row r="1638" spans="8:9">
      <c r="H1638" s="1092"/>
      <c r="I1638" s="1092"/>
    </row>
    <row r="1639" spans="8:9">
      <c r="H1639" s="1092"/>
      <c r="I1639" s="1092"/>
    </row>
    <row r="1640" spans="8:9">
      <c r="H1640" s="1092"/>
      <c r="I1640" s="1092"/>
    </row>
    <row r="1641" spans="8:9">
      <c r="H1641" s="1092"/>
      <c r="I1641" s="1092"/>
    </row>
    <row r="1642" spans="8:9">
      <c r="H1642" s="1092"/>
      <c r="I1642" s="1092"/>
    </row>
    <row r="1643" spans="8:9">
      <c r="H1643" s="1092"/>
      <c r="I1643" s="1092"/>
    </row>
    <row r="1644" spans="8:9">
      <c r="H1644" s="1092"/>
      <c r="I1644" s="1092"/>
    </row>
    <row r="1645" spans="8:9">
      <c r="H1645" s="1092"/>
      <c r="I1645" s="1092"/>
    </row>
    <row r="1646" spans="8:9">
      <c r="H1646" s="1092"/>
      <c r="I1646" s="1092"/>
    </row>
    <row r="1647" spans="8:9">
      <c r="H1647" s="1092"/>
      <c r="I1647" s="1092"/>
    </row>
    <row r="1648" spans="8:9">
      <c r="H1648" s="1092"/>
      <c r="I1648" s="1092"/>
    </row>
    <row r="1649" spans="8:9">
      <c r="H1649" s="1092"/>
      <c r="I1649" s="1092"/>
    </row>
    <row r="1650" spans="8:9">
      <c r="H1650" s="1092"/>
      <c r="I1650" s="1092"/>
    </row>
    <row r="1651" spans="8:9">
      <c r="H1651" s="1092"/>
      <c r="I1651" s="1092"/>
    </row>
    <row r="1652" spans="8:9">
      <c r="H1652" s="1092"/>
      <c r="I1652" s="1092"/>
    </row>
    <row r="1653" spans="8:9">
      <c r="H1653" s="1092"/>
      <c r="I1653" s="1092"/>
    </row>
    <row r="1654" spans="8:9">
      <c r="H1654" s="1092"/>
      <c r="I1654" s="1092"/>
    </row>
    <row r="1655" spans="8:9">
      <c r="H1655" s="1092"/>
      <c r="I1655" s="1092"/>
    </row>
    <row r="1656" spans="8:9">
      <c r="H1656" s="1092"/>
      <c r="I1656" s="1092"/>
    </row>
    <row r="1657" spans="8:9">
      <c r="H1657" s="1092"/>
      <c r="I1657" s="1092"/>
    </row>
    <row r="1658" spans="8:9">
      <c r="H1658" s="1092"/>
      <c r="I1658" s="1092"/>
    </row>
    <row r="1659" spans="8:9">
      <c r="H1659" s="1092"/>
      <c r="I1659" s="1092"/>
    </row>
    <row r="1660" spans="8:9">
      <c r="H1660" s="1092"/>
      <c r="I1660" s="1092"/>
    </row>
    <row r="1661" spans="8:9">
      <c r="H1661" s="1092"/>
      <c r="I1661" s="1092"/>
    </row>
    <row r="1662" spans="8:9">
      <c r="H1662" s="1092"/>
      <c r="I1662" s="1092"/>
    </row>
    <row r="1663" spans="8:9">
      <c r="H1663" s="1092"/>
      <c r="I1663" s="1092"/>
    </row>
    <row r="1664" spans="8:9">
      <c r="H1664" s="1092"/>
      <c r="I1664" s="1092"/>
    </row>
    <row r="1665" spans="8:9">
      <c r="H1665" s="1092"/>
      <c r="I1665" s="1092"/>
    </row>
    <row r="1666" spans="8:9">
      <c r="H1666" s="1092"/>
      <c r="I1666" s="1092"/>
    </row>
    <row r="1667" spans="8:9">
      <c r="H1667" s="1092"/>
      <c r="I1667" s="1092"/>
    </row>
    <row r="1668" spans="8:9">
      <c r="H1668" s="1092"/>
      <c r="I1668" s="1092"/>
    </row>
    <row r="1669" spans="8:9">
      <c r="H1669" s="1092"/>
      <c r="I1669" s="1092"/>
    </row>
    <row r="1670" spans="8:9">
      <c r="H1670" s="1092"/>
      <c r="I1670" s="1092"/>
    </row>
    <row r="1671" spans="8:9">
      <c r="H1671" s="1092"/>
      <c r="I1671" s="1092"/>
    </row>
    <row r="1672" spans="8:9">
      <c r="H1672" s="1092"/>
      <c r="I1672" s="1092"/>
    </row>
    <row r="1673" spans="8:9">
      <c r="H1673" s="1092"/>
      <c r="I1673" s="1092"/>
    </row>
    <row r="1674" spans="8:9">
      <c r="H1674" s="1092"/>
      <c r="I1674" s="1092"/>
    </row>
    <row r="1675" spans="8:9">
      <c r="H1675" s="1092"/>
      <c r="I1675" s="1092"/>
    </row>
    <row r="1676" spans="8:9">
      <c r="H1676" s="1092"/>
      <c r="I1676" s="1092"/>
    </row>
    <row r="1677" spans="8:9">
      <c r="H1677" s="1092"/>
      <c r="I1677" s="1092"/>
    </row>
    <row r="1678" spans="8:9">
      <c r="H1678" s="1092"/>
      <c r="I1678" s="1092"/>
    </row>
    <row r="1679" spans="8:9">
      <c r="H1679" s="1092"/>
      <c r="I1679" s="1092"/>
    </row>
    <row r="1680" spans="8:9">
      <c r="H1680" s="1092"/>
      <c r="I1680" s="1092"/>
    </row>
    <row r="1681" spans="8:9">
      <c r="H1681" s="1092"/>
      <c r="I1681" s="1092"/>
    </row>
    <row r="1682" spans="8:9">
      <c r="H1682" s="1092"/>
      <c r="I1682" s="1092"/>
    </row>
    <row r="1683" spans="8:9">
      <c r="H1683" s="1092"/>
      <c r="I1683" s="1092"/>
    </row>
    <row r="1684" spans="8:9">
      <c r="H1684" s="1092"/>
      <c r="I1684" s="1092"/>
    </row>
    <row r="1685" spans="8:9">
      <c r="H1685" s="1092"/>
      <c r="I1685" s="1092"/>
    </row>
    <row r="1686" spans="8:9">
      <c r="H1686" s="1092"/>
      <c r="I1686" s="1092"/>
    </row>
    <row r="1687" spans="8:9">
      <c r="H1687" s="1092"/>
      <c r="I1687" s="1092"/>
    </row>
    <row r="1688" spans="8:9">
      <c r="H1688" s="1092"/>
      <c r="I1688" s="1092"/>
    </row>
    <row r="1689" spans="8:9">
      <c r="H1689" s="1092"/>
      <c r="I1689" s="1092"/>
    </row>
    <row r="1690" spans="8:9">
      <c r="H1690" s="1092"/>
      <c r="I1690" s="1092"/>
    </row>
    <row r="1691" spans="8:9">
      <c r="H1691" s="1092"/>
      <c r="I1691" s="1092"/>
    </row>
    <row r="1692" spans="8:9">
      <c r="H1692" s="1092"/>
      <c r="I1692" s="1092"/>
    </row>
    <row r="1693" spans="8:9">
      <c r="H1693" s="1092"/>
      <c r="I1693" s="1092"/>
    </row>
    <row r="1694" spans="8:9">
      <c r="H1694" s="1092"/>
      <c r="I1694" s="1092"/>
    </row>
    <row r="1695" spans="8:9">
      <c r="H1695" s="1092"/>
      <c r="I1695" s="1092"/>
    </row>
    <row r="1696" spans="8:9">
      <c r="H1696" s="1092"/>
      <c r="I1696" s="1092"/>
    </row>
    <row r="1697" spans="8:9">
      <c r="H1697" s="1092"/>
      <c r="I1697" s="1092"/>
    </row>
    <row r="1698" spans="8:9">
      <c r="H1698" s="1092"/>
      <c r="I1698" s="1092"/>
    </row>
    <row r="1699" spans="8:9">
      <c r="H1699" s="1092"/>
      <c r="I1699" s="1092"/>
    </row>
    <row r="1700" spans="8:9">
      <c r="H1700" s="1092"/>
      <c r="I1700" s="1092"/>
    </row>
    <row r="1701" spans="8:9">
      <c r="H1701" s="1092"/>
      <c r="I1701" s="1092"/>
    </row>
    <row r="1702" spans="8:9">
      <c r="H1702" s="1092"/>
      <c r="I1702" s="1092"/>
    </row>
    <row r="1703" spans="8:9">
      <c r="H1703" s="1092"/>
      <c r="I1703" s="1092"/>
    </row>
    <row r="1704" spans="8:9">
      <c r="H1704" s="1092"/>
      <c r="I1704" s="1092"/>
    </row>
    <row r="1705" spans="8:9">
      <c r="H1705" s="1092"/>
      <c r="I1705" s="1092"/>
    </row>
    <row r="1706" spans="8:9">
      <c r="H1706" s="1092"/>
      <c r="I1706" s="1092"/>
    </row>
    <row r="1707" spans="8:9">
      <c r="H1707" s="1092"/>
      <c r="I1707" s="1092"/>
    </row>
    <row r="1708" spans="8:9">
      <c r="H1708" s="1092"/>
      <c r="I1708" s="1092"/>
    </row>
    <row r="1709" spans="8:9">
      <c r="H1709" s="1092"/>
      <c r="I1709" s="1092"/>
    </row>
    <row r="1710" spans="8:9">
      <c r="H1710" s="1092"/>
      <c r="I1710" s="1092"/>
    </row>
    <row r="1711" spans="8:9">
      <c r="H1711" s="1092"/>
      <c r="I1711" s="1092"/>
    </row>
    <row r="1712" spans="8:9">
      <c r="H1712" s="1092"/>
      <c r="I1712" s="1092"/>
    </row>
    <row r="1713" spans="8:9">
      <c r="H1713" s="1092"/>
      <c r="I1713" s="1092"/>
    </row>
    <row r="1714" spans="8:9">
      <c r="H1714" s="1092"/>
      <c r="I1714" s="1092"/>
    </row>
    <row r="1715" spans="8:9">
      <c r="H1715" s="1092"/>
      <c r="I1715" s="1092"/>
    </row>
    <row r="1716" spans="8:9">
      <c r="H1716" s="1092"/>
      <c r="I1716" s="1092"/>
    </row>
    <row r="1717" spans="8:9">
      <c r="H1717" s="1092"/>
      <c r="I1717" s="1092"/>
    </row>
    <row r="1718" spans="8:9">
      <c r="H1718" s="1092"/>
      <c r="I1718" s="1092"/>
    </row>
    <row r="1719" spans="8:9">
      <c r="H1719" s="1092"/>
      <c r="I1719" s="1092"/>
    </row>
    <row r="1720" spans="8:9">
      <c r="H1720" s="1092"/>
      <c r="I1720" s="1092"/>
    </row>
    <row r="1721" spans="8:9">
      <c r="H1721" s="1092"/>
      <c r="I1721" s="1092"/>
    </row>
    <row r="1722" spans="8:9">
      <c r="H1722" s="1092"/>
      <c r="I1722" s="1092"/>
    </row>
    <row r="1723" spans="8:9">
      <c r="H1723" s="1092"/>
      <c r="I1723" s="1092"/>
    </row>
    <row r="1724" spans="8:9">
      <c r="H1724" s="1092"/>
      <c r="I1724" s="1092"/>
    </row>
    <row r="1725" spans="8:9">
      <c r="H1725" s="1092"/>
      <c r="I1725" s="1092"/>
    </row>
    <row r="1726" spans="8:9">
      <c r="H1726" s="1092"/>
      <c r="I1726" s="1092"/>
    </row>
    <row r="1727" spans="8:9">
      <c r="H1727" s="1092"/>
      <c r="I1727" s="1092"/>
    </row>
    <row r="1728" spans="8:9">
      <c r="H1728" s="1092"/>
      <c r="I1728" s="1092"/>
    </row>
    <row r="1729" spans="8:9">
      <c r="H1729" s="1092"/>
      <c r="I1729" s="1092"/>
    </row>
    <row r="1730" spans="8:9">
      <c r="H1730" s="1092"/>
      <c r="I1730" s="1092"/>
    </row>
    <row r="1731" spans="8:9">
      <c r="H1731" s="1092"/>
      <c r="I1731" s="1092"/>
    </row>
    <row r="1732" spans="8:9">
      <c r="H1732" s="1092"/>
      <c r="I1732" s="1092"/>
    </row>
    <row r="1733" spans="8:9">
      <c r="H1733" s="1092"/>
      <c r="I1733" s="1092"/>
    </row>
    <row r="1734" spans="8:9">
      <c r="H1734" s="1092"/>
      <c r="I1734" s="1092"/>
    </row>
    <row r="1735" spans="8:9">
      <c r="H1735" s="1092"/>
      <c r="I1735" s="1092"/>
    </row>
    <row r="1736" spans="8:9">
      <c r="H1736" s="1092"/>
      <c r="I1736" s="1092"/>
    </row>
    <row r="1737" spans="8:9">
      <c r="H1737" s="1092"/>
      <c r="I1737" s="1092"/>
    </row>
    <row r="1738" spans="8:9">
      <c r="H1738" s="1092"/>
      <c r="I1738" s="1092"/>
    </row>
    <row r="1739" spans="8:9">
      <c r="H1739" s="1092"/>
      <c r="I1739" s="1092"/>
    </row>
    <row r="1740" spans="8:9">
      <c r="H1740" s="1092"/>
      <c r="I1740" s="1092"/>
    </row>
    <row r="1741" spans="8:9">
      <c r="H1741" s="1092"/>
      <c r="I1741" s="1092"/>
    </row>
    <row r="1742" spans="8:9">
      <c r="H1742" s="1092"/>
      <c r="I1742" s="1092"/>
    </row>
    <row r="1743" spans="8:9">
      <c r="H1743" s="1092"/>
      <c r="I1743" s="1092"/>
    </row>
    <row r="1744" spans="8:9">
      <c r="H1744" s="1092"/>
      <c r="I1744" s="1092"/>
    </row>
    <row r="1745" spans="8:9">
      <c r="H1745" s="1092"/>
      <c r="I1745" s="1092"/>
    </row>
    <row r="1746" spans="8:9">
      <c r="H1746" s="1092"/>
      <c r="I1746" s="1092"/>
    </row>
    <row r="1747" spans="8:9">
      <c r="H1747" s="1092"/>
      <c r="I1747" s="1092"/>
    </row>
    <row r="1748" spans="8:9">
      <c r="H1748" s="1092"/>
      <c r="I1748" s="1092"/>
    </row>
    <row r="1749" spans="8:9">
      <c r="H1749" s="1092"/>
      <c r="I1749" s="1092"/>
    </row>
    <row r="1750" spans="8:9">
      <c r="H1750" s="1092"/>
      <c r="I1750" s="1092"/>
    </row>
    <row r="1751" spans="8:9">
      <c r="H1751" s="1092"/>
      <c r="I1751" s="1092"/>
    </row>
    <row r="1752" spans="8:9">
      <c r="H1752" s="1092"/>
      <c r="I1752" s="1092"/>
    </row>
    <row r="1753" spans="8:9">
      <c r="H1753" s="1092"/>
      <c r="I1753" s="1092"/>
    </row>
    <row r="1754" spans="8:9">
      <c r="H1754" s="1092"/>
      <c r="I1754" s="1092"/>
    </row>
    <row r="1755" spans="8:9">
      <c r="H1755" s="1092"/>
      <c r="I1755" s="1092"/>
    </row>
    <row r="1756" spans="8:9">
      <c r="H1756" s="1092"/>
      <c r="I1756" s="1092"/>
    </row>
    <row r="1757" spans="8:9">
      <c r="H1757" s="1092"/>
      <c r="I1757" s="1092"/>
    </row>
    <row r="1758" spans="8:9">
      <c r="H1758" s="1092"/>
      <c r="I1758" s="1092"/>
    </row>
    <row r="1759" spans="8:9">
      <c r="H1759" s="1092"/>
      <c r="I1759" s="1092"/>
    </row>
    <row r="1760" spans="8:9">
      <c r="H1760" s="1092"/>
      <c r="I1760" s="1092"/>
    </row>
    <row r="1761" spans="8:9">
      <c r="H1761" s="1092"/>
      <c r="I1761" s="1092"/>
    </row>
    <row r="1762" spans="8:9">
      <c r="H1762" s="1092"/>
      <c r="I1762" s="1092"/>
    </row>
    <row r="1763" spans="8:9">
      <c r="H1763" s="1092"/>
      <c r="I1763" s="1092"/>
    </row>
    <row r="1764" spans="8:9">
      <c r="H1764" s="1092"/>
      <c r="I1764" s="1092"/>
    </row>
    <row r="1765" spans="8:9">
      <c r="H1765" s="1092"/>
      <c r="I1765" s="1092"/>
    </row>
    <row r="1766" spans="8:9">
      <c r="H1766" s="1092"/>
      <c r="I1766" s="1092"/>
    </row>
    <row r="1767" spans="8:9">
      <c r="H1767" s="1092"/>
      <c r="I1767" s="1092"/>
    </row>
    <row r="1768" spans="8:9">
      <c r="H1768" s="1092"/>
      <c r="I1768" s="1092"/>
    </row>
    <row r="1769" spans="8:9">
      <c r="H1769" s="1092"/>
      <c r="I1769" s="1092"/>
    </row>
    <row r="1770" spans="8:9">
      <c r="H1770" s="1092"/>
      <c r="I1770" s="1092"/>
    </row>
    <row r="1771" spans="8:9">
      <c r="H1771" s="1092"/>
      <c r="I1771" s="1092"/>
    </row>
    <row r="1772" spans="8:9">
      <c r="H1772" s="1092"/>
      <c r="I1772" s="1092"/>
    </row>
    <row r="1773" spans="8:9">
      <c r="H1773" s="1092"/>
      <c r="I1773" s="1092"/>
    </row>
    <row r="1774" spans="8:9">
      <c r="H1774" s="1092"/>
      <c r="I1774" s="1092"/>
    </row>
    <row r="1775" spans="8:9">
      <c r="H1775" s="1092"/>
      <c r="I1775" s="1092"/>
    </row>
    <row r="1776" spans="8:9">
      <c r="H1776" s="1092"/>
      <c r="I1776" s="1092"/>
    </row>
    <row r="1777" spans="8:9">
      <c r="H1777" s="1092"/>
      <c r="I1777" s="1092"/>
    </row>
    <row r="1778" spans="8:9">
      <c r="H1778" s="1092"/>
      <c r="I1778" s="1092"/>
    </row>
    <row r="1779" spans="8:9">
      <c r="H1779" s="1092"/>
      <c r="I1779" s="1092"/>
    </row>
    <row r="1780" spans="8:9">
      <c r="H1780" s="1092"/>
      <c r="I1780" s="1092"/>
    </row>
    <row r="1781" spans="8:9">
      <c r="H1781" s="1092"/>
      <c r="I1781" s="1092"/>
    </row>
    <row r="1782" spans="8:9">
      <c r="H1782" s="1092"/>
      <c r="I1782" s="1092"/>
    </row>
    <row r="1783" spans="8:9">
      <c r="H1783" s="1092"/>
      <c r="I1783" s="1092"/>
    </row>
    <row r="1784" spans="8:9">
      <c r="H1784" s="1092"/>
      <c r="I1784" s="1092"/>
    </row>
    <row r="1785" spans="8:9">
      <c r="H1785" s="1092"/>
      <c r="I1785" s="1092"/>
    </row>
    <row r="1786" spans="8:9">
      <c r="H1786" s="1092"/>
      <c r="I1786" s="1092"/>
    </row>
    <row r="1787" spans="8:9">
      <c r="H1787" s="1092"/>
      <c r="I1787" s="1092"/>
    </row>
    <row r="1788" spans="8:9">
      <c r="H1788" s="1092"/>
      <c r="I1788" s="1092"/>
    </row>
    <row r="1789" spans="8:9">
      <c r="H1789" s="1092"/>
      <c r="I1789" s="1092"/>
    </row>
    <row r="1790" spans="8:9">
      <c r="H1790" s="1092"/>
      <c r="I1790" s="1092"/>
    </row>
    <row r="1791" spans="8:9">
      <c r="H1791" s="1092"/>
      <c r="I1791" s="1092"/>
    </row>
    <row r="1792" spans="8:9">
      <c r="H1792" s="1092"/>
      <c r="I1792" s="1092"/>
    </row>
    <row r="1793" spans="8:9">
      <c r="H1793" s="1092"/>
      <c r="I1793" s="1092"/>
    </row>
    <row r="1794" spans="8:9">
      <c r="H1794" s="1092"/>
      <c r="I1794" s="1092"/>
    </row>
    <row r="1795" spans="8:9">
      <c r="H1795" s="1092"/>
      <c r="I1795" s="1092"/>
    </row>
    <row r="1796" spans="8:9">
      <c r="H1796" s="1092"/>
      <c r="I1796" s="1092"/>
    </row>
    <row r="1797" spans="8:9">
      <c r="H1797" s="1092"/>
      <c r="I1797" s="1092"/>
    </row>
    <row r="1798" spans="8:9">
      <c r="H1798" s="1092"/>
      <c r="I1798" s="1092"/>
    </row>
    <row r="1799" spans="8:9">
      <c r="H1799" s="1092"/>
      <c r="I1799" s="1092"/>
    </row>
    <row r="1800" spans="8:9">
      <c r="H1800" s="1092"/>
      <c r="I1800" s="1092"/>
    </row>
    <row r="1801" spans="8:9">
      <c r="H1801" s="1092"/>
      <c r="I1801" s="1092"/>
    </row>
    <row r="1802" spans="8:9">
      <c r="H1802" s="1092"/>
      <c r="I1802" s="1092"/>
    </row>
    <row r="1803" spans="8:9">
      <c r="H1803" s="1092"/>
      <c r="I1803" s="1092"/>
    </row>
    <row r="1804" spans="8:9">
      <c r="H1804" s="1092"/>
      <c r="I1804" s="1092"/>
    </row>
    <row r="1805" spans="8:9">
      <c r="H1805" s="1092"/>
      <c r="I1805" s="1092"/>
    </row>
    <row r="1806" spans="8:9">
      <c r="H1806" s="1092"/>
      <c r="I1806" s="1092"/>
    </row>
    <row r="1807" spans="8:9">
      <c r="H1807" s="1092"/>
      <c r="I1807" s="1092"/>
    </row>
    <row r="1808" spans="8:9">
      <c r="H1808" s="1092"/>
      <c r="I1808" s="1092"/>
    </row>
    <row r="1809" spans="8:9">
      <c r="H1809" s="1092"/>
      <c r="I1809" s="1092"/>
    </row>
    <row r="1810" spans="8:9">
      <c r="H1810" s="1092"/>
      <c r="I1810" s="1092"/>
    </row>
    <row r="1811" spans="8:9">
      <c r="H1811" s="1092"/>
      <c r="I1811" s="1092"/>
    </row>
    <row r="1812" spans="8:9">
      <c r="H1812" s="1092"/>
      <c r="I1812" s="1092"/>
    </row>
    <row r="1813" spans="8:9">
      <c r="H1813" s="1092"/>
      <c r="I1813" s="1092"/>
    </row>
    <row r="1814" spans="8:9">
      <c r="H1814" s="1092"/>
      <c r="I1814" s="1092"/>
    </row>
    <row r="1815" spans="8:9">
      <c r="H1815" s="1092"/>
      <c r="I1815" s="1092"/>
    </row>
    <row r="1816" spans="8:9">
      <c r="H1816" s="1092"/>
      <c r="I1816" s="1092"/>
    </row>
    <row r="1817" spans="8:9">
      <c r="H1817" s="1092"/>
      <c r="I1817" s="1092"/>
    </row>
    <row r="1818" spans="8:9">
      <c r="H1818" s="1092"/>
      <c r="I1818" s="1092"/>
    </row>
    <row r="1819" spans="8:9">
      <c r="H1819" s="1092"/>
      <c r="I1819" s="1092"/>
    </row>
    <row r="1820" spans="8:9">
      <c r="H1820" s="1092"/>
      <c r="I1820" s="1092"/>
    </row>
    <row r="1821" spans="8:9">
      <c r="H1821" s="1092"/>
      <c r="I1821" s="1092"/>
    </row>
    <row r="1822" spans="8:9">
      <c r="H1822" s="1092"/>
      <c r="I1822" s="1092"/>
    </row>
    <row r="1823" spans="8:9">
      <c r="H1823" s="1092"/>
      <c r="I1823" s="1092"/>
    </row>
    <row r="1824" spans="8:9">
      <c r="H1824" s="1092"/>
      <c r="I1824" s="1092"/>
    </row>
    <row r="1825" spans="8:9">
      <c r="H1825" s="1092"/>
      <c r="I1825" s="1092"/>
    </row>
    <row r="1826" spans="8:9">
      <c r="H1826" s="1092"/>
      <c r="I1826" s="1092"/>
    </row>
    <row r="1827" spans="8:9">
      <c r="H1827" s="1092"/>
      <c r="I1827" s="1092"/>
    </row>
    <row r="1828" spans="8:9">
      <c r="H1828" s="1092"/>
      <c r="I1828" s="1092"/>
    </row>
    <row r="1829" spans="8:9">
      <c r="H1829" s="1092"/>
      <c r="I1829" s="1092"/>
    </row>
    <row r="1830" spans="8:9">
      <c r="H1830" s="1092"/>
      <c r="I1830" s="1092"/>
    </row>
    <row r="1831" spans="8:9">
      <c r="H1831" s="1092"/>
      <c r="I1831" s="1092"/>
    </row>
    <row r="1832" spans="8:9">
      <c r="H1832" s="1092"/>
      <c r="I1832" s="1092"/>
    </row>
    <row r="1833" spans="8:9">
      <c r="H1833" s="1092"/>
      <c r="I1833" s="1092"/>
    </row>
    <row r="1834" spans="8:9">
      <c r="H1834" s="1092"/>
      <c r="I1834" s="1092"/>
    </row>
    <row r="1835" spans="8:9">
      <c r="H1835" s="1092"/>
      <c r="I1835" s="1092"/>
    </row>
    <row r="1836" spans="8:9">
      <c r="H1836" s="1092"/>
      <c r="I1836" s="1092"/>
    </row>
    <row r="1837" spans="8:9">
      <c r="H1837" s="1092"/>
      <c r="I1837" s="1092"/>
    </row>
    <row r="1838" spans="8:9">
      <c r="H1838" s="1092"/>
      <c r="I1838" s="1092"/>
    </row>
    <row r="1839" spans="8:9">
      <c r="H1839" s="1092"/>
      <c r="I1839" s="1092"/>
    </row>
    <row r="1840" spans="8:9">
      <c r="H1840" s="1092"/>
      <c r="I1840" s="1092"/>
    </row>
    <row r="1841" spans="8:9">
      <c r="H1841" s="1092"/>
      <c r="I1841" s="1092"/>
    </row>
    <row r="1842" spans="8:9">
      <c r="H1842" s="1092"/>
      <c r="I1842" s="1092"/>
    </row>
    <row r="1843" spans="8:9">
      <c r="H1843" s="1092"/>
      <c r="I1843" s="1092"/>
    </row>
    <row r="1844" spans="8:9">
      <c r="H1844" s="1092"/>
      <c r="I1844" s="1092"/>
    </row>
    <row r="1845" spans="8:9">
      <c r="H1845" s="1092"/>
      <c r="I1845" s="1092"/>
    </row>
    <row r="1846" spans="8:9">
      <c r="H1846" s="1092"/>
      <c r="I1846" s="1092"/>
    </row>
    <row r="1847" spans="8:9">
      <c r="H1847" s="1092"/>
      <c r="I1847" s="1092"/>
    </row>
    <row r="1848" spans="8:9">
      <c r="H1848" s="1092"/>
      <c r="I1848" s="1092"/>
    </row>
    <row r="1849" spans="8:9">
      <c r="H1849" s="1092"/>
      <c r="I1849" s="1092"/>
    </row>
    <row r="1850" spans="8:9">
      <c r="H1850" s="1092"/>
      <c r="I1850" s="1092"/>
    </row>
    <row r="1851" spans="8:9">
      <c r="H1851" s="1092"/>
      <c r="I1851" s="1092"/>
    </row>
    <row r="1852" spans="8:9">
      <c r="H1852" s="1092"/>
      <c r="I1852" s="1092"/>
    </row>
    <row r="1853" spans="8:9">
      <c r="H1853" s="1092"/>
      <c r="I1853" s="1092"/>
    </row>
    <row r="1854" spans="8:9">
      <c r="H1854" s="1092"/>
      <c r="I1854" s="1092"/>
    </row>
    <row r="1855" spans="8:9">
      <c r="H1855" s="1092"/>
      <c r="I1855" s="1092"/>
    </row>
    <row r="1856" spans="8:9">
      <c r="H1856" s="1092"/>
      <c r="I1856" s="1092"/>
    </row>
    <row r="1857" spans="8:9">
      <c r="H1857" s="1092"/>
      <c r="I1857" s="1092"/>
    </row>
    <row r="1858" spans="8:9">
      <c r="H1858" s="1092"/>
      <c r="I1858" s="1092"/>
    </row>
    <row r="1859" spans="8:9">
      <c r="H1859" s="1092"/>
      <c r="I1859" s="1092"/>
    </row>
    <row r="1860" spans="8:9">
      <c r="H1860" s="1092"/>
      <c r="I1860" s="1092"/>
    </row>
    <row r="1861" spans="8:9">
      <c r="H1861" s="1092"/>
      <c r="I1861" s="1092"/>
    </row>
    <row r="1862" spans="8:9">
      <c r="H1862" s="1092"/>
      <c r="I1862" s="1092"/>
    </row>
    <row r="1863" spans="8:9">
      <c r="H1863" s="1092"/>
      <c r="I1863" s="1092"/>
    </row>
    <row r="1864" spans="8:9">
      <c r="H1864" s="1092"/>
      <c r="I1864" s="1092"/>
    </row>
    <row r="1865" spans="8:9">
      <c r="H1865" s="1092"/>
      <c r="I1865" s="1092"/>
    </row>
    <row r="1866" spans="8:9">
      <c r="H1866" s="1092"/>
      <c r="I1866" s="1092"/>
    </row>
    <row r="1867" spans="8:9">
      <c r="H1867" s="1092"/>
      <c r="I1867" s="1092"/>
    </row>
    <row r="1868" spans="8:9">
      <c r="H1868" s="1092"/>
      <c r="I1868" s="1092"/>
    </row>
    <row r="1869" spans="8:9">
      <c r="H1869" s="1092"/>
      <c r="I1869" s="1092"/>
    </row>
    <row r="1870" spans="8:9">
      <c r="H1870" s="1092"/>
      <c r="I1870" s="1092"/>
    </row>
    <row r="1871" spans="8:9">
      <c r="H1871" s="1092"/>
      <c r="I1871" s="1092"/>
    </row>
    <row r="1872" spans="8:9">
      <c r="H1872" s="1092"/>
      <c r="I1872" s="1092"/>
    </row>
    <row r="1873" spans="8:9">
      <c r="H1873" s="1092"/>
      <c r="I1873" s="1092"/>
    </row>
    <row r="1874" spans="8:9">
      <c r="H1874" s="1092"/>
      <c r="I1874" s="1092"/>
    </row>
    <row r="1875" spans="8:9">
      <c r="H1875" s="1092"/>
      <c r="I1875" s="1092"/>
    </row>
    <row r="1876" spans="8:9">
      <c r="H1876" s="1092"/>
      <c r="I1876" s="1092"/>
    </row>
    <row r="1877" spans="8:9">
      <c r="H1877" s="1092"/>
      <c r="I1877" s="1092"/>
    </row>
    <row r="1878" spans="8:9">
      <c r="H1878" s="1092"/>
      <c r="I1878" s="1092"/>
    </row>
    <row r="1879" spans="8:9">
      <c r="H1879" s="1092"/>
      <c r="I1879" s="1092"/>
    </row>
    <row r="1880" spans="8:9">
      <c r="H1880" s="1092"/>
      <c r="I1880" s="1092"/>
    </row>
    <row r="1881" spans="8:9">
      <c r="H1881" s="1092"/>
      <c r="I1881" s="1092"/>
    </row>
    <row r="1882" spans="8:9">
      <c r="H1882" s="1092"/>
      <c r="I1882" s="1092"/>
    </row>
    <row r="1883" spans="8:9">
      <c r="H1883" s="1092"/>
      <c r="I1883" s="1092"/>
    </row>
    <row r="1884" spans="8:9">
      <c r="H1884" s="1092"/>
      <c r="I1884" s="1092"/>
    </row>
    <row r="1885" spans="8:9">
      <c r="H1885" s="1092"/>
      <c r="I1885" s="1092"/>
    </row>
    <row r="1886" spans="8:9">
      <c r="H1886" s="1092"/>
      <c r="I1886" s="1092"/>
    </row>
    <row r="1887" spans="8:9">
      <c r="H1887" s="1092"/>
      <c r="I1887" s="1092"/>
    </row>
    <row r="1888" spans="8:9">
      <c r="H1888" s="1092"/>
      <c r="I1888" s="1092"/>
    </row>
    <row r="1889" spans="8:9">
      <c r="H1889" s="1092"/>
      <c r="I1889" s="1092"/>
    </row>
    <row r="1890" spans="8:9">
      <c r="H1890" s="1092"/>
      <c r="I1890" s="1092"/>
    </row>
    <row r="1891" spans="8:9">
      <c r="H1891" s="1092"/>
      <c r="I1891" s="1092"/>
    </row>
    <row r="1892" spans="8:9">
      <c r="H1892" s="1092"/>
      <c r="I1892" s="1092"/>
    </row>
    <row r="1893" spans="8:9">
      <c r="H1893" s="1092"/>
      <c r="I1893" s="1092"/>
    </row>
    <row r="1894" spans="8:9">
      <c r="H1894" s="1092"/>
      <c r="I1894" s="1092"/>
    </row>
    <row r="1895" spans="8:9">
      <c r="H1895" s="1092"/>
      <c r="I1895" s="1092"/>
    </row>
    <row r="1896" spans="8:9">
      <c r="H1896" s="1092"/>
      <c r="I1896" s="1092"/>
    </row>
    <row r="1897" spans="8:9">
      <c r="H1897" s="1092"/>
      <c r="I1897" s="1092"/>
    </row>
    <row r="1898" spans="8:9">
      <c r="H1898" s="1092"/>
      <c r="I1898" s="1092"/>
    </row>
    <row r="1899" spans="8:9">
      <c r="H1899" s="1092"/>
      <c r="I1899" s="1092"/>
    </row>
    <row r="1900" spans="8:9">
      <c r="H1900" s="1092"/>
      <c r="I1900" s="1092"/>
    </row>
    <row r="1901" spans="8:9">
      <c r="H1901" s="1092"/>
      <c r="I1901" s="1092"/>
    </row>
    <row r="1902" spans="8:9">
      <c r="H1902" s="1092"/>
      <c r="I1902" s="1092"/>
    </row>
    <row r="1903" spans="8:9">
      <c r="H1903" s="1092"/>
      <c r="I1903" s="1092"/>
    </row>
    <row r="1904" spans="8:9">
      <c r="H1904" s="1092"/>
      <c r="I1904" s="1092"/>
    </row>
    <row r="1905" spans="8:9">
      <c r="H1905" s="1092"/>
      <c r="I1905" s="1092"/>
    </row>
    <row r="1906" spans="8:9">
      <c r="H1906" s="1092"/>
      <c r="I1906" s="1092"/>
    </row>
    <row r="1907" spans="8:9">
      <c r="H1907" s="1092"/>
      <c r="I1907" s="1092"/>
    </row>
    <row r="1908" spans="8:9">
      <c r="H1908" s="1092"/>
      <c r="I1908" s="1092"/>
    </row>
    <row r="1909" spans="8:9">
      <c r="H1909" s="1092"/>
      <c r="I1909" s="1092"/>
    </row>
    <row r="1910" spans="8:9">
      <c r="H1910" s="1092"/>
      <c r="I1910" s="1092"/>
    </row>
    <row r="1911" spans="8:9">
      <c r="H1911" s="1092"/>
      <c r="I1911" s="1092"/>
    </row>
    <row r="1912" spans="8:9">
      <c r="H1912" s="1092"/>
      <c r="I1912" s="1092"/>
    </row>
    <row r="1913" spans="8:9">
      <c r="H1913" s="1092"/>
      <c r="I1913" s="1092"/>
    </row>
    <row r="1914" spans="8:9">
      <c r="H1914" s="1092"/>
      <c r="I1914" s="1092"/>
    </row>
    <row r="1915" spans="8:9">
      <c r="H1915" s="1092"/>
      <c r="I1915" s="1092"/>
    </row>
    <row r="1916" spans="8:9">
      <c r="H1916" s="1092"/>
      <c r="I1916" s="1092"/>
    </row>
    <row r="1917" spans="8:9">
      <c r="H1917" s="1092"/>
      <c r="I1917" s="1092"/>
    </row>
    <row r="1918" spans="8:9">
      <c r="H1918" s="1092"/>
      <c r="I1918" s="1092"/>
    </row>
    <row r="1919" spans="8:9">
      <c r="H1919" s="1092"/>
      <c r="I1919" s="1092"/>
    </row>
    <row r="1920" spans="8:9">
      <c r="H1920" s="1092"/>
      <c r="I1920" s="1092"/>
    </row>
    <row r="1921" spans="8:9">
      <c r="H1921" s="1092"/>
      <c r="I1921" s="1092"/>
    </row>
    <row r="1922" spans="8:9">
      <c r="H1922" s="1092"/>
      <c r="I1922" s="1092"/>
    </row>
    <row r="1923" spans="8:9">
      <c r="H1923" s="1092"/>
      <c r="I1923" s="1092"/>
    </row>
    <row r="1924" spans="8:9">
      <c r="H1924" s="1092"/>
      <c r="I1924" s="1092"/>
    </row>
    <row r="1925" spans="8:9">
      <c r="H1925" s="1092"/>
      <c r="I1925" s="1092"/>
    </row>
    <row r="1926" spans="8:9">
      <c r="H1926" s="1092"/>
      <c r="I1926" s="1092"/>
    </row>
    <row r="1927" spans="8:9">
      <c r="H1927" s="1092"/>
      <c r="I1927" s="1092"/>
    </row>
    <row r="1928" spans="8:9">
      <c r="H1928" s="1092"/>
      <c r="I1928" s="1092"/>
    </row>
    <row r="1929" spans="8:9">
      <c r="H1929" s="1092"/>
      <c r="I1929" s="1092"/>
    </row>
    <row r="1930" spans="8:9">
      <c r="H1930" s="1092"/>
      <c r="I1930" s="1092"/>
    </row>
    <row r="1931" spans="8:9">
      <c r="H1931" s="1092"/>
      <c r="I1931" s="1092"/>
    </row>
    <row r="1932" spans="8:9">
      <c r="H1932" s="1092"/>
      <c r="I1932" s="1092"/>
    </row>
    <row r="1933" spans="8:9">
      <c r="H1933" s="1092"/>
      <c r="I1933" s="1092"/>
    </row>
    <row r="1934" spans="8:9">
      <c r="H1934" s="1092"/>
      <c r="I1934" s="1092"/>
    </row>
    <row r="1935" spans="8:9">
      <c r="H1935" s="1092"/>
      <c r="I1935" s="1092"/>
    </row>
    <row r="1936" spans="8:9">
      <c r="H1936" s="1092"/>
      <c r="I1936" s="1092"/>
    </row>
    <row r="1937" spans="8:9">
      <c r="H1937" s="1092"/>
      <c r="I1937" s="1092"/>
    </row>
    <row r="1938" spans="8:9">
      <c r="H1938" s="1092"/>
      <c r="I1938" s="1092"/>
    </row>
    <row r="1939" spans="8:9">
      <c r="H1939" s="1092"/>
      <c r="I1939" s="1092"/>
    </row>
    <row r="1940" spans="8:9">
      <c r="H1940" s="1092"/>
      <c r="I1940" s="1092"/>
    </row>
    <row r="1941" spans="8:9">
      <c r="H1941" s="1092"/>
      <c r="I1941" s="1092"/>
    </row>
    <row r="1942" spans="8:9">
      <c r="H1942" s="1092"/>
      <c r="I1942" s="1092"/>
    </row>
    <row r="1943" spans="8:9">
      <c r="H1943" s="1092"/>
      <c r="I1943" s="1092"/>
    </row>
    <row r="1944" spans="8:9">
      <c r="H1944" s="1092"/>
      <c r="I1944" s="1092"/>
    </row>
    <row r="1945" spans="8:9">
      <c r="H1945" s="1092"/>
      <c r="I1945" s="1092"/>
    </row>
    <row r="1946" spans="8:9">
      <c r="H1946" s="1092"/>
      <c r="I1946" s="1092"/>
    </row>
    <row r="1947" spans="8:9">
      <c r="H1947" s="1092"/>
      <c r="I1947" s="1092"/>
    </row>
    <row r="1948" spans="8:9">
      <c r="H1948" s="1092"/>
      <c r="I1948" s="1092"/>
    </row>
    <row r="1949" spans="8:9">
      <c r="H1949" s="1092"/>
      <c r="I1949" s="1092"/>
    </row>
    <row r="1950" spans="8:9">
      <c r="H1950" s="1092"/>
      <c r="I1950" s="1092"/>
    </row>
    <row r="1951" spans="8:9">
      <c r="H1951" s="1092"/>
      <c r="I1951" s="1092"/>
    </row>
    <row r="1952" spans="8:9">
      <c r="H1952" s="1092"/>
      <c r="I1952" s="1092"/>
    </row>
    <row r="1953" spans="8:9">
      <c r="H1953" s="1092"/>
      <c r="I1953" s="1092"/>
    </row>
    <row r="1954" spans="8:9">
      <c r="H1954" s="1092"/>
      <c r="I1954" s="1092"/>
    </row>
    <row r="1955" spans="8:9">
      <c r="H1955" s="1092"/>
      <c r="I1955" s="1092"/>
    </row>
    <row r="1956" spans="8:9">
      <c r="H1956" s="1092"/>
      <c r="I1956" s="1092"/>
    </row>
    <row r="1957" spans="8:9">
      <c r="H1957" s="1092"/>
      <c r="I1957" s="1092"/>
    </row>
    <row r="1958" spans="8:9">
      <c r="H1958" s="1092"/>
      <c r="I1958" s="1092"/>
    </row>
    <row r="1959" spans="8:9">
      <c r="H1959" s="1092"/>
      <c r="I1959" s="1092"/>
    </row>
    <row r="1960" spans="8:9">
      <c r="H1960" s="1092"/>
      <c r="I1960" s="1092"/>
    </row>
    <row r="1961" spans="8:9">
      <c r="H1961" s="1092"/>
      <c r="I1961" s="1092"/>
    </row>
    <row r="1962" spans="8:9">
      <c r="H1962" s="1092"/>
      <c r="I1962" s="1092"/>
    </row>
    <row r="1963" spans="8:9">
      <c r="H1963" s="1092"/>
      <c r="I1963" s="1092"/>
    </row>
    <row r="1964" spans="8:9">
      <c r="H1964" s="1092"/>
      <c r="I1964" s="1092"/>
    </row>
    <row r="1965" spans="8:9">
      <c r="H1965" s="1092"/>
      <c r="I1965" s="1092"/>
    </row>
    <row r="1966" spans="8:9">
      <c r="H1966" s="1092"/>
      <c r="I1966" s="1092"/>
    </row>
    <row r="1967" spans="8:9">
      <c r="H1967" s="1092"/>
      <c r="I1967" s="1092"/>
    </row>
    <row r="1968" spans="8:9">
      <c r="H1968" s="1092"/>
      <c r="I1968" s="1092"/>
    </row>
    <row r="1969" spans="8:9">
      <c r="H1969" s="1092"/>
      <c r="I1969" s="1092"/>
    </row>
    <row r="1970" spans="8:9">
      <c r="H1970" s="1092"/>
      <c r="I1970" s="1092"/>
    </row>
    <row r="1971" spans="8:9">
      <c r="H1971" s="1092"/>
      <c r="I1971" s="1092"/>
    </row>
    <row r="1972" spans="8:9">
      <c r="H1972" s="1092"/>
      <c r="I1972" s="1092"/>
    </row>
    <row r="1973" spans="8:9">
      <c r="H1973" s="1092"/>
      <c r="I1973" s="1092"/>
    </row>
    <row r="1974" spans="8:9">
      <c r="H1974" s="1092"/>
      <c r="I1974" s="1092"/>
    </row>
    <row r="1975" spans="8:9">
      <c r="H1975" s="1092"/>
      <c r="I1975" s="1092"/>
    </row>
    <row r="1976" spans="8:9">
      <c r="H1976" s="1092"/>
      <c r="I1976" s="1092"/>
    </row>
    <row r="1977" spans="8:9">
      <c r="H1977" s="1092"/>
      <c r="I1977" s="1092"/>
    </row>
    <row r="1978" spans="8:9">
      <c r="H1978" s="1092"/>
      <c r="I1978" s="1092"/>
    </row>
    <row r="1979" spans="8:9">
      <c r="H1979" s="1092"/>
      <c r="I1979" s="1092"/>
    </row>
    <row r="1980" spans="8:9">
      <c r="H1980" s="1092"/>
      <c r="I1980" s="1092"/>
    </row>
    <row r="1981" spans="8:9">
      <c r="H1981" s="1092"/>
      <c r="I1981" s="1092"/>
    </row>
    <row r="1982" spans="8:9">
      <c r="H1982" s="1092"/>
      <c r="I1982" s="1092"/>
    </row>
    <row r="1983" spans="8:9">
      <c r="H1983" s="1092"/>
      <c r="I1983" s="1092"/>
    </row>
    <row r="1984" spans="8:9">
      <c r="H1984" s="1092"/>
      <c r="I1984" s="1092"/>
    </row>
    <row r="1985" spans="8:9">
      <c r="H1985" s="1092"/>
      <c r="I1985" s="1092"/>
    </row>
    <row r="1986" spans="8:9">
      <c r="H1986" s="1092"/>
      <c r="I1986" s="1092"/>
    </row>
    <row r="1987" spans="8:9">
      <c r="H1987" s="1092"/>
      <c r="I1987" s="1092"/>
    </row>
    <row r="1988" spans="8:9">
      <c r="H1988" s="1092"/>
      <c r="I1988" s="1092"/>
    </row>
    <row r="1989" spans="8:9">
      <c r="H1989" s="1092"/>
      <c r="I1989" s="1092"/>
    </row>
    <row r="1990" spans="8:9">
      <c r="H1990" s="1092"/>
      <c r="I1990" s="1092"/>
    </row>
    <row r="1991" spans="8:9">
      <c r="H1991" s="1092"/>
      <c r="I1991" s="1092"/>
    </row>
    <row r="1992" spans="8:9">
      <c r="H1992" s="1092"/>
      <c r="I1992" s="1092"/>
    </row>
    <row r="1993" spans="8:9">
      <c r="H1993" s="1092"/>
      <c r="I1993" s="1092"/>
    </row>
    <row r="1994" spans="8:9">
      <c r="H1994" s="1092"/>
      <c r="I1994" s="1092"/>
    </row>
    <row r="1995" spans="8:9">
      <c r="H1995" s="1092"/>
      <c r="I1995" s="1092"/>
    </row>
    <row r="1996" spans="8:9">
      <c r="H1996" s="1092"/>
      <c r="I1996" s="1092"/>
    </row>
    <row r="1997" spans="8:9">
      <c r="H1997" s="1092"/>
      <c r="I1997" s="1092"/>
    </row>
    <row r="1998" spans="8:9">
      <c r="H1998" s="1092"/>
      <c r="I1998" s="1092"/>
    </row>
    <row r="1999" spans="8:9">
      <c r="H1999" s="1092"/>
      <c r="I1999" s="1092"/>
    </row>
    <row r="2000" spans="8:9">
      <c r="H2000" s="1092"/>
      <c r="I2000" s="1092"/>
    </row>
    <row r="2001" spans="8:9">
      <c r="H2001" s="1092"/>
      <c r="I2001" s="1092"/>
    </row>
    <row r="2002" spans="8:9">
      <c r="H2002" s="1092"/>
      <c r="I2002" s="1092"/>
    </row>
    <row r="2003" spans="8:9">
      <c r="H2003" s="1092"/>
      <c r="I2003" s="1092"/>
    </row>
    <row r="2004" spans="8:9">
      <c r="H2004" s="1092"/>
      <c r="I2004" s="1092"/>
    </row>
    <row r="2005" spans="8:9">
      <c r="H2005" s="1092"/>
      <c r="I2005" s="1092"/>
    </row>
    <row r="2006" spans="8:9">
      <c r="H2006" s="1092"/>
      <c r="I2006" s="1092"/>
    </row>
    <row r="2007" spans="8:9">
      <c r="H2007" s="1092"/>
      <c r="I2007" s="1092"/>
    </row>
    <row r="2008" spans="8:9">
      <c r="H2008" s="1092"/>
      <c r="I2008" s="1092"/>
    </row>
    <row r="2009" spans="8:9">
      <c r="H2009" s="1092"/>
      <c r="I2009" s="1092"/>
    </row>
    <row r="2010" spans="8:9">
      <c r="H2010" s="1092"/>
      <c r="I2010" s="1092"/>
    </row>
    <row r="2011" spans="8:9">
      <c r="H2011" s="1092"/>
      <c r="I2011" s="1092"/>
    </row>
    <row r="2012" spans="8:9">
      <c r="H2012" s="1092"/>
      <c r="I2012" s="1092"/>
    </row>
    <row r="2013" spans="8:9">
      <c r="H2013" s="1092"/>
      <c r="I2013" s="1092"/>
    </row>
    <row r="2014" spans="8:9">
      <c r="H2014" s="1092"/>
      <c r="I2014" s="1092"/>
    </row>
    <row r="2015" spans="8:9">
      <c r="H2015" s="1092"/>
      <c r="I2015" s="1092"/>
    </row>
    <row r="2016" spans="8:9">
      <c r="H2016" s="1092"/>
      <c r="I2016" s="1092"/>
    </row>
    <row r="2017" spans="8:9">
      <c r="H2017" s="1092"/>
      <c r="I2017" s="1092"/>
    </row>
    <row r="2018" spans="8:9">
      <c r="H2018" s="1092"/>
      <c r="I2018" s="1092"/>
    </row>
    <row r="2019" spans="8:9">
      <c r="H2019" s="1092"/>
      <c r="I2019" s="1092"/>
    </row>
    <row r="2020" spans="8:9">
      <c r="H2020" s="1092"/>
      <c r="I2020" s="1092"/>
    </row>
    <row r="2021" spans="8:9">
      <c r="H2021" s="1092"/>
      <c r="I2021" s="1092"/>
    </row>
    <row r="2022" spans="8:9">
      <c r="H2022" s="1092"/>
      <c r="I2022" s="1092"/>
    </row>
    <row r="2023" spans="8:9">
      <c r="H2023" s="1092"/>
      <c r="I2023" s="1092"/>
    </row>
    <row r="2024" spans="8:9">
      <c r="H2024" s="1092"/>
      <c r="I2024" s="1092"/>
    </row>
    <row r="2025" spans="8:9">
      <c r="H2025" s="1092"/>
      <c r="I2025" s="1092"/>
    </row>
    <row r="2026" spans="8:9">
      <c r="H2026" s="1092"/>
      <c r="I2026" s="1092"/>
    </row>
    <row r="2027" spans="8:9">
      <c r="H2027" s="1092"/>
      <c r="I2027" s="1092"/>
    </row>
    <row r="2028" spans="8:9">
      <c r="H2028" s="1092"/>
      <c r="I2028" s="1092"/>
    </row>
    <row r="2029" spans="8:9">
      <c r="H2029" s="1092"/>
      <c r="I2029" s="1092"/>
    </row>
    <row r="2030" spans="8:9">
      <c r="H2030" s="1092"/>
      <c r="I2030" s="1092"/>
    </row>
    <row r="2031" spans="8:9">
      <c r="H2031" s="1092"/>
      <c r="I2031" s="1092"/>
    </row>
    <row r="2032" spans="8:9">
      <c r="H2032" s="1092"/>
      <c r="I2032" s="1092"/>
    </row>
    <row r="2033" spans="8:9">
      <c r="H2033" s="1092"/>
      <c r="I2033" s="1092"/>
    </row>
    <row r="2034" spans="8:9">
      <c r="H2034" s="1092"/>
      <c r="I2034" s="1092"/>
    </row>
    <row r="2035" spans="8:9">
      <c r="H2035" s="1092"/>
      <c r="I2035" s="1092"/>
    </row>
    <row r="2036" spans="8:9">
      <c r="H2036" s="1092"/>
      <c r="I2036" s="1092"/>
    </row>
    <row r="2037" spans="8:9">
      <c r="H2037" s="1092"/>
      <c r="I2037" s="1092"/>
    </row>
    <row r="2038" spans="8:9">
      <c r="H2038" s="1092"/>
      <c r="I2038" s="1092"/>
    </row>
    <row r="2039" spans="8:9">
      <c r="H2039" s="1092"/>
      <c r="I2039" s="1092"/>
    </row>
    <row r="2040" spans="8:9">
      <c r="H2040" s="1092"/>
      <c r="I2040" s="1092"/>
    </row>
    <row r="2041" spans="8:9">
      <c r="H2041" s="1092"/>
      <c r="I2041" s="1092"/>
    </row>
    <row r="2042" spans="8:9">
      <c r="H2042" s="1092"/>
      <c r="I2042" s="1092"/>
    </row>
    <row r="2043" spans="8:9">
      <c r="H2043" s="1092"/>
      <c r="I2043" s="1092"/>
    </row>
    <row r="2044" spans="8:9">
      <c r="H2044" s="1092"/>
      <c r="I2044" s="1092"/>
    </row>
    <row r="2045" spans="8:9">
      <c r="H2045" s="1092"/>
      <c r="I2045" s="1092"/>
    </row>
    <row r="2046" spans="8:9">
      <c r="H2046" s="1092"/>
      <c r="I2046" s="1092"/>
    </row>
    <row r="2047" spans="8:9">
      <c r="H2047" s="1092"/>
      <c r="I2047" s="1092"/>
    </row>
    <row r="2048" spans="8:9">
      <c r="H2048" s="1092"/>
      <c r="I2048" s="1092"/>
    </row>
    <row r="2049" spans="8:9">
      <c r="H2049" s="1092"/>
      <c r="I2049" s="1092"/>
    </row>
    <row r="2050" spans="8:9">
      <c r="H2050" s="1092"/>
      <c r="I2050" s="1092"/>
    </row>
    <row r="2051" spans="8:9">
      <c r="H2051" s="1092"/>
      <c r="I2051" s="1092"/>
    </row>
    <row r="2052" spans="8:9">
      <c r="H2052" s="1092"/>
      <c r="I2052" s="1092"/>
    </row>
    <row r="2053" spans="8:9">
      <c r="H2053" s="1092"/>
      <c r="I2053" s="1092"/>
    </row>
    <row r="2054" spans="8:9">
      <c r="H2054" s="1092"/>
      <c r="I2054" s="1092"/>
    </row>
    <row r="2055" spans="8:9">
      <c r="H2055" s="1092"/>
      <c r="I2055" s="1092"/>
    </row>
    <row r="2056" spans="8:9">
      <c r="H2056" s="1092"/>
      <c r="I2056" s="1092"/>
    </row>
    <row r="2057" spans="8:9">
      <c r="H2057" s="1092"/>
      <c r="I2057" s="1092"/>
    </row>
    <row r="2058" spans="8:9">
      <c r="H2058" s="1092"/>
      <c r="I2058" s="1092"/>
    </row>
    <row r="2059" spans="8:9">
      <c r="H2059" s="1092"/>
      <c r="I2059" s="1092"/>
    </row>
    <row r="2060" spans="8:9">
      <c r="H2060" s="1092"/>
      <c r="I2060" s="1092"/>
    </row>
    <row r="2061" spans="8:9">
      <c r="H2061" s="1092"/>
      <c r="I2061" s="1092"/>
    </row>
    <row r="2062" spans="8:9">
      <c r="H2062" s="1092"/>
      <c r="I2062" s="1092"/>
    </row>
    <row r="2063" spans="8:9">
      <c r="H2063" s="1092"/>
      <c r="I2063" s="1092"/>
    </row>
    <row r="2064" spans="8:9">
      <c r="H2064" s="1092"/>
      <c r="I2064" s="1092"/>
    </row>
    <row r="2065" spans="8:9">
      <c r="H2065" s="1092"/>
      <c r="I2065" s="1092"/>
    </row>
    <row r="2066" spans="8:9">
      <c r="H2066" s="1092"/>
      <c r="I2066" s="1092"/>
    </row>
    <row r="2067" spans="8:9">
      <c r="H2067" s="1092"/>
      <c r="I2067" s="1092"/>
    </row>
    <row r="2068" spans="8:9">
      <c r="H2068" s="1092"/>
      <c r="I2068" s="1092"/>
    </row>
    <row r="2069" spans="8:9">
      <c r="H2069" s="1092"/>
      <c r="I2069" s="1092"/>
    </row>
    <row r="2070" spans="8:9">
      <c r="H2070" s="1092"/>
      <c r="I2070" s="1092"/>
    </row>
    <row r="2071" spans="8:9">
      <c r="H2071" s="1092"/>
      <c r="I2071" s="1092"/>
    </row>
    <row r="2072" spans="8:9">
      <c r="H2072" s="1092"/>
      <c r="I2072" s="1092"/>
    </row>
    <row r="2073" spans="8:9">
      <c r="H2073" s="1092"/>
      <c r="I2073" s="1092"/>
    </row>
    <row r="2074" spans="8:9">
      <c r="H2074" s="1092"/>
      <c r="I2074" s="1092"/>
    </row>
    <row r="2075" spans="8:9">
      <c r="H2075" s="1092"/>
      <c r="I2075" s="1092"/>
    </row>
    <row r="2076" spans="8:9">
      <c r="H2076" s="1092"/>
      <c r="I2076" s="1092"/>
    </row>
    <row r="2077" spans="8:9">
      <c r="H2077" s="1092"/>
      <c r="I2077" s="1092"/>
    </row>
    <row r="2078" spans="8:9">
      <c r="H2078" s="1092"/>
      <c r="I2078" s="1092"/>
    </row>
    <row r="2079" spans="8:9">
      <c r="H2079" s="1092"/>
      <c r="I2079" s="1092"/>
    </row>
    <row r="2080" spans="8:9">
      <c r="H2080" s="1092"/>
      <c r="I2080" s="1092"/>
    </row>
    <row r="2081" spans="8:9">
      <c r="H2081" s="1092"/>
      <c r="I2081" s="1092"/>
    </row>
    <row r="2082" spans="8:9">
      <c r="H2082" s="1092"/>
      <c r="I2082" s="1092"/>
    </row>
    <row r="2083" spans="8:9">
      <c r="H2083" s="1092"/>
      <c r="I2083" s="1092"/>
    </row>
    <row r="2084" spans="8:9">
      <c r="H2084" s="1092"/>
      <c r="I2084" s="1092"/>
    </row>
    <row r="2085" spans="8:9">
      <c r="H2085" s="1092"/>
      <c r="I2085" s="1092"/>
    </row>
    <row r="2086" spans="8:9">
      <c r="H2086" s="1092"/>
      <c r="I2086" s="1092"/>
    </row>
    <row r="2087" spans="8:9">
      <c r="H2087" s="1092"/>
      <c r="I2087" s="1092"/>
    </row>
    <row r="2088" spans="8:9">
      <c r="H2088" s="1092"/>
      <c r="I2088" s="1092"/>
    </row>
    <row r="2089" spans="8:9">
      <c r="H2089" s="1092"/>
      <c r="I2089" s="1092"/>
    </row>
    <row r="2090" spans="8:9">
      <c r="H2090" s="1092"/>
      <c r="I2090" s="1092"/>
    </row>
    <row r="2091" spans="8:9">
      <c r="H2091" s="1092"/>
      <c r="I2091" s="1092"/>
    </row>
    <row r="2092" spans="8:9">
      <c r="H2092" s="1092"/>
      <c r="I2092" s="1092"/>
    </row>
    <row r="2093" spans="8:9">
      <c r="H2093" s="1092"/>
      <c r="I2093" s="1092"/>
    </row>
    <row r="2094" spans="8:9">
      <c r="H2094" s="1092"/>
      <c r="I2094" s="1092"/>
    </row>
    <row r="2095" spans="8:9">
      <c r="H2095" s="1092"/>
      <c r="I2095" s="1092"/>
    </row>
    <row r="2096" spans="8:9">
      <c r="H2096" s="1092"/>
      <c r="I2096" s="1092"/>
    </row>
    <row r="2097" spans="8:9">
      <c r="H2097" s="1092"/>
      <c r="I2097" s="1092"/>
    </row>
    <row r="2098" spans="8:9">
      <c r="H2098" s="1092"/>
      <c r="I2098" s="1092"/>
    </row>
    <row r="2099" spans="8:9">
      <c r="H2099" s="1092"/>
      <c r="I2099" s="1092"/>
    </row>
    <row r="2100" spans="8:9">
      <c r="H2100" s="1092"/>
      <c r="I2100" s="1092"/>
    </row>
    <row r="2101" spans="8:9">
      <c r="H2101" s="1092"/>
      <c r="I2101" s="1092"/>
    </row>
    <row r="2102" spans="8:9">
      <c r="H2102" s="1092"/>
      <c r="I2102" s="1092"/>
    </row>
    <row r="2103" spans="8:9">
      <c r="H2103" s="1092"/>
      <c r="I2103" s="1092"/>
    </row>
    <row r="2104" spans="8:9">
      <c r="H2104" s="1092"/>
      <c r="I2104" s="1092"/>
    </row>
    <row r="2105" spans="8:9">
      <c r="H2105" s="1092"/>
      <c r="I2105" s="1092"/>
    </row>
    <row r="2106" spans="8:9">
      <c r="H2106" s="1092"/>
      <c r="I2106" s="1092"/>
    </row>
    <row r="2107" spans="8:9">
      <c r="H2107" s="1092"/>
      <c r="I2107" s="1092"/>
    </row>
    <row r="2108" spans="8:9">
      <c r="H2108" s="1092"/>
      <c r="I2108" s="1092"/>
    </row>
    <row r="2109" spans="8:9">
      <c r="H2109" s="1092"/>
      <c r="I2109" s="1092"/>
    </row>
    <row r="2110" spans="8:9">
      <c r="H2110" s="1092"/>
      <c r="I2110" s="1092"/>
    </row>
    <row r="2111" spans="8:9">
      <c r="H2111" s="1092"/>
      <c r="I2111" s="1092"/>
    </row>
    <row r="2112" spans="8:9">
      <c r="H2112" s="1092"/>
      <c r="I2112" s="1092"/>
    </row>
    <row r="2113" spans="8:9">
      <c r="H2113" s="1092"/>
      <c r="I2113" s="1092"/>
    </row>
    <row r="2114" spans="8:9">
      <c r="H2114" s="1092"/>
      <c r="I2114" s="1092"/>
    </row>
    <row r="2115" spans="8:9">
      <c r="H2115" s="1092"/>
      <c r="I2115" s="1092"/>
    </row>
    <row r="2116" spans="8:9">
      <c r="H2116" s="1092"/>
      <c r="I2116" s="1092"/>
    </row>
    <row r="2117" spans="8:9">
      <c r="H2117" s="1092"/>
      <c r="I2117" s="1092"/>
    </row>
    <row r="2118" spans="8:9">
      <c r="H2118" s="1092"/>
      <c r="I2118" s="1092"/>
    </row>
    <row r="2119" spans="8:9">
      <c r="H2119" s="1092"/>
      <c r="I2119" s="1092"/>
    </row>
    <row r="2120" spans="8:9">
      <c r="H2120" s="1092"/>
      <c r="I2120" s="1092"/>
    </row>
    <row r="2121" spans="8:9">
      <c r="H2121" s="1092"/>
      <c r="I2121" s="1092"/>
    </row>
    <row r="2122" spans="8:9">
      <c r="H2122" s="1092"/>
      <c r="I2122" s="1092"/>
    </row>
    <row r="2123" spans="8:9">
      <c r="H2123" s="1092"/>
      <c r="I2123" s="1092"/>
    </row>
    <row r="2124" spans="8:9">
      <c r="H2124" s="1092"/>
      <c r="I2124" s="1092"/>
    </row>
    <row r="2125" spans="8:9">
      <c r="H2125" s="1092"/>
      <c r="I2125" s="1092"/>
    </row>
    <row r="2126" spans="8:9">
      <c r="H2126" s="1092"/>
      <c r="I2126" s="1092"/>
    </row>
    <row r="2127" spans="8:9">
      <c r="H2127" s="1092"/>
      <c r="I2127" s="1092"/>
    </row>
    <row r="2128" spans="8:9">
      <c r="H2128" s="1092"/>
      <c r="I2128" s="1092"/>
    </row>
    <row r="2129" spans="8:9">
      <c r="H2129" s="1092"/>
      <c r="I2129" s="1092"/>
    </row>
    <row r="2130" spans="8:9">
      <c r="H2130" s="1092"/>
      <c r="I2130" s="1092"/>
    </row>
    <row r="2131" spans="8:9">
      <c r="H2131" s="1092"/>
      <c r="I2131" s="1092"/>
    </row>
    <row r="2132" spans="8:9">
      <c r="H2132" s="1092"/>
      <c r="I2132" s="1092"/>
    </row>
    <row r="2133" spans="8:9">
      <c r="H2133" s="1092"/>
      <c r="I2133" s="1092"/>
    </row>
    <row r="2134" spans="8:9">
      <c r="H2134" s="1092"/>
      <c r="I2134" s="1092"/>
    </row>
    <row r="2135" spans="8:9">
      <c r="H2135" s="1092"/>
      <c r="I2135" s="1092"/>
    </row>
    <row r="2136" spans="8:9">
      <c r="H2136" s="1092"/>
      <c r="I2136" s="1092"/>
    </row>
    <row r="2137" spans="8:9">
      <c r="H2137" s="1092"/>
      <c r="I2137" s="1092"/>
    </row>
    <row r="2138" spans="8:9">
      <c r="H2138" s="1092"/>
      <c r="I2138" s="1092"/>
    </row>
    <row r="2139" spans="8:9">
      <c r="H2139" s="1092"/>
      <c r="I2139" s="1092"/>
    </row>
    <row r="2140" spans="8:9">
      <c r="H2140" s="1092"/>
      <c r="I2140" s="1092"/>
    </row>
    <row r="2141" spans="8:9">
      <c r="H2141" s="1092"/>
      <c r="I2141" s="1092"/>
    </row>
    <row r="2142" spans="8:9">
      <c r="H2142" s="1092"/>
      <c r="I2142" s="1092"/>
    </row>
    <row r="2143" spans="8:9">
      <c r="H2143" s="1092"/>
      <c r="I2143" s="1092"/>
    </row>
    <row r="2144" spans="8:9">
      <c r="H2144" s="1092"/>
      <c r="I2144" s="1092"/>
    </row>
    <row r="2145" spans="8:9">
      <c r="H2145" s="1092"/>
      <c r="I2145" s="1092"/>
    </row>
    <row r="2146" spans="8:9">
      <c r="H2146" s="1092"/>
      <c r="I2146" s="1092"/>
    </row>
    <row r="2147" spans="8:9">
      <c r="H2147" s="1092"/>
      <c r="I2147" s="1092"/>
    </row>
    <row r="2148" spans="8:9">
      <c r="H2148" s="1092"/>
      <c r="I2148" s="1092"/>
    </row>
    <row r="2149" spans="8:9">
      <c r="H2149" s="1092"/>
      <c r="I2149" s="1092"/>
    </row>
    <row r="2150" spans="8:9">
      <c r="H2150" s="1092"/>
      <c r="I2150" s="1092"/>
    </row>
    <row r="2151" spans="8:9">
      <c r="H2151" s="1092"/>
      <c r="I2151" s="1092"/>
    </row>
    <row r="2152" spans="8:9">
      <c r="H2152" s="1092"/>
      <c r="I2152" s="1092"/>
    </row>
    <row r="2153" spans="8:9">
      <c r="H2153" s="1092"/>
      <c r="I2153" s="1092"/>
    </row>
    <row r="2154" spans="8:9">
      <c r="H2154" s="1092"/>
      <c r="I2154" s="1092"/>
    </row>
    <row r="2155" spans="8:9">
      <c r="H2155" s="1092"/>
      <c r="I2155" s="1092"/>
    </row>
    <row r="2156" spans="8:9">
      <c r="H2156" s="1092"/>
      <c r="I2156" s="1092"/>
    </row>
    <row r="2157" spans="8:9">
      <c r="H2157" s="1092"/>
      <c r="I2157" s="1092"/>
    </row>
    <row r="2158" spans="8:9">
      <c r="H2158" s="1092"/>
      <c r="I2158" s="1092"/>
    </row>
    <row r="2159" spans="8:9">
      <c r="H2159" s="1092"/>
      <c r="I2159" s="1092"/>
    </row>
    <row r="2160" spans="8:9">
      <c r="H2160" s="1092"/>
      <c r="I2160" s="1092"/>
    </row>
    <row r="2161" spans="8:9">
      <c r="H2161" s="1092"/>
      <c r="I2161" s="1092"/>
    </row>
    <row r="2162" spans="8:9">
      <c r="H2162" s="1092"/>
      <c r="I2162" s="1092"/>
    </row>
    <row r="2163" spans="8:9">
      <c r="H2163" s="1092"/>
      <c r="I2163" s="1092"/>
    </row>
    <row r="2164" spans="8:9">
      <c r="H2164" s="1092"/>
      <c r="I2164" s="1092"/>
    </row>
    <row r="2165" spans="8:9">
      <c r="H2165" s="1092"/>
      <c r="I2165" s="1092"/>
    </row>
    <row r="2166" spans="8:9">
      <c r="H2166" s="1092"/>
      <c r="I2166" s="1092"/>
    </row>
    <row r="2167" spans="8:9">
      <c r="H2167" s="1092"/>
      <c r="I2167" s="1092"/>
    </row>
    <row r="2168" spans="8:9">
      <c r="H2168" s="1092"/>
      <c r="I2168" s="1092"/>
    </row>
    <row r="2169" spans="8:9">
      <c r="H2169" s="1092"/>
      <c r="I2169" s="1092"/>
    </row>
    <row r="2170" spans="8:9">
      <c r="H2170" s="1092"/>
      <c r="I2170" s="1092"/>
    </row>
    <row r="2171" spans="8:9">
      <c r="H2171" s="1092"/>
      <c r="I2171" s="1092"/>
    </row>
    <row r="2172" spans="8:9">
      <c r="H2172" s="1092"/>
      <c r="I2172" s="1092"/>
    </row>
    <row r="2173" spans="8:9">
      <c r="H2173" s="1092"/>
      <c r="I2173" s="1092"/>
    </row>
    <row r="2174" spans="8:9">
      <c r="H2174" s="1092"/>
      <c r="I2174" s="1092"/>
    </row>
    <row r="2175" spans="8:9">
      <c r="H2175" s="1092"/>
      <c r="I2175" s="1092"/>
    </row>
    <row r="2176" spans="8:9">
      <c r="H2176" s="1092"/>
      <c r="I2176" s="1092"/>
    </row>
    <row r="2177" spans="8:9">
      <c r="H2177" s="1092"/>
      <c r="I2177" s="1092"/>
    </row>
    <row r="2178" spans="8:9">
      <c r="H2178" s="1092"/>
      <c r="I2178" s="1092"/>
    </row>
    <row r="2179" spans="8:9">
      <c r="H2179" s="1092"/>
      <c r="I2179" s="1092"/>
    </row>
    <row r="2180" spans="8:9">
      <c r="H2180" s="1092"/>
      <c r="I2180" s="1092"/>
    </row>
    <row r="2181" spans="8:9">
      <c r="H2181" s="1092"/>
      <c r="I2181" s="1092"/>
    </row>
    <row r="2182" spans="8:9">
      <c r="H2182" s="1092"/>
      <c r="I2182" s="1092"/>
    </row>
    <row r="2183" spans="8:9">
      <c r="H2183" s="1092"/>
      <c r="I2183" s="1092"/>
    </row>
    <row r="2184" spans="8:9">
      <c r="H2184" s="1092"/>
      <c r="I2184" s="1092"/>
    </row>
    <row r="2185" spans="8:9">
      <c r="H2185" s="1092"/>
      <c r="I2185" s="1092"/>
    </row>
    <row r="2186" spans="8:9">
      <c r="H2186" s="1092"/>
      <c r="I2186" s="1092"/>
    </row>
    <row r="2187" spans="8:9">
      <c r="H2187" s="1092"/>
      <c r="I2187" s="1092"/>
    </row>
    <row r="2188" spans="8:9">
      <c r="H2188" s="1092"/>
      <c r="I2188" s="1092"/>
    </row>
    <row r="2189" spans="8:9">
      <c r="H2189" s="1092"/>
      <c r="I2189" s="1092"/>
    </row>
    <row r="2190" spans="8:9">
      <c r="H2190" s="1092"/>
      <c r="I2190" s="1092"/>
    </row>
    <row r="2191" spans="8:9">
      <c r="H2191" s="1092"/>
      <c r="I2191" s="1092"/>
    </row>
    <row r="2192" spans="8:9">
      <c r="H2192" s="1092"/>
      <c r="I2192" s="1092"/>
    </row>
    <row r="2193" spans="8:9">
      <c r="H2193" s="1092"/>
      <c r="I2193" s="1092"/>
    </row>
    <row r="2194" spans="8:9">
      <c r="H2194" s="1092"/>
      <c r="I2194" s="1092"/>
    </row>
    <row r="2195" spans="8:9">
      <c r="H2195" s="1092"/>
      <c r="I2195" s="1092"/>
    </row>
    <row r="2196" spans="8:9">
      <c r="H2196" s="1092"/>
      <c r="I2196" s="1092"/>
    </row>
    <row r="2197" spans="8:9">
      <c r="H2197" s="1092"/>
      <c r="I2197" s="1092"/>
    </row>
    <row r="2198" spans="8:9">
      <c r="H2198" s="1092"/>
      <c r="I2198" s="1092"/>
    </row>
    <row r="2199" spans="8:9">
      <c r="H2199" s="1092"/>
      <c r="I2199" s="1092"/>
    </row>
    <row r="2200" spans="8:9">
      <c r="H2200" s="1092"/>
      <c r="I2200" s="1092"/>
    </row>
    <row r="2201" spans="8:9">
      <c r="H2201" s="1092"/>
      <c r="I2201" s="1092"/>
    </row>
    <row r="2202" spans="8:9">
      <c r="H2202" s="1092"/>
      <c r="I2202" s="1092"/>
    </row>
    <row r="2203" spans="8:9">
      <c r="H2203" s="1092"/>
      <c r="I2203" s="1092"/>
    </row>
    <row r="2204" spans="8:9">
      <c r="H2204" s="1092"/>
      <c r="I2204" s="1092"/>
    </row>
    <row r="2205" spans="8:9">
      <c r="H2205" s="1092"/>
      <c r="I2205" s="1092"/>
    </row>
    <row r="2206" spans="8:9">
      <c r="H2206" s="1092"/>
      <c r="I2206" s="1092"/>
    </row>
    <row r="2207" spans="8:9">
      <c r="H2207" s="1092"/>
      <c r="I2207" s="1092"/>
    </row>
    <row r="2208" spans="8:9">
      <c r="H2208" s="1092"/>
      <c r="I2208" s="1092"/>
    </row>
    <row r="2209" spans="8:9">
      <c r="H2209" s="1092"/>
      <c r="I2209" s="1092"/>
    </row>
    <row r="2210" spans="8:9">
      <c r="H2210" s="1092"/>
      <c r="I2210" s="1092"/>
    </row>
    <row r="2211" spans="8:9">
      <c r="H2211" s="1092"/>
      <c r="I2211" s="1092"/>
    </row>
    <row r="2212" spans="8:9">
      <c r="H2212" s="1092"/>
      <c r="I2212" s="1092"/>
    </row>
    <row r="2213" spans="8:9">
      <c r="H2213" s="1092"/>
      <c r="I2213" s="1092"/>
    </row>
    <row r="2214" spans="8:9">
      <c r="H2214" s="1092"/>
      <c r="I2214" s="1092"/>
    </row>
    <row r="2215" spans="8:9">
      <c r="H2215" s="1092"/>
      <c r="I2215" s="1092"/>
    </row>
    <row r="2216" spans="8:9">
      <c r="H2216" s="1092"/>
      <c r="I2216" s="1092"/>
    </row>
    <row r="2217" spans="8:9">
      <c r="H2217" s="1092"/>
      <c r="I2217" s="1092"/>
    </row>
    <row r="2218" spans="8:9">
      <c r="H2218" s="1092"/>
      <c r="I2218" s="1092"/>
    </row>
    <row r="2219" spans="8:9">
      <c r="H2219" s="1092"/>
      <c r="I2219" s="1092"/>
    </row>
    <row r="2220" spans="8:9">
      <c r="H2220" s="1092"/>
      <c r="I2220" s="1092"/>
    </row>
    <row r="2221" spans="8:9">
      <c r="H2221" s="1092"/>
      <c r="I2221" s="1092"/>
    </row>
    <row r="2222" spans="8:9">
      <c r="H2222" s="1092"/>
      <c r="I2222" s="1092"/>
    </row>
    <row r="2223" spans="8:9">
      <c r="H2223" s="1092"/>
      <c r="I2223" s="1092"/>
    </row>
    <row r="2224" spans="8:9">
      <c r="H2224" s="1092"/>
      <c r="I2224" s="1092"/>
    </row>
    <row r="2225" spans="8:9">
      <c r="H2225" s="1092"/>
      <c r="I2225" s="1092"/>
    </row>
    <row r="2226" spans="8:9">
      <c r="H2226" s="1092"/>
      <c r="I2226" s="1092"/>
    </row>
    <row r="2227" spans="8:9">
      <c r="H2227" s="1092"/>
      <c r="I2227" s="1092"/>
    </row>
    <row r="2228" spans="8:9">
      <c r="H2228" s="1092"/>
      <c r="I2228" s="1092"/>
    </row>
    <row r="2229" spans="8:9">
      <c r="H2229" s="1092"/>
      <c r="I2229" s="1092"/>
    </row>
    <row r="2230" spans="8:9">
      <c r="H2230" s="1092"/>
      <c r="I2230" s="1092"/>
    </row>
    <row r="2231" spans="8:9">
      <c r="H2231" s="1092"/>
      <c r="I2231" s="1092"/>
    </row>
    <row r="2232" spans="8:9">
      <c r="H2232" s="1092"/>
      <c r="I2232" s="1092"/>
    </row>
    <row r="2233" spans="8:9">
      <c r="H2233" s="1092"/>
      <c r="I2233" s="1092"/>
    </row>
    <row r="2234" spans="8:9">
      <c r="H2234" s="1092"/>
      <c r="I2234" s="1092"/>
    </row>
    <row r="2235" spans="8:9">
      <c r="H2235" s="1092"/>
      <c r="I2235" s="1092"/>
    </row>
    <row r="2236" spans="8:9">
      <c r="H2236" s="1092"/>
      <c r="I2236" s="1092"/>
    </row>
    <row r="2237" spans="8:9">
      <c r="H2237" s="1092"/>
      <c r="I2237" s="1092"/>
    </row>
    <row r="2238" spans="8:9">
      <c r="H2238" s="1092"/>
      <c r="I2238" s="1092"/>
    </row>
    <row r="2239" spans="8:9">
      <c r="H2239" s="1092"/>
      <c r="I2239" s="1092"/>
    </row>
    <row r="2240" spans="8:9">
      <c r="H2240" s="1092"/>
      <c r="I2240" s="1092"/>
    </row>
    <row r="2241" spans="8:9">
      <c r="H2241" s="1092"/>
      <c r="I2241" s="1092"/>
    </row>
    <row r="2242" spans="8:9">
      <c r="H2242" s="1092"/>
      <c r="I2242" s="1092"/>
    </row>
    <row r="2243" spans="8:9">
      <c r="H2243" s="1092"/>
      <c r="I2243" s="1092"/>
    </row>
    <row r="2244" spans="8:9">
      <c r="H2244" s="1092"/>
      <c r="I2244" s="1092"/>
    </row>
    <row r="2245" spans="8:9">
      <c r="H2245" s="1092"/>
      <c r="I2245" s="1092"/>
    </row>
    <row r="2246" spans="8:9">
      <c r="H2246" s="1092"/>
      <c r="I2246" s="1092"/>
    </row>
    <row r="2247" spans="8:9">
      <c r="H2247" s="1092"/>
      <c r="I2247" s="1092"/>
    </row>
    <row r="2248" spans="8:9">
      <c r="H2248" s="1092"/>
      <c r="I2248" s="1092"/>
    </row>
    <row r="2249" spans="8:9">
      <c r="H2249" s="1092"/>
      <c r="I2249" s="1092"/>
    </row>
    <row r="2250" spans="8:9">
      <c r="H2250" s="1092"/>
      <c r="I2250" s="1092"/>
    </row>
    <row r="2251" spans="8:9">
      <c r="H2251" s="1092"/>
      <c r="I2251" s="1092"/>
    </row>
    <row r="2252" spans="8:9">
      <c r="H2252" s="1092"/>
      <c r="I2252" s="1092"/>
    </row>
    <row r="2253" spans="8:9">
      <c r="H2253" s="1092"/>
      <c r="I2253" s="1092"/>
    </row>
    <row r="2254" spans="8:9">
      <c r="H2254" s="1092"/>
      <c r="I2254" s="1092"/>
    </row>
    <row r="2255" spans="8:9">
      <c r="H2255" s="1092"/>
      <c r="I2255" s="1092"/>
    </row>
    <row r="2256" spans="8:9">
      <c r="H2256" s="1092"/>
      <c r="I2256" s="1092"/>
    </row>
    <row r="2257" spans="8:9">
      <c r="H2257" s="1092"/>
      <c r="I2257" s="1092"/>
    </row>
    <row r="2258" spans="8:9">
      <c r="H2258" s="1092"/>
      <c r="I2258" s="1092"/>
    </row>
    <row r="2259" spans="8:9">
      <c r="H2259" s="1092"/>
      <c r="I2259" s="1092"/>
    </row>
    <row r="2260" spans="8:9">
      <c r="H2260" s="1092"/>
      <c r="I2260" s="1092"/>
    </row>
    <row r="2261" spans="8:9">
      <c r="H2261" s="1092"/>
      <c r="I2261" s="1092"/>
    </row>
    <row r="2262" spans="8:9">
      <c r="H2262" s="1092"/>
      <c r="I2262" s="1092"/>
    </row>
    <row r="2263" spans="8:9">
      <c r="H2263" s="1092"/>
      <c r="I2263" s="1092"/>
    </row>
    <row r="2264" spans="8:9">
      <c r="H2264" s="1092"/>
      <c r="I2264" s="1092"/>
    </row>
    <row r="2265" spans="8:9">
      <c r="H2265" s="1092"/>
      <c r="I2265" s="1092"/>
    </row>
    <row r="2266" spans="8:9">
      <c r="H2266" s="1092"/>
      <c r="I2266" s="1092"/>
    </row>
    <row r="2267" spans="8:9">
      <c r="H2267" s="1092"/>
      <c r="I2267" s="1092"/>
    </row>
    <row r="2268" spans="8:9">
      <c r="H2268" s="1092"/>
      <c r="I2268" s="1092"/>
    </row>
    <row r="2269" spans="8:9">
      <c r="H2269" s="1092"/>
      <c r="I2269" s="1092"/>
    </row>
    <row r="2270" spans="8:9">
      <c r="H2270" s="1092"/>
      <c r="I2270" s="1092"/>
    </row>
    <row r="2271" spans="8:9">
      <c r="H2271" s="1092"/>
      <c r="I2271" s="1092"/>
    </row>
    <row r="2272" spans="8:9">
      <c r="H2272" s="1092"/>
      <c r="I2272" s="1092"/>
    </row>
    <row r="2273" spans="8:9">
      <c r="H2273" s="1092"/>
      <c r="I2273" s="1092"/>
    </row>
    <row r="2274" spans="8:9">
      <c r="H2274" s="1092"/>
      <c r="I2274" s="1092"/>
    </row>
    <row r="2275" spans="8:9">
      <c r="H2275" s="1092"/>
      <c r="I2275" s="1092"/>
    </row>
    <row r="2276" spans="8:9">
      <c r="H2276" s="1092"/>
      <c r="I2276" s="1092"/>
    </row>
    <row r="2277" spans="8:9">
      <c r="H2277" s="1092"/>
      <c r="I2277" s="1092"/>
    </row>
    <row r="2278" spans="8:9">
      <c r="H2278" s="1092"/>
      <c r="I2278" s="1092"/>
    </row>
    <row r="2279" spans="8:9">
      <c r="H2279" s="1092"/>
      <c r="I2279" s="1092"/>
    </row>
    <row r="2280" spans="8:9">
      <c r="H2280" s="1092"/>
      <c r="I2280" s="1092"/>
    </row>
    <row r="2281" spans="8:9">
      <c r="H2281" s="1092"/>
      <c r="I2281" s="1092"/>
    </row>
    <row r="2282" spans="8:9">
      <c r="H2282" s="1092"/>
      <c r="I2282" s="1092"/>
    </row>
    <row r="2283" spans="8:9">
      <c r="H2283" s="1092"/>
      <c r="I2283" s="1092"/>
    </row>
    <row r="2284" spans="8:9">
      <c r="H2284" s="1092"/>
      <c r="I2284" s="1092"/>
    </row>
    <row r="2285" spans="8:9">
      <c r="H2285" s="1092"/>
      <c r="I2285" s="1092"/>
    </row>
    <row r="2286" spans="8:9">
      <c r="H2286" s="1092"/>
      <c r="I2286" s="1092"/>
    </row>
    <row r="2287" spans="8:9">
      <c r="H2287" s="1092"/>
      <c r="I2287" s="1092"/>
    </row>
    <row r="2288" spans="8:9">
      <c r="H2288" s="1092"/>
      <c r="I2288" s="1092"/>
    </row>
    <row r="2289" spans="8:9">
      <c r="H2289" s="1092"/>
      <c r="I2289" s="1092"/>
    </row>
    <row r="2290" spans="8:9">
      <c r="H2290" s="1092"/>
      <c r="I2290" s="1092"/>
    </row>
    <row r="2291" spans="8:9">
      <c r="H2291" s="1092"/>
      <c r="I2291" s="1092"/>
    </row>
    <row r="2292" spans="8:9">
      <c r="H2292" s="1092"/>
      <c r="I2292" s="1092"/>
    </row>
    <row r="2293" spans="8:9">
      <c r="H2293" s="1092"/>
      <c r="I2293" s="1092"/>
    </row>
    <row r="2294" spans="8:9">
      <c r="H2294" s="1092"/>
      <c r="I2294" s="1092"/>
    </row>
    <row r="2295" spans="8:9">
      <c r="H2295" s="1092"/>
      <c r="I2295" s="1092"/>
    </row>
    <row r="2296" spans="8:9">
      <c r="H2296" s="1092"/>
      <c r="I2296" s="1092"/>
    </row>
    <row r="2297" spans="8:9">
      <c r="H2297" s="1092"/>
      <c r="I2297" s="1092"/>
    </row>
    <row r="2298" spans="8:9">
      <c r="H2298" s="1092"/>
      <c r="I2298" s="1092"/>
    </row>
    <row r="2299" spans="8:9">
      <c r="H2299" s="1092"/>
      <c r="I2299" s="1092"/>
    </row>
    <row r="2300" spans="8:9">
      <c r="H2300" s="1092"/>
      <c r="I2300" s="1092"/>
    </row>
    <row r="2301" spans="8:9">
      <c r="H2301" s="1092"/>
      <c r="I2301" s="1092"/>
    </row>
    <row r="2302" spans="8:9">
      <c r="H2302" s="1092"/>
      <c r="I2302" s="1092"/>
    </row>
    <row r="2303" spans="8:9">
      <c r="H2303" s="1092"/>
      <c r="I2303" s="1092"/>
    </row>
    <row r="2304" spans="8:9">
      <c r="H2304" s="1092"/>
      <c r="I2304" s="1092"/>
    </row>
    <row r="2305" spans="8:9">
      <c r="H2305" s="1092"/>
      <c r="I2305" s="1092"/>
    </row>
    <row r="2306" spans="8:9">
      <c r="H2306" s="1092"/>
      <c r="I2306" s="1092"/>
    </row>
    <row r="2307" spans="8:9">
      <c r="H2307" s="1092"/>
      <c r="I2307" s="1092"/>
    </row>
    <row r="2308" spans="8:9">
      <c r="H2308" s="1092"/>
      <c r="I2308" s="1092"/>
    </row>
    <row r="2309" spans="8:9">
      <c r="H2309" s="1092"/>
      <c r="I2309" s="1092"/>
    </row>
    <row r="2310" spans="8:9">
      <c r="H2310" s="1092"/>
      <c r="I2310" s="1092"/>
    </row>
    <row r="2311" spans="8:9">
      <c r="H2311" s="1092"/>
      <c r="I2311" s="1092"/>
    </row>
    <row r="2312" spans="8:9">
      <c r="H2312" s="1092"/>
      <c r="I2312" s="1092"/>
    </row>
    <row r="2313" spans="8:9">
      <c r="H2313" s="1092"/>
      <c r="I2313" s="1092"/>
    </row>
    <row r="2314" spans="8:9">
      <c r="H2314" s="1092"/>
      <c r="I2314" s="1092"/>
    </row>
    <row r="2315" spans="8:9">
      <c r="H2315" s="1092"/>
      <c r="I2315" s="1092"/>
    </row>
    <row r="2316" spans="8:9">
      <c r="H2316" s="1092"/>
      <c r="I2316" s="1092"/>
    </row>
    <row r="2317" spans="8:9">
      <c r="H2317" s="1092"/>
      <c r="I2317" s="1092"/>
    </row>
    <row r="2318" spans="8:9">
      <c r="H2318" s="1092"/>
      <c r="I2318" s="1092"/>
    </row>
    <row r="2319" spans="8:9">
      <c r="H2319" s="1092"/>
      <c r="I2319" s="1092"/>
    </row>
    <row r="2320" spans="8:9">
      <c r="H2320" s="1092"/>
      <c r="I2320" s="1092"/>
    </row>
    <row r="2321" spans="8:9">
      <c r="H2321" s="1092"/>
      <c r="I2321" s="1092"/>
    </row>
    <row r="2322" spans="8:9">
      <c r="H2322" s="1092"/>
      <c r="I2322" s="1092"/>
    </row>
    <row r="2323" spans="8:9">
      <c r="H2323" s="1092"/>
      <c r="I2323" s="1092"/>
    </row>
    <row r="2324" spans="8:9">
      <c r="H2324" s="1092"/>
      <c r="I2324" s="1092"/>
    </row>
    <row r="2325" spans="8:9">
      <c r="H2325" s="1092"/>
      <c r="I2325" s="1092"/>
    </row>
    <row r="2326" spans="8:9">
      <c r="H2326" s="1092"/>
      <c r="I2326" s="1092"/>
    </row>
    <row r="2327" spans="8:9">
      <c r="H2327" s="1092"/>
      <c r="I2327" s="1092"/>
    </row>
    <row r="2328" spans="8:9">
      <c r="H2328" s="1092"/>
      <c r="I2328" s="1092"/>
    </row>
    <row r="2329" spans="8:9">
      <c r="H2329" s="1092"/>
      <c r="I2329" s="1092"/>
    </row>
    <row r="2330" spans="8:9">
      <c r="H2330" s="1092"/>
      <c r="I2330" s="1092"/>
    </row>
    <row r="2331" spans="8:9">
      <c r="H2331" s="1092"/>
      <c r="I2331" s="1092"/>
    </row>
    <row r="2332" spans="8:9">
      <c r="H2332" s="1092"/>
      <c r="I2332" s="1092"/>
    </row>
    <row r="2333" spans="8:9">
      <c r="H2333" s="1092"/>
      <c r="I2333" s="1092"/>
    </row>
    <row r="2334" spans="8:9">
      <c r="H2334" s="1092"/>
      <c r="I2334" s="1092"/>
    </row>
    <row r="2335" spans="8:9">
      <c r="H2335" s="1092"/>
      <c r="I2335" s="1092"/>
    </row>
    <row r="2336" spans="8:9">
      <c r="H2336" s="1092"/>
      <c r="I2336" s="1092"/>
    </row>
    <row r="2337" spans="8:9">
      <c r="H2337" s="1092"/>
      <c r="I2337" s="1092"/>
    </row>
    <row r="2338" spans="8:9">
      <c r="H2338" s="1092"/>
      <c r="I2338" s="1092"/>
    </row>
    <row r="2339" spans="8:9">
      <c r="H2339" s="1092"/>
      <c r="I2339" s="1092"/>
    </row>
    <row r="2340" spans="8:9">
      <c r="H2340" s="1092"/>
      <c r="I2340" s="1092"/>
    </row>
    <row r="2341" spans="8:9">
      <c r="H2341" s="1092"/>
      <c r="I2341" s="1092"/>
    </row>
    <row r="2342" spans="8:9">
      <c r="H2342" s="1092"/>
      <c r="I2342" s="1092"/>
    </row>
    <row r="2343" spans="8:9">
      <c r="H2343" s="1092"/>
      <c r="I2343" s="1092"/>
    </row>
    <row r="2344" spans="8:9">
      <c r="H2344" s="1092"/>
      <c r="I2344" s="1092"/>
    </row>
    <row r="2345" spans="8:9">
      <c r="H2345" s="1092"/>
      <c r="I2345" s="1092"/>
    </row>
    <row r="2346" spans="8:9">
      <c r="H2346" s="1092"/>
      <c r="I2346" s="1092"/>
    </row>
    <row r="2347" spans="8:9">
      <c r="H2347" s="1092"/>
      <c r="I2347" s="1092"/>
    </row>
    <row r="2348" spans="8:9">
      <c r="H2348" s="1092"/>
      <c r="I2348" s="1092"/>
    </row>
    <row r="2349" spans="8:9">
      <c r="H2349" s="1092"/>
      <c r="I2349" s="1092"/>
    </row>
    <row r="2350" spans="8:9">
      <c r="H2350" s="1092"/>
      <c r="I2350" s="1092"/>
    </row>
    <row r="2351" spans="8:9">
      <c r="H2351" s="1092"/>
      <c r="I2351" s="1092"/>
    </row>
    <row r="2352" spans="8:9">
      <c r="H2352" s="1092"/>
      <c r="I2352" s="1092"/>
    </row>
    <row r="2353" spans="8:9">
      <c r="H2353" s="1092"/>
      <c r="I2353" s="1092"/>
    </row>
    <row r="2354" spans="8:9">
      <c r="H2354" s="1092"/>
      <c r="I2354" s="1092"/>
    </row>
    <row r="2355" spans="8:9">
      <c r="H2355" s="1092"/>
      <c r="I2355" s="1092"/>
    </row>
    <row r="2356" spans="8:9">
      <c r="H2356" s="1092"/>
      <c r="I2356" s="1092"/>
    </row>
    <row r="2357" spans="8:9">
      <c r="H2357" s="1092"/>
      <c r="I2357" s="1092"/>
    </row>
    <row r="2358" spans="8:9">
      <c r="H2358" s="1092"/>
      <c r="I2358" s="1092"/>
    </row>
    <row r="2359" spans="8:9">
      <c r="H2359" s="1092"/>
      <c r="I2359" s="1092"/>
    </row>
    <row r="2360" spans="8:9">
      <c r="H2360" s="1092"/>
      <c r="I2360" s="1092"/>
    </row>
    <row r="2361" spans="8:9">
      <c r="H2361" s="1092"/>
      <c r="I2361" s="1092"/>
    </row>
    <row r="2362" spans="8:9">
      <c r="H2362" s="1092"/>
      <c r="I2362" s="1092"/>
    </row>
    <row r="2363" spans="8:9">
      <c r="H2363" s="1092"/>
      <c r="I2363" s="1092"/>
    </row>
    <row r="2364" spans="8:9">
      <c r="H2364" s="1092"/>
      <c r="I2364" s="1092"/>
    </row>
    <row r="2365" spans="8:9">
      <c r="H2365" s="1092"/>
      <c r="I2365" s="1092"/>
    </row>
    <row r="2366" spans="8:9">
      <c r="H2366" s="1092"/>
      <c r="I2366" s="1092"/>
    </row>
    <row r="2367" spans="8:9">
      <c r="H2367" s="1092"/>
      <c r="I2367" s="1092"/>
    </row>
    <row r="2368" spans="8:9">
      <c r="H2368" s="1092"/>
      <c r="I2368" s="1092"/>
    </row>
    <row r="2369" spans="8:9">
      <c r="H2369" s="1092"/>
      <c r="I2369" s="1092"/>
    </row>
    <row r="2370" spans="8:9">
      <c r="H2370" s="1092"/>
      <c r="I2370" s="1092"/>
    </row>
    <row r="2371" spans="8:9">
      <c r="H2371" s="1092"/>
      <c r="I2371" s="1092"/>
    </row>
    <row r="2372" spans="8:9">
      <c r="H2372" s="1092"/>
      <c r="I2372" s="1092"/>
    </row>
    <row r="2373" spans="8:9">
      <c r="H2373" s="1092"/>
      <c r="I2373" s="1092"/>
    </row>
    <row r="2374" spans="8:9">
      <c r="H2374" s="1092"/>
      <c r="I2374" s="1092"/>
    </row>
    <row r="2375" spans="8:9">
      <c r="H2375" s="1092"/>
      <c r="I2375" s="1092"/>
    </row>
    <row r="2376" spans="8:9">
      <c r="H2376" s="1092"/>
      <c r="I2376" s="1092"/>
    </row>
    <row r="2377" spans="8:9">
      <c r="H2377" s="1092"/>
      <c r="I2377" s="1092"/>
    </row>
    <row r="2378" spans="8:9">
      <c r="H2378" s="1092"/>
      <c r="I2378" s="1092"/>
    </row>
    <row r="2379" spans="8:9">
      <c r="H2379" s="1092"/>
      <c r="I2379" s="1092"/>
    </row>
    <row r="2380" spans="8:9">
      <c r="H2380" s="1092"/>
      <c r="I2380" s="1092"/>
    </row>
    <row r="2381" spans="8:9">
      <c r="H2381" s="1092"/>
      <c r="I2381" s="1092"/>
    </row>
    <row r="2382" spans="8:9">
      <c r="H2382" s="1092"/>
      <c r="I2382" s="1092"/>
    </row>
    <row r="2383" spans="8:9">
      <c r="H2383" s="1092"/>
      <c r="I2383" s="1092"/>
    </row>
    <row r="2384" spans="8:9">
      <c r="H2384" s="1092"/>
      <c r="I2384" s="1092"/>
    </row>
    <row r="2385" spans="8:9">
      <c r="H2385" s="1092"/>
      <c r="I2385" s="1092"/>
    </row>
    <row r="2386" spans="8:9">
      <c r="H2386" s="1092"/>
      <c r="I2386" s="1092"/>
    </row>
    <row r="2387" spans="8:9">
      <c r="H2387" s="1092"/>
      <c r="I2387" s="1092"/>
    </row>
    <row r="2388" spans="8:9">
      <c r="H2388" s="1092"/>
      <c r="I2388" s="1092"/>
    </row>
    <row r="2389" spans="8:9">
      <c r="H2389" s="1092"/>
      <c r="I2389" s="1092"/>
    </row>
    <row r="2390" spans="8:9">
      <c r="H2390" s="1092"/>
      <c r="I2390" s="1092"/>
    </row>
    <row r="2391" spans="8:9">
      <c r="H2391" s="1092"/>
      <c r="I2391" s="1092"/>
    </row>
    <row r="2392" spans="8:9">
      <c r="H2392" s="1092"/>
      <c r="I2392" s="1092"/>
    </row>
    <row r="2393" spans="8:9">
      <c r="H2393" s="1092"/>
      <c r="I2393" s="1092"/>
    </row>
    <row r="2394" spans="8:9">
      <c r="H2394" s="1092"/>
      <c r="I2394" s="1092"/>
    </row>
    <row r="2395" spans="8:9">
      <c r="H2395" s="1092"/>
      <c r="I2395" s="1092"/>
    </row>
    <row r="2396" spans="8:9">
      <c r="H2396" s="1092"/>
      <c r="I2396" s="1092"/>
    </row>
    <row r="2397" spans="8:9">
      <c r="H2397" s="1092"/>
      <c r="I2397" s="1092"/>
    </row>
    <row r="2398" spans="8:9">
      <c r="H2398" s="1092"/>
      <c r="I2398" s="1092"/>
    </row>
    <row r="2399" spans="8:9">
      <c r="H2399" s="1092"/>
      <c r="I2399" s="1092"/>
    </row>
    <row r="2400" spans="8:9">
      <c r="H2400" s="1092"/>
      <c r="I2400" s="1092"/>
    </row>
    <row r="2401" spans="8:9">
      <c r="H2401" s="1092"/>
      <c r="I2401" s="1092"/>
    </row>
    <row r="2402" spans="8:9">
      <c r="H2402" s="1092"/>
      <c r="I2402" s="1092"/>
    </row>
    <row r="2403" spans="8:9">
      <c r="H2403" s="1092"/>
      <c r="I2403" s="1092"/>
    </row>
    <row r="2404" spans="8:9">
      <c r="H2404" s="1092"/>
      <c r="I2404" s="1092"/>
    </row>
    <row r="2405" spans="8:9">
      <c r="H2405" s="1092"/>
      <c r="I2405" s="1092"/>
    </row>
    <row r="2406" spans="8:9">
      <c r="H2406" s="1092"/>
      <c r="I2406" s="1092"/>
    </row>
    <row r="2407" spans="8:9">
      <c r="H2407" s="1092"/>
      <c r="I2407" s="1092"/>
    </row>
    <row r="2408" spans="8:9">
      <c r="H2408" s="1092"/>
      <c r="I2408" s="1092"/>
    </row>
    <row r="2409" spans="8:9">
      <c r="H2409" s="1092"/>
      <c r="I2409" s="1092"/>
    </row>
    <row r="2410" spans="8:9">
      <c r="H2410" s="1092"/>
      <c r="I2410" s="1092"/>
    </row>
    <row r="2411" spans="8:9">
      <c r="H2411" s="1092"/>
      <c r="I2411" s="1092"/>
    </row>
    <row r="2412" spans="8:9">
      <c r="H2412" s="1092"/>
      <c r="I2412" s="1092"/>
    </row>
    <row r="2413" spans="8:9">
      <c r="H2413" s="1092"/>
      <c r="I2413" s="1092"/>
    </row>
    <row r="2414" spans="8:9">
      <c r="H2414" s="1092"/>
      <c r="I2414" s="1092"/>
    </row>
    <row r="2415" spans="8:9">
      <c r="H2415" s="1092"/>
      <c r="I2415" s="1092"/>
    </row>
    <row r="2416" spans="8:9">
      <c r="H2416" s="1092"/>
      <c r="I2416" s="1092"/>
    </row>
    <row r="2417" spans="8:9">
      <c r="H2417" s="1092"/>
      <c r="I2417" s="1092"/>
    </row>
    <row r="2418" spans="8:9">
      <c r="H2418" s="1092"/>
      <c r="I2418" s="1092"/>
    </row>
    <row r="2419" spans="8:9">
      <c r="H2419" s="1092"/>
      <c r="I2419" s="1092"/>
    </row>
    <row r="2420" spans="8:9">
      <c r="H2420" s="1092"/>
      <c r="I2420" s="1092"/>
    </row>
    <row r="2421" spans="8:9">
      <c r="H2421" s="1092"/>
      <c r="I2421" s="1092"/>
    </row>
    <row r="2422" spans="8:9">
      <c r="H2422" s="1092"/>
      <c r="I2422" s="1092"/>
    </row>
    <row r="2423" spans="8:9">
      <c r="H2423" s="1092"/>
      <c r="I2423" s="1092"/>
    </row>
    <row r="2424" spans="8:9">
      <c r="H2424" s="1092"/>
      <c r="I2424" s="1092"/>
    </row>
    <row r="2425" spans="8:9">
      <c r="H2425" s="1092"/>
      <c r="I2425" s="1092"/>
    </row>
    <row r="2426" spans="8:9">
      <c r="H2426" s="1092"/>
      <c r="I2426" s="1092"/>
    </row>
    <row r="2427" spans="8:9">
      <c r="H2427" s="1092"/>
      <c r="I2427" s="1092"/>
    </row>
    <row r="2428" spans="8:9">
      <c r="H2428" s="1092"/>
      <c r="I2428" s="1092"/>
    </row>
    <row r="2429" spans="8:9">
      <c r="H2429" s="1092"/>
      <c r="I2429" s="1092"/>
    </row>
    <row r="2430" spans="8:9">
      <c r="H2430" s="1092"/>
      <c r="I2430" s="1092"/>
    </row>
    <row r="2431" spans="8:9">
      <c r="H2431" s="1092"/>
      <c r="I2431" s="1092"/>
    </row>
    <row r="2432" spans="8:9">
      <c r="H2432" s="1092"/>
      <c r="I2432" s="1092"/>
    </row>
    <row r="2433" spans="8:9">
      <c r="H2433" s="1092"/>
      <c r="I2433" s="1092"/>
    </row>
    <row r="2434" spans="8:9">
      <c r="H2434" s="1092"/>
      <c r="I2434" s="1092"/>
    </row>
    <row r="2435" spans="8:9">
      <c r="H2435" s="1092"/>
      <c r="I2435" s="1092"/>
    </row>
    <row r="2436" spans="8:9">
      <c r="H2436" s="1092"/>
      <c r="I2436" s="1092"/>
    </row>
    <row r="2437" spans="8:9">
      <c r="H2437" s="1092"/>
      <c r="I2437" s="1092"/>
    </row>
    <row r="2438" spans="8:9">
      <c r="H2438" s="1092"/>
      <c r="I2438" s="1092"/>
    </row>
    <row r="2439" spans="8:9">
      <c r="H2439" s="1092"/>
      <c r="I2439" s="1092"/>
    </row>
    <row r="2440" spans="8:9">
      <c r="H2440" s="1092"/>
      <c r="I2440" s="1092"/>
    </row>
    <row r="2441" spans="8:9">
      <c r="H2441" s="1092"/>
      <c r="I2441" s="1092"/>
    </row>
    <row r="2442" spans="8:9">
      <c r="H2442" s="1092"/>
      <c r="I2442" s="1092"/>
    </row>
    <row r="2443" spans="8:9">
      <c r="H2443" s="1092"/>
      <c r="I2443" s="1092"/>
    </row>
    <row r="2444" spans="8:9">
      <c r="H2444" s="1092"/>
      <c r="I2444" s="1092"/>
    </row>
    <row r="2445" spans="8:9">
      <c r="H2445" s="1092"/>
      <c r="I2445" s="1092"/>
    </row>
    <row r="2446" spans="8:9">
      <c r="H2446" s="1092"/>
      <c r="I2446" s="1092"/>
    </row>
    <row r="2447" spans="8:9">
      <c r="H2447" s="1092"/>
      <c r="I2447" s="1092"/>
    </row>
    <row r="2448" spans="8:9">
      <c r="H2448" s="1092"/>
      <c r="I2448" s="1092"/>
    </row>
    <row r="2449" spans="8:9">
      <c r="H2449" s="1092"/>
      <c r="I2449" s="1092"/>
    </row>
    <row r="2450" spans="8:9">
      <c r="H2450" s="1092"/>
      <c r="I2450" s="1092"/>
    </row>
    <row r="2451" spans="8:9">
      <c r="H2451" s="1092"/>
      <c r="I2451" s="1092"/>
    </row>
    <row r="2452" spans="8:9">
      <c r="H2452" s="1092"/>
      <c r="I2452" s="1092"/>
    </row>
    <row r="2453" spans="8:9">
      <c r="H2453" s="1092"/>
      <c r="I2453" s="1092"/>
    </row>
    <row r="2454" spans="8:9">
      <c r="H2454" s="1092"/>
      <c r="I2454" s="1092"/>
    </row>
    <row r="2455" spans="8:9">
      <c r="H2455" s="1092"/>
      <c r="I2455" s="1092"/>
    </row>
    <row r="2456" spans="8:9">
      <c r="H2456" s="1092"/>
      <c r="I2456" s="1092"/>
    </row>
    <row r="2457" spans="8:9">
      <c r="H2457" s="1092"/>
      <c r="I2457" s="1092"/>
    </row>
    <row r="2458" spans="8:9">
      <c r="H2458" s="1092"/>
      <c r="I2458" s="1092"/>
    </row>
    <row r="2459" spans="8:9">
      <c r="H2459" s="1092"/>
      <c r="I2459" s="1092"/>
    </row>
    <row r="2460" spans="8:9">
      <c r="H2460" s="1092"/>
      <c r="I2460" s="1092"/>
    </row>
    <row r="2461" spans="8:9">
      <c r="H2461" s="1092"/>
      <c r="I2461" s="1092"/>
    </row>
    <row r="2462" spans="8:9">
      <c r="H2462" s="1092"/>
      <c r="I2462" s="1092"/>
    </row>
    <row r="2463" spans="8:9">
      <c r="H2463" s="1092"/>
      <c r="I2463" s="1092"/>
    </row>
    <row r="2464" spans="8:9">
      <c r="H2464" s="1092"/>
      <c r="I2464" s="1092"/>
    </row>
    <row r="2465" spans="8:9">
      <c r="H2465" s="1092"/>
      <c r="I2465" s="1092"/>
    </row>
    <row r="2466" spans="8:9">
      <c r="H2466" s="1092"/>
      <c r="I2466" s="1092"/>
    </row>
    <row r="2467" spans="8:9">
      <c r="H2467" s="1092"/>
      <c r="I2467" s="1092"/>
    </row>
    <row r="2468" spans="8:9">
      <c r="H2468" s="1092"/>
      <c r="I2468" s="1092"/>
    </row>
    <row r="2469" spans="8:9">
      <c r="H2469" s="1092"/>
      <c r="I2469" s="1092"/>
    </row>
    <row r="2470" spans="8:9">
      <c r="H2470" s="1092"/>
      <c r="I2470" s="1092"/>
    </row>
    <row r="2471" spans="8:9">
      <c r="H2471" s="1092"/>
      <c r="I2471" s="1092"/>
    </row>
    <row r="2472" spans="8:9">
      <c r="H2472" s="1092"/>
      <c r="I2472" s="1092"/>
    </row>
    <row r="2473" spans="8:9">
      <c r="H2473" s="1092"/>
      <c r="I2473" s="1092"/>
    </row>
    <row r="2474" spans="8:9">
      <c r="H2474" s="1092"/>
      <c r="I2474" s="1092"/>
    </row>
    <row r="2475" spans="8:9">
      <c r="H2475" s="1092"/>
      <c r="I2475" s="1092"/>
    </row>
    <row r="2476" spans="8:9">
      <c r="H2476" s="1092"/>
      <c r="I2476" s="1092"/>
    </row>
    <row r="2477" spans="8:9">
      <c r="H2477" s="1092"/>
      <c r="I2477" s="1092"/>
    </row>
    <row r="2478" spans="8:9">
      <c r="H2478" s="1092"/>
      <c r="I2478" s="1092"/>
    </row>
    <row r="2479" spans="8:9">
      <c r="H2479" s="1092"/>
      <c r="I2479" s="1092"/>
    </row>
    <row r="2480" spans="8:9">
      <c r="H2480" s="1092"/>
      <c r="I2480" s="1092"/>
    </row>
    <row r="2481" spans="8:9">
      <c r="H2481" s="1092"/>
      <c r="I2481" s="1092"/>
    </row>
    <row r="2482" spans="8:9">
      <c r="H2482" s="1092"/>
      <c r="I2482" s="1092"/>
    </row>
    <row r="2483" spans="8:9">
      <c r="H2483" s="1092"/>
      <c r="I2483" s="1092"/>
    </row>
    <row r="2484" spans="8:9">
      <c r="H2484" s="1092"/>
      <c r="I2484" s="1092"/>
    </row>
    <row r="2485" spans="8:9">
      <c r="H2485" s="1092"/>
      <c r="I2485" s="1092"/>
    </row>
    <row r="2486" spans="8:9">
      <c r="H2486" s="1092"/>
      <c r="I2486" s="1092"/>
    </row>
    <row r="2487" spans="8:9">
      <c r="H2487" s="1092"/>
      <c r="I2487" s="1092"/>
    </row>
    <row r="2488" spans="8:9">
      <c r="H2488" s="1092"/>
      <c r="I2488" s="1092"/>
    </row>
    <row r="2489" spans="8:9">
      <c r="H2489" s="1092"/>
      <c r="I2489" s="1092"/>
    </row>
    <row r="2490" spans="8:9">
      <c r="H2490" s="1092"/>
      <c r="I2490" s="1092"/>
    </row>
    <row r="2491" spans="8:9">
      <c r="H2491" s="1092"/>
      <c r="I2491" s="1092"/>
    </row>
    <row r="2492" spans="8:9">
      <c r="H2492" s="1092"/>
      <c r="I2492" s="1092"/>
    </row>
    <row r="2493" spans="8:9">
      <c r="H2493" s="1092"/>
      <c r="I2493" s="1092"/>
    </row>
    <row r="2494" spans="8:9">
      <c r="H2494" s="1092"/>
      <c r="I2494" s="1092"/>
    </row>
    <row r="2495" spans="8:9">
      <c r="H2495" s="1092"/>
      <c r="I2495" s="1092"/>
    </row>
    <row r="2496" spans="8:9">
      <c r="H2496" s="1092"/>
      <c r="I2496" s="1092"/>
    </row>
    <row r="2497" spans="8:9">
      <c r="H2497" s="1092"/>
      <c r="I2497" s="1092"/>
    </row>
    <row r="2498" spans="8:9">
      <c r="H2498" s="1092"/>
      <c r="I2498" s="1092"/>
    </row>
    <row r="2499" spans="8:9">
      <c r="H2499" s="1092"/>
      <c r="I2499" s="1092"/>
    </row>
    <row r="2500" spans="8:9">
      <c r="H2500" s="1092"/>
      <c r="I2500" s="1092"/>
    </row>
    <row r="2501" spans="8:9">
      <c r="H2501" s="1092"/>
      <c r="I2501" s="1092"/>
    </row>
    <row r="2502" spans="8:9">
      <c r="H2502" s="1092"/>
      <c r="I2502" s="1092"/>
    </row>
    <row r="2503" spans="8:9">
      <c r="H2503" s="1092"/>
      <c r="I2503" s="1092"/>
    </row>
    <row r="2504" spans="8:9">
      <c r="H2504" s="1092"/>
      <c r="I2504" s="1092"/>
    </row>
    <row r="2505" spans="8:9">
      <c r="H2505" s="1092"/>
      <c r="I2505" s="1092"/>
    </row>
    <row r="2506" spans="8:9">
      <c r="H2506" s="1092"/>
      <c r="I2506" s="1092"/>
    </row>
    <row r="2507" spans="8:9">
      <c r="H2507" s="1092"/>
      <c r="I2507" s="1092"/>
    </row>
    <row r="2508" spans="8:9">
      <c r="H2508" s="1092"/>
      <c r="I2508" s="1092"/>
    </row>
    <row r="2509" spans="8:9">
      <c r="H2509" s="1092"/>
      <c r="I2509" s="1092"/>
    </row>
    <row r="2510" spans="8:9">
      <c r="H2510" s="1092"/>
      <c r="I2510" s="1092"/>
    </row>
    <row r="2511" spans="8:9">
      <c r="H2511" s="1092"/>
      <c r="I2511" s="1092"/>
    </row>
    <row r="2512" spans="8:9">
      <c r="H2512" s="1092"/>
      <c r="I2512" s="1092"/>
    </row>
    <row r="2513" spans="8:9">
      <c r="H2513" s="1092"/>
      <c r="I2513" s="1092"/>
    </row>
    <row r="2514" spans="8:9">
      <c r="H2514" s="1092"/>
      <c r="I2514" s="1092"/>
    </row>
    <row r="2515" spans="8:9">
      <c r="H2515" s="1092"/>
      <c r="I2515" s="1092"/>
    </row>
    <row r="2516" spans="8:9">
      <c r="H2516" s="1092"/>
      <c r="I2516" s="1092"/>
    </row>
    <row r="2517" spans="8:9">
      <c r="H2517" s="1092"/>
      <c r="I2517" s="1092"/>
    </row>
    <row r="2518" spans="8:9">
      <c r="H2518" s="1092"/>
      <c r="I2518" s="1092"/>
    </row>
    <row r="2519" spans="8:9">
      <c r="H2519" s="1092"/>
      <c r="I2519" s="1092"/>
    </row>
    <row r="2520" spans="8:9">
      <c r="H2520" s="1092"/>
      <c r="I2520" s="1092"/>
    </row>
    <row r="2521" spans="8:9">
      <c r="H2521" s="1092"/>
      <c r="I2521" s="1092"/>
    </row>
    <row r="2522" spans="8:9">
      <c r="H2522" s="1092"/>
      <c r="I2522" s="1092"/>
    </row>
    <row r="2523" spans="8:9">
      <c r="H2523" s="1092"/>
      <c r="I2523" s="1092"/>
    </row>
    <row r="2524" spans="8:9">
      <c r="H2524" s="1092"/>
      <c r="I2524" s="1092"/>
    </row>
    <row r="2525" spans="8:9">
      <c r="H2525" s="1092"/>
      <c r="I2525" s="1092"/>
    </row>
    <row r="2526" spans="8:9">
      <c r="H2526" s="1092"/>
      <c r="I2526" s="1092"/>
    </row>
    <row r="2527" spans="8:9">
      <c r="H2527" s="1092"/>
      <c r="I2527" s="1092"/>
    </row>
    <row r="2528" spans="8:9">
      <c r="H2528" s="1092"/>
      <c r="I2528" s="1092"/>
    </row>
    <row r="2529" spans="8:9">
      <c r="H2529" s="1092"/>
      <c r="I2529" s="1092"/>
    </row>
    <row r="2530" spans="8:9">
      <c r="H2530" s="1092"/>
      <c r="I2530" s="1092"/>
    </row>
    <row r="2531" spans="8:9">
      <c r="H2531" s="1092"/>
      <c r="I2531" s="1092"/>
    </row>
    <row r="2532" spans="8:9">
      <c r="H2532" s="1092"/>
      <c r="I2532" s="1092"/>
    </row>
    <row r="2533" spans="8:9">
      <c r="H2533" s="1092"/>
      <c r="I2533" s="1092"/>
    </row>
    <row r="2534" spans="8:9">
      <c r="H2534" s="1092"/>
      <c r="I2534" s="1092"/>
    </row>
    <row r="2535" spans="8:9">
      <c r="H2535" s="1092"/>
      <c r="I2535" s="1092"/>
    </row>
    <row r="2536" spans="8:9">
      <c r="H2536" s="1092"/>
      <c r="I2536" s="1092"/>
    </row>
    <row r="2537" spans="8:9">
      <c r="H2537" s="1092"/>
      <c r="I2537" s="1092"/>
    </row>
    <row r="2538" spans="8:9">
      <c r="H2538" s="1092"/>
      <c r="I2538" s="1092"/>
    </row>
    <row r="2539" spans="8:9">
      <c r="H2539" s="1092"/>
      <c r="I2539" s="1092"/>
    </row>
    <row r="2540" spans="8:9">
      <c r="H2540" s="1092"/>
      <c r="I2540" s="1092"/>
    </row>
    <row r="2541" spans="8:9">
      <c r="H2541" s="1092"/>
      <c r="I2541" s="1092"/>
    </row>
    <row r="2542" spans="8:9">
      <c r="H2542" s="1092"/>
      <c r="I2542" s="1092"/>
    </row>
    <row r="2543" spans="8:9">
      <c r="H2543" s="1092"/>
      <c r="I2543" s="1092"/>
    </row>
    <row r="2544" spans="8:9">
      <c r="H2544" s="1092"/>
      <c r="I2544" s="1092"/>
    </row>
    <row r="2545" spans="8:9">
      <c r="H2545" s="1092"/>
      <c r="I2545" s="1092"/>
    </row>
    <row r="2546" spans="8:9">
      <c r="H2546" s="1092"/>
      <c r="I2546" s="1092"/>
    </row>
    <row r="2547" spans="8:9">
      <c r="H2547" s="1092"/>
      <c r="I2547" s="1092"/>
    </row>
    <row r="2548" spans="8:9">
      <c r="H2548" s="1092"/>
      <c r="I2548" s="1092"/>
    </row>
    <row r="2549" spans="8:9">
      <c r="H2549" s="1092"/>
      <c r="I2549" s="1092"/>
    </row>
    <row r="2550" spans="8:9">
      <c r="H2550" s="1092"/>
      <c r="I2550" s="1092"/>
    </row>
    <row r="2551" spans="8:9">
      <c r="H2551" s="1092"/>
      <c r="I2551" s="1092"/>
    </row>
    <row r="2552" spans="8:9">
      <c r="H2552" s="1092"/>
      <c r="I2552" s="1092"/>
    </row>
    <row r="2553" spans="8:9">
      <c r="H2553" s="1092"/>
      <c r="I2553" s="1092"/>
    </row>
    <row r="2554" spans="8:9">
      <c r="H2554" s="1092"/>
      <c r="I2554" s="1092"/>
    </row>
    <row r="2555" spans="8:9">
      <c r="H2555" s="1092"/>
      <c r="I2555" s="1092"/>
    </row>
    <row r="2556" spans="8:9">
      <c r="H2556" s="1092"/>
      <c r="I2556" s="1092"/>
    </row>
    <row r="2557" spans="8:9">
      <c r="H2557" s="1092"/>
      <c r="I2557" s="1092"/>
    </row>
    <row r="2558" spans="8:9">
      <c r="H2558" s="1092"/>
      <c r="I2558" s="1092"/>
    </row>
    <row r="2559" spans="8:9">
      <c r="H2559" s="1092"/>
      <c r="I2559" s="1092"/>
    </row>
    <row r="2560" spans="8:9">
      <c r="H2560" s="1092"/>
      <c r="I2560" s="1092"/>
    </row>
    <row r="2561" spans="8:9">
      <c r="H2561" s="1092"/>
      <c r="I2561" s="1092"/>
    </row>
    <row r="2562" spans="8:9">
      <c r="H2562" s="1092"/>
      <c r="I2562" s="1092"/>
    </row>
    <row r="2563" spans="8:9">
      <c r="H2563" s="1092"/>
      <c r="I2563" s="1092"/>
    </row>
    <row r="2564" spans="8:9">
      <c r="H2564" s="1092"/>
      <c r="I2564" s="1092"/>
    </row>
    <row r="2565" spans="8:9">
      <c r="H2565" s="1092"/>
      <c r="I2565" s="1092"/>
    </row>
    <row r="2566" spans="8:9">
      <c r="H2566" s="1092"/>
      <c r="I2566" s="1092"/>
    </row>
    <row r="2567" spans="8:9">
      <c r="H2567" s="1092"/>
      <c r="I2567" s="1092"/>
    </row>
    <row r="2568" spans="8:9">
      <c r="H2568" s="1092"/>
      <c r="I2568" s="1092"/>
    </row>
    <row r="2569" spans="8:9">
      <c r="H2569" s="1092"/>
      <c r="I2569" s="1092"/>
    </row>
    <row r="2570" spans="8:9">
      <c r="H2570" s="1092"/>
      <c r="I2570" s="1092"/>
    </row>
    <row r="2571" spans="8:9">
      <c r="H2571" s="1092"/>
      <c r="I2571" s="1092"/>
    </row>
    <row r="2572" spans="8:9">
      <c r="H2572" s="1092"/>
      <c r="I2572" s="1092"/>
    </row>
    <row r="2573" spans="8:9">
      <c r="H2573" s="1092"/>
      <c r="I2573" s="1092"/>
    </row>
    <row r="2574" spans="8:9">
      <c r="H2574" s="1092"/>
      <c r="I2574" s="1092"/>
    </row>
    <row r="2575" spans="8:9">
      <c r="H2575" s="1092"/>
      <c r="I2575" s="1092"/>
    </row>
    <row r="2576" spans="8:9">
      <c r="H2576" s="1092"/>
      <c r="I2576" s="1092"/>
    </row>
    <row r="2577" spans="8:9">
      <c r="H2577" s="1092"/>
      <c r="I2577" s="1092"/>
    </row>
    <row r="2578" spans="8:9">
      <c r="H2578" s="1092"/>
      <c r="I2578" s="1092"/>
    </row>
    <row r="2579" spans="8:9">
      <c r="H2579" s="1092"/>
      <c r="I2579" s="1092"/>
    </row>
    <row r="2580" spans="8:9">
      <c r="H2580" s="1092"/>
      <c r="I2580" s="1092"/>
    </row>
    <row r="2581" spans="8:9">
      <c r="H2581" s="1092"/>
      <c r="I2581" s="1092"/>
    </row>
    <row r="2582" spans="8:9">
      <c r="H2582" s="1092"/>
      <c r="I2582" s="1092"/>
    </row>
    <row r="2583" spans="8:9">
      <c r="H2583" s="1092"/>
      <c r="I2583" s="1092"/>
    </row>
    <row r="2584" spans="8:9">
      <c r="H2584" s="1092"/>
      <c r="I2584" s="1092"/>
    </row>
    <row r="2585" spans="8:9">
      <c r="H2585" s="1092"/>
      <c r="I2585" s="1092"/>
    </row>
    <row r="2586" spans="8:9">
      <c r="H2586" s="1092"/>
      <c r="I2586" s="1092"/>
    </row>
    <row r="2587" spans="8:9">
      <c r="H2587" s="1092"/>
      <c r="I2587" s="1092"/>
    </row>
    <row r="2588" spans="8:9">
      <c r="H2588" s="1092"/>
      <c r="I2588" s="1092"/>
    </row>
    <row r="2589" spans="8:9">
      <c r="H2589" s="1092"/>
      <c r="I2589" s="1092"/>
    </row>
    <row r="2590" spans="8:9">
      <c r="H2590" s="1092"/>
      <c r="I2590" s="1092"/>
    </row>
    <row r="2591" spans="8:9">
      <c r="H2591" s="1092"/>
      <c r="I2591" s="1092"/>
    </row>
    <row r="2592" spans="8:9">
      <c r="H2592" s="1092"/>
      <c r="I2592" s="1092"/>
    </row>
    <row r="2593" spans="8:9">
      <c r="H2593" s="1092"/>
      <c r="I2593" s="1092"/>
    </row>
    <row r="2594" spans="8:9">
      <c r="H2594" s="1092"/>
      <c r="I2594" s="1092"/>
    </row>
    <row r="2595" spans="8:9">
      <c r="H2595" s="1092"/>
      <c r="I2595" s="1092"/>
    </row>
    <row r="2596" spans="8:9">
      <c r="H2596" s="1092"/>
      <c r="I2596" s="1092"/>
    </row>
    <row r="2597" spans="8:9">
      <c r="H2597" s="1092"/>
      <c r="I2597" s="1092"/>
    </row>
    <row r="2598" spans="8:9">
      <c r="H2598" s="1092"/>
      <c r="I2598" s="1092"/>
    </row>
    <row r="2599" spans="8:9">
      <c r="H2599" s="1092"/>
      <c r="I2599" s="1092"/>
    </row>
    <row r="2600" spans="8:9">
      <c r="H2600" s="1092"/>
      <c r="I2600" s="1092"/>
    </row>
    <row r="2601" spans="8:9">
      <c r="H2601" s="1092"/>
      <c r="I2601" s="1092"/>
    </row>
    <row r="2602" spans="8:9">
      <c r="H2602" s="1092"/>
      <c r="I2602" s="1092"/>
    </row>
    <row r="2603" spans="8:9">
      <c r="H2603" s="1092"/>
      <c r="I2603" s="1092"/>
    </row>
    <row r="2604" spans="8:9">
      <c r="H2604" s="1092"/>
      <c r="I2604" s="1092"/>
    </row>
    <row r="2605" spans="8:9">
      <c r="H2605" s="1092"/>
      <c r="I2605" s="1092"/>
    </row>
    <row r="2606" spans="8:9">
      <c r="H2606" s="1092"/>
      <c r="I2606" s="1092"/>
    </row>
    <row r="2607" spans="8:9">
      <c r="H2607" s="1092"/>
      <c r="I2607" s="1092"/>
    </row>
    <row r="2608" spans="8:9">
      <c r="H2608" s="1092"/>
      <c r="I2608" s="1092"/>
    </row>
    <row r="2609" spans="8:9">
      <c r="H2609" s="1092"/>
      <c r="I2609" s="1092"/>
    </row>
    <row r="2610" spans="8:9">
      <c r="H2610" s="1092"/>
      <c r="I2610" s="1092"/>
    </row>
    <row r="2611" spans="8:9">
      <c r="H2611" s="1092"/>
      <c r="I2611" s="1092"/>
    </row>
    <row r="2612" spans="8:9">
      <c r="H2612" s="1092"/>
      <c r="I2612" s="1092"/>
    </row>
    <row r="2613" spans="8:9">
      <c r="H2613" s="1092"/>
      <c r="I2613" s="1092"/>
    </row>
    <row r="2614" spans="8:9">
      <c r="H2614" s="1092"/>
      <c r="I2614" s="1092"/>
    </row>
    <row r="2615" spans="8:9">
      <c r="H2615" s="1092"/>
      <c r="I2615" s="1092"/>
    </row>
    <row r="2616" spans="8:9">
      <c r="H2616" s="1092"/>
      <c r="I2616" s="1092"/>
    </row>
    <row r="2617" spans="8:9">
      <c r="H2617" s="1092"/>
      <c r="I2617" s="1092"/>
    </row>
    <row r="2618" spans="8:9">
      <c r="H2618" s="1092"/>
      <c r="I2618" s="1092"/>
    </row>
    <row r="2619" spans="8:9">
      <c r="H2619" s="1092"/>
      <c r="I2619" s="1092"/>
    </row>
    <row r="2620" spans="8:9">
      <c r="H2620" s="1092"/>
      <c r="I2620" s="1092"/>
    </row>
    <row r="2621" spans="8:9">
      <c r="H2621" s="1092"/>
      <c r="I2621" s="1092"/>
    </row>
    <row r="2622" spans="8:9">
      <c r="H2622" s="1092"/>
      <c r="I2622" s="1092"/>
    </row>
    <row r="2623" spans="8:9">
      <c r="H2623" s="1092"/>
      <c r="I2623" s="1092"/>
    </row>
    <row r="2624" spans="8:9">
      <c r="H2624" s="1092"/>
      <c r="I2624" s="1092"/>
    </row>
    <row r="2625" spans="8:9">
      <c r="H2625" s="1092"/>
      <c r="I2625" s="1092"/>
    </row>
    <row r="2626" spans="8:9">
      <c r="H2626" s="1092"/>
      <c r="I2626" s="1092"/>
    </row>
    <row r="2627" spans="8:9">
      <c r="H2627" s="1092"/>
      <c r="I2627" s="1092"/>
    </row>
    <row r="2628" spans="8:9">
      <c r="H2628" s="1092"/>
      <c r="I2628" s="1092"/>
    </row>
    <row r="2629" spans="8:9">
      <c r="H2629" s="1092"/>
      <c r="I2629" s="1092"/>
    </row>
    <row r="2630" spans="8:9">
      <c r="H2630" s="1092"/>
      <c r="I2630" s="1092"/>
    </row>
    <row r="2631" spans="8:9">
      <c r="H2631" s="1092"/>
      <c r="I2631" s="1092"/>
    </row>
    <row r="2632" spans="8:9">
      <c r="H2632" s="1092"/>
      <c r="I2632" s="1092"/>
    </row>
    <row r="2633" spans="8:9">
      <c r="H2633" s="1092"/>
      <c r="I2633" s="1092"/>
    </row>
    <row r="2634" spans="8:9">
      <c r="H2634" s="1092"/>
      <c r="I2634" s="1092"/>
    </row>
    <row r="2635" spans="8:9">
      <c r="H2635" s="1092"/>
      <c r="I2635" s="1092"/>
    </row>
    <row r="2636" spans="8:9">
      <c r="H2636" s="1092"/>
      <c r="I2636" s="1092"/>
    </row>
    <row r="2637" spans="8:9">
      <c r="H2637" s="1092"/>
      <c r="I2637" s="1092"/>
    </row>
    <row r="2638" spans="8:9">
      <c r="H2638" s="1092"/>
      <c r="I2638" s="1092"/>
    </row>
    <row r="2639" spans="8:9">
      <c r="H2639" s="1092"/>
      <c r="I2639" s="1092"/>
    </row>
    <row r="2640" spans="8:9">
      <c r="H2640" s="1092"/>
      <c r="I2640" s="1092"/>
    </row>
    <row r="2641" spans="8:9">
      <c r="H2641" s="1092"/>
      <c r="I2641" s="1092"/>
    </row>
    <row r="2642" spans="8:9">
      <c r="H2642" s="1092"/>
      <c r="I2642" s="1092"/>
    </row>
    <row r="2643" spans="8:9">
      <c r="H2643" s="1092"/>
      <c r="I2643" s="1092"/>
    </row>
    <row r="2644" spans="8:9">
      <c r="H2644" s="1092"/>
      <c r="I2644" s="1092"/>
    </row>
    <row r="2645" spans="8:9">
      <c r="H2645" s="1092"/>
      <c r="I2645" s="1092"/>
    </row>
    <row r="2646" spans="8:9">
      <c r="H2646" s="1092"/>
      <c r="I2646" s="1092"/>
    </row>
    <row r="2647" spans="8:9">
      <c r="H2647" s="1092"/>
      <c r="I2647" s="1092"/>
    </row>
    <row r="2648" spans="8:9">
      <c r="H2648" s="1092"/>
      <c r="I2648" s="1092"/>
    </row>
    <row r="2649" spans="8:9">
      <c r="H2649" s="1092"/>
      <c r="I2649" s="1092"/>
    </row>
    <row r="2650" spans="8:9">
      <c r="H2650" s="1092"/>
      <c r="I2650" s="1092"/>
    </row>
    <row r="2651" spans="8:9">
      <c r="H2651" s="1092"/>
      <c r="I2651" s="1092"/>
    </row>
    <row r="2652" spans="8:9">
      <c r="H2652" s="1092"/>
      <c r="I2652" s="1092"/>
    </row>
    <row r="2653" spans="8:9">
      <c r="H2653" s="1092"/>
      <c r="I2653" s="1092"/>
    </row>
    <row r="2654" spans="8:9">
      <c r="H2654" s="1092"/>
      <c r="I2654" s="1092"/>
    </row>
    <row r="2655" spans="8:9">
      <c r="H2655" s="1092"/>
      <c r="I2655" s="1092"/>
    </row>
    <row r="2656" spans="8:9">
      <c r="H2656" s="1092"/>
      <c r="I2656" s="1092"/>
    </row>
    <row r="2657" spans="8:9">
      <c r="H2657" s="1092"/>
      <c r="I2657" s="1092"/>
    </row>
    <row r="2658" spans="8:9">
      <c r="H2658" s="1092"/>
      <c r="I2658" s="1092"/>
    </row>
    <row r="2659" spans="8:9">
      <c r="H2659" s="1092"/>
      <c r="I2659" s="1092"/>
    </row>
    <row r="2660" spans="8:9">
      <c r="H2660" s="1092"/>
      <c r="I2660" s="1092"/>
    </row>
    <row r="2661" spans="8:9">
      <c r="H2661" s="1092"/>
      <c r="I2661" s="1092"/>
    </row>
    <row r="2662" spans="8:9">
      <c r="H2662" s="1092"/>
      <c r="I2662" s="1092"/>
    </row>
    <row r="2663" spans="8:9">
      <c r="H2663" s="1092"/>
      <c r="I2663" s="1092"/>
    </row>
    <row r="2664" spans="8:9">
      <c r="H2664" s="1092"/>
      <c r="I2664" s="1092"/>
    </row>
    <row r="2665" spans="8:9">
      <c r="H2665" s="1092"/>
      <c r="I2665" s="1092"/>
    </row>
    <row r="2666" spans="8:9">
      <c r="H2666" s="1092"/>
      <c r="I2666" s="1092"/>
    </row>
    <row r="2667" spans="8:9">
      <c r="H2667" s="1092"/>
      <c r="I2667" s="1092"/>
    </row>
    <row r="2668" spans="8:9">
      <c r="H2668" s="1092"/>
      <c r="I2668" s="1092"/>
    </row>
    <row r="2669" spans="8:9">
      <c r="H2669" s="1092"/>
      <c r="I2669" s="1092"/>
    </row>
    <row r="2670" spans="8:9">
      <c r="H2670" s="1092"/>
      <c r="I2670" s="1092"/>
    </row>
    <row r="2671" spans="8:9">
      <c r="H2671" s="1092"/>
      <c r="I2671" s="1092"/>
    </row>
    <row r="2672" spans="8:9">
      <c r="H2672" s="1092"/>
      <c r="I2672" s="1092"/>
    </row>
    <row r="2673" spans="8:9">
      <c r="H2673" s="1092"/>
      <c r="I2673" s="1092"/>
    </row>
    <row r="2674" spans="8:9">
      <c r="H2674" s="1092"/>
      <c r="I2674" s="1092"/>
    </row>
    <row r="2675" spans="8:9">
      <c r="H2675" s="1092"/>
      <c r="I2675" s="1092"/>
    </row>
    <row r="2676" spans="8:9">
      <c r="H2676" s="1092"/>
      <c r="I2676" s="1092"/>
    </row>
    <row r="2677" spans="8:9">
      <c r="H2677" s="1092"/>
      <c r="I2677" s="1092"/>
    </row>
    <row r="2678" spans="8:9">
      <c r="H2678" s="1092"/>
      <c r="I2678" s="1092"/>
    </row>
    <row r="2679" spans="8:9">
      <c r="H2679" s="1092"/>
      <c r="I2679" s="1092"/>
    </row>
    <row r="2680" spans="8:9">
      <c r="H2680" s="1092"/>
      <c r="I2680" s="1092"/>
    </row>
    <row r="2681" spans="8:9">
      <c r="H2681" s="1092"/>
      <c r="I2681" s="1092"/>
    </row>
    <row r="2682" spans="8:9">
      <c r="H2682" s="1092"/>
      <c r="I2682" s="1092"/>
    </row>
    <row r="2683" spans="8:9">
      <c r="H2683" s="1092"/>
      <c r="I2683" s="1092"/>
    </row>
    <row r="2684" spans="8:9">
      <c r="H2684" s="1092"/>
      <c r="I2684" s="1092"/>
    </row>
    <row r="2685" spans="8:9">
      <c r="H2685" s="1092"/>
      <c r="I2685" s="1092"/>
    </row>
    <row r="2686" spans="8:9">
      <c r="H2686" s="1092"/>
      <c r="I2686" s="1092"/>
    </row>
    <row r="2687" spans="8:9">
      <c r="H2687" s="1092"/>
      <c r="I2687" s="1092"/>
    </row>
    <row r="2688" spans="8:9">
      <c r="H2688" s="1092"/>
      <c r="I2688" s="1092"/>
    </row>
    <row r="2689" spans="8:9">
      <c r="H2689" s="1092"/>
      <c r="I2689" s="1092"/>
    </row>
    <row r="2690" spans="8:9">
      <c r="H2690" s="1092"/>
      <c r="I2690" s="1092"/>
    </row>
    <row r="2691" spans="8:9">
      <c r="H2691" s="1092"/>
      <c r="I2691" s="1092"/>
    </row>
    <row r="2692" spans="8:9">
      <c r="H2692" s="1092"/>
      <c r="I2692" s="1092"/>
    </row>
    <row r="2693" spans="8:9">
      <c r="H2693" s="1092"/>
      <c r="I2693" s="1092"/>
    </row>
    <row r="2694" spans="8:9">
      <c r="H2694" s="1092"/>
      <c r="I2694" s="1092"/>
    </row>
    <row r="2695" spans="8:9">
      <c r="H2695" s="1092"/>
      <c r="I2695" s="1092"/>
    </row>
    <row r="2696" spans="8:9">
      <c r="H2696" s="1092"/>
      <c r="I2696" s="1092"/>
    </row>
    <row r="2697" spans="8:9">
      <c r="H2697" s="1092"/>
      <c r="I2697" s="1092"/>
    </row>
    <row r="2698" spans="8:9">
      <c r="H2698" s="1092"/>
      <c r="I2698" s="1092"/>
    </row>
    <row r="2699" spans="8:9">
      <c r="H2699" s="1092"/>
      <c r="I2699" s="1092"/>
    </row>
    <row r="2700" spans="8:9">
      <c r="H2700" s="1092"/>
      <c r="I2700" s="1092"/>
    </row>
    <row r="2701" spans="8:9">
      <c r="H2701" s="1092"/>
      <c r="I2701" s="1092"/>
    </row>
    <row r="2702" spans="8:9">
      <c r="H2702" s="1092"/>
      <c r="I2702" s="1092"/>
    </row>
    <row r="2703" spans="8:9">
      <c r="H2703" s="1092"/>
      <c r="I2703" s="1092"/>
    </row>
    <row r="2704" spans="8:9">
      <c r="H2704" s="1092"/>
      <c r="I2704" s="1092"/>
    </row>
    <row r="2705" spans="8:9">
      <c r="H2705" s="1092"/>
      <c r="I2705" s="1092"/>
    </row>
    <row r="2706" spans="8:9">
      <c r="H2706" s="1092"/>
      <c r="I2706" s="1092"/>
    </row>
    <row r="2707" spans="8:9">
      <c r="H2707" s="1092"/>
      <c r="I2707" s="1092"/>
    </row>
    <row r="2708" spans="8:9">
      <c r="H2708" s="1092"/>
      <c r="I2708" s="1092"/>
    </row>
    <row r="2709" spans="8:9">
      <c r="H2709" s="1092"/>
      <c r="I2709" s="1092"/>
    </row>
    <row r="2710" spans="8:9">
      <c r="H2710" s="1092"/>
      <c r="I2710" s="1092"/>
    </row>
    <row r="2711" spans="8:9">
      <c r="H2711" s="1092"/>
      <c r="I2711" s="1092"/>
    </row>
    <row r="2712" spans="8:9">
      <c r="H2712" s="1092"/>
      <c r="I2712" s="1092"/>
    </row>
    <row r="2713" spans="8:9">
      <c r="H2713" s="1092"/>
      <c r="I2713" s="1092"/>
    </row>
    <row r="2714" spans="8:9">
      <c r="H2714" s="1092"/>
      <c r="I2714" s="1092"/>
    </row>
    <row r="2715" spans="8:9">
      <c r="H2715" s="1092"/>
      <c r="I2715" s="1092"/>
    </row>
    <row r="2716" spans="8:9">
      <c r="H2716" s="1092"/>
      <c r="I2716" s="1092"/>
    </row>
    <row r="2717" spans="8:9">
      <c r="H2717" s="1092"/>
      <c r="I2717" s="1092"/>
    </row>
    <row r="2718" spans="8:9">
      <c r="H2718" s="1092"/>
      <c r="I2718" s="1092"/>
    </row>
    <row r="2719" spans="8:9">
      <c r="H2719" s="1092"/>
      <c r="I2719" s="1092"/>
    </row>
    <row r="2720" spans="8:9">
      <c r="H2720" s="1092"/>
      <c r="I2720" s="1092"/>
    </row>
    <row r="2721" spans="8:9">
      <c r="H2721" s="1092"/>
      <c r="I2721" s="1092"/>
    </row>
    <row r="2722" spans="8:9">
      <c r="H2722" s="1092"/>
      <c r="I2722" s="1092"/>
    </row>
    <row r="2723" spans="8:9">
      <c r="H2723" s="1092"/>
      <c r="I2723" s="1092"/>
    </row>
    <row r="2724" spans="8:9">
      <c r="H2724" s="1092"/>
      <c r="I2724" s="1092"/>
    </row>
    <row r="2725" spans="8:9">
      <c r="H2725" s="1092"/>
      <c r="I2725" s="1092"/>
    </row>
    <row r="2726" spans="8:9">
      <c r="H2726" s="1092"/>
      <c r="I2726" s="1092"/>
    </row>
    <row r="2727" spans="8:9">
      <c r="H2727" s="1092"/>
      <c r="I2727" s="1092"/>
    </row>
    <row r="2728" spans="8:9">
      <c r="H2728" s="1092"/>
      <c r="I2728" s="1092"/>
    </row>
    <row r="2729" spans="8:9">
      <c r="H2729" s="1092"/>
      <c r="I2729" s="1092"/>
    </row>
    <row r="2730" spans="8:9">
      <c r="H2730" s="1092"/>
      <c r="I2730" s="1092"/>
    </row>
    <row r="2731" spans="8:9">
      <c r="H2731" s="1092"/>
      <c r="I2731" s="1092"/>
    </row>
    <row r="2732" spans="8:9">
      <c r="H2732" s="1092"/>
      <c r="I2732" s="1092"/>
    </row>
    <row r="2733" spans="8:9">
      <c r="H2733" s="1092"/>
      <c r="I2733" s="1092"/>
    </row>
    <row r="2734" spans="8:9">
      <c r="H2734" s="1092"/>
      <c r="I2734" s="1092"/>
    </row>
    <row r="2735" spans="8:9">
      <c r="H2735" s="1092"/>
      <c r="I2735" s="1092"/>
    </row>
    <row r="2736" spans="8:9">
      <c r="H2736" s="1092"/>
      <c r="I2736" s="1092"/>
    </row>
    <row r="2737" spans="8:9">
      <c r="H2737" s="1092"/>
      <c r="I2737" s="1092"/>
    </row>
    <row r="2738" spans="8:9">
      <c r="H2738" s="1092"/>
      <c r="I2738" s="1092"/>
    </row>
    <row r="2739" spans="8:9">
      <c r="H2739" s="1092"/>
      <c r="I2739" s="1092"/>
    </row>
    <row r="2740" spans="8:9">
      <c r="H2740" s="1092"/>
      <c r="I2740" s="1092"/>
    </row>
    <row r="2741" spans="8:9">
      <c r="H2741" s="1092"/>
      <c r="I2741" s="1092"/>
    </row>
    <row r="2742" spans="8:9">
      <c r="H2742" s="1092"/>
      <c r="I2742" s="1092"/>
    </row>
    <row r="2743" spans="8:9">
      <c r="H2743" s="1092"/>
      <c r="I2743" s="1092"/>
    </row>
    <row r="2744" spans="8:9">
      <c r="H2744" s="1092"/>
      <c r="I2744" s="1092"/>
    </row>
    <row r="2745" spans="8:9">
      <c r="H2745" s="1092"/>
      <c r="I2745" s="1092"/>
    </row>
    <row r="2746" spans="8:9">
      <c r="H2746" s="1092"/>
      <c r="I2746" s="1092"/>
    </row>
    <row r="2747" spans="8:9">
      <c r="H2747" s="1092"/>
      <c r="I2747" s="1092"/>
    </row>
    <row r="2748" spans="8:9">
      <c r="H2748" s="1092"/>
      <c r="I2748" s="1092"/>
    </row>
    <row r="2749" spans="8:9">
      <c r="H2749" s="1092"/>
      <c r="I2749" s="1092"/>
    </row>
    <row r="2750" spans="8:9">
      <c r="H2750" s="1092"/>
      <c r="I2750" s="1092"/>
    </row>
    <row r="2751" spans="8:9">
      <c r="H2751" s="1092"/>
      <c r="I2751" s="1092"/>
    </row>
    <row r="2752" spans="8:9">
      <c r="H2752" s="1092"/>
      <c r="I2752" s="1092"/>
    </row>
    <row r="2753" spans="8:9">
      <c r="H2753" s="1092"/>
      <c r="I2753" s="1092"/>
    </row>
    <row r="2754" spans="8:9">
      <c r="H2754" s="1092"/>
      <c r="I2754" s="1092"/>
    </row>
    <row r="2755" spans="8:9">
      <c r="H2755" s="1092"/>
      <c r="I2755" s="1092"/>
    </row>
    <row r="2756" spans="8:9">
      <c r="H2756" s="1092"/>
      <c r="I2756" s="1092"/>
    </row>
    <row r="2757" spans="8:9">
      <c r="H2757" s="1092"/>
      <c r="I2757" s="1092"/>
    </row>
    <row r="2758" spans="8:9">
      <c r="H2758" s="1092"/>
      <c r="I2758" s="1092"/>
    </row>
    <row r="2759" spans="8:9">
      <c r="H2759" s="1092"/>
      <c r="I2759" s="1092"/>
    </row>
    <row r="2760" spans="8:9">
      <c r="H2760" s="1092"/>
      <c r="I2760" s="1092"/>
    </row>
    <row r="2761" spans="8:9">
      <c r="H2761" s="1092"/>
      <c r="I2761" s="1092"/>
    </row>
    <row r="2762" spans="8:9">
      <c r="H2762" s="1092"/>
      <c r="I2762" s="1092"/>
    </row>
    <row r="2763" spans="8:9">
      <c r="H2763" s="1092"/>
      <c r="I2763" s="1092"/>
    </row>
    <row r="2764" spans="8:9">
      <c r="H2764" s="1092"/>
      <c r="I2764" s="1092"/>
    </row>
    <row r="2765" spans="8:9">
      <c r="H2765" s="1092"/>
      <c r="I2765" s="1092"/>
    </row>
    <row r="2766" spans="8:9">
      <c r="H2766" s="1092"/>
      <c r="I2766" s="1092"/>
    </row>
    <row r="2767" spans="8:9">
      <c r="H2767" s="1092"/>
      <c r="I2767" s="1092"/>
    </row>
    <row r="2768" spans="8:9">
      <c r="H2768" s="1092"/>
      <c r="I2768" s="1092"/>
    </row>
    <row r="2769" spans="8:9">
      <c r="H2769" s="1092"/>
      <c r="I2769" s="1092"/>
    </row>
    <row r="2770" spans="8:9">
      <c r="H2770" s="1092"/>
      <c r="I2770" s="1092"/>
    </row>
    <row r="2771" spans="8:9">
      <c r="H2771" s="1092"/>
      <c r="I2771" s="1092"/>
    </row>
    <row r="2772" spans="8:9">
      <c r="H2772" s="1092"/>
      <c r="I2772" s="1092"/>
    </row>
    <row r="2773" spans="8:9">
      <c r="H2773" s="1092"/>
      <c r="I2773" s="1092"/>
    </row>
    <row r="2774" spans="8:9">
      <c r="H2774" s="1092"/>
      <c r="I2774" s="1092"/>
    </row>
    <row r="2775" spans="8:9">
      <c r="H2775" s="1092"/>
      <c r="I2775" s="1092"/>
    </row>
    <row r="2776" spans="8:9">
      <c r="H2776" s="1092"/>
      <c r="I2776" s="1092"/>
    </row>
    <row r="2777" spans="8:9">
      <c r="H2777" s="1092"/>
      <c r="I2777" s="1092"/>
    </row>
    <row r="2778" spans="8:9">
      <c r="H2778" s="1092"/>
      <c r="I2778" s="1092"/>
    </row>
    <row r="2779" spans="8:9">
      <c r="H2779" s="1092"/>
      <c r="I2779" s="1092"/>
    </row>
    <row r="2780" spans="8:9">
      <c r="H2780" s="1092"/>
      <c r="I2780" s="1092"/>
    </row>
    <row r="2781" spans="8:9">
      <c r="H2781" s="1092"/>
      <c r="I2781" s="1092"/>
    </row>
    <row r="2782" spans="8:9">
      <c r="H2782" s="1092"/>
      <c r="I2782" s="1092"/>
    </row>
    <row r="2783" spans="8:9">
      <c r="H2783" s="1092"/>
      <c r="I2783" s="1092"/>
    </row>
    <row r="2784" spans="8:9">
      <c r="H2784" s="1092"/>
      <c r="I2784" s="1092"/>
    </row>
    <row r="2785" spans="8:9">
      <c r="H2785" s="1092"/>
      <c r="I2785" s="1092"/>
    </row>
    <row r="2786" spans="8:9">
      <c r="H2786" s="1092"/>
      <c r="I2786" s="1092"/>
    </row>
    <row r="2787" spans="8:9">
      <c r="H2787" s="1092"/>
      <c r="I2787" s="1092"/>
    </row>
    <row r="2788" spans="8:9">
      <c r="H2788" s="1092"/>
      <c r="I2788" s="1092"/>
    </row>
    <row r="2789" spans="8:9">
      <c r="H2789" s="1092"/>
      <c r="I2789" s="1092"/>
    </row>
    <row r="2790" spans="8:9">
      <c r="H2790" s="1092"/>
      <c r="I2790" s="1092"/>
    </row>
    <row r="2791" spans="8:9">
      <c r="H2791" s="1092"/>
      <c r="I2791" s="1092"/>
    </row>
    <row r="2792" spans="8:9">
      <c r="H2792" s="1092"/>
      <c r="I2792" s="1092"/>
    </row>
    <row r="2793" spans="8:9">
      <c r="H2793" s="1092"/>
      <c r="I2793" s="1092"/>
    </row>
    <row r="2794" spans="8:9">
      <c r="H2794" s="1092"/>
      <c r="I2794" s="1092"/>
    </row>
    <row r="2795" spans="8:9">
      <c r="H2795" s="1092"/>
      <c r="I2795" s="1092"/>
    </row>
    <row r="2796" spans="8:9">
      <c r="H2796" s="1092"/>
      <c r="I2796" s="1092"/>
    </row>
    <row r="2797" spans="8:9">
      <c r="H2797" s="1092"/>
      <c r="I2797" s="1092"/>
    </row>
    <row r="2798" spans="8:9">
      <c r="H2798" s="1092"/>
      <c r="I2798" s="1092"/>
    </row>
    <row r="2799" spans="8:9">
      <c r="H2799" s="1092"/>
      <c r="I2799" s="1092"/>
    </row>
    <row r="2800" spans="8:9">
      <c r="H2800" s="1092"/>
      <c r="I2800" s="1092"/>
    </row>
    <row r="2801" spans="8:9">
      <c r="H2801" s="1092"/>
      <c r="I2801" s="1092"/>
    </row>
    <row r="2802" spans="8:9">
      <c r="H2802" s="1092"/>
      <c r="I2802" s="1092"/>
    </row>
    <row r="2803" spans="8:9">
      <c r="H2803" s="1092"/>
      <c r="I2803" s="1092"/>
    </row>
    <row r="2804" spans="8:9">
      <c r="H2804" s="1092"/>
      <c r="I2804" s="1092"/>
    </row>
    <row r="2805" spans="8:9">
      <c r="H2805" s="1092"/>
      <c r="I2805" s="1092"/>
    </row>
    <row r="2806" spans="8:9">
      <c r="H2806" s="1092"/>
      <c r="I2806" s="1092"/>
    </row>
    <row r="2807" spans="8:9">
      <c r="H2807" s="1092"/>
      <c r="I2807" s="1092"/>
    </row>
    <row r="2808" spans="8:9">
      <c r="H2808" s="1092"/>
      <c r="I2808" s="1092"/>
    </row>
    <row r="2809" spans="8:9">
      <c r="H2809" s="1092"/>
      <c r="I2809" s="1092"/>
    </row>
    <row r="2810" spans="8:9">
      <c r="H2810" s="1092"/>
      <c r="I2810" s="1092"/>
    </row>
    <row r="2811" spans="8:9">
      <c r="H2811" s="1092"/>
      <c r="I2811" s="1092"/>
    </row>
    <row r="2812" spans="8:9">
      <c r="H2812" s="1092"/>
      <c r="I2812" s="1092"/>
    </row>
    <row r="2813" spans="8:9">
      <c r="H2813" s="1092"/>
      <c r="I2813" s="1092"/>
    </row>
    <row r="2814" spans="8:9">
      <c r="H2814" s="1092"/>
      <c r="I2814" s="1092"/>
    </row>
    <row r="2815" spans="8:9">
      <c r="H2815" s="1092"/>
      <c r="I2815" s="1092"/>
    </row>
    <row r="2816" spans="8:9">
      <c r="H2816" s="1092"/>
      <c r="I2816" s="1092"/>
    </row>
    <row r="2817" spans="8:9">
      <c r="H2817" s="1092"/>
      <c r="I2817" s="1092"/>
    </row>
    <row r="2818" spans="8:9">
      <c r="H2818" s="1092"/>
      <c r="I2818" s="1092"/>
    </row>
    <row r="2819" spans="8:9">
      <c r="H2819" s="1092"/>
      <c r="I2819" s="1092"/>
    </row>
    <row r="2820" spans="8:9">
      <c r="H2820" s="1092"/>
      <c r="I2820" s="1092"/>
    </row>
    <row r="2821" spans="8:9">
      <c r="H2821" s="1092"/>
      <c r="I2821" s="1092"/>
    </row>
    <row r="2822" spans="8:9">
      <c r="H2822" s="1092"/>
      <c r="I2822" s="1092"/>
    </row>
    <row r="2823" spans="8:9">
      <c r="H2823" s="1092"/>
      <c r="I2823" s="1092"/>
    </row>
    <row r="2824" spans="8:9">
      <c r="H2824" s="1092"/>
      <c r="I2824" s="1092"/>
    </row>
    <row r="2825" spans="8:9">
      <c r="H2825" s="1092"/>
      <c r="I2825" s="1092"/>
    </row>
    <row r="2826" spans="8:9">
      <c r="H2826" s="1092"/>
      <c r="I2826" s="1092"/>
    </row>
    <row r="2827" spans="8:9">
      <c r="H2827" s="1092"/>
      <c r="I2827" s="1092"/>
    </row>
    <row r="2828" spans="8:9">
      <c r="H2828" s="1092"/>
      <c r="I2828" s="1092"/>
    </row>
    <row r="2829" spans="8:9">
      <c r="H2829" s="1092"/>
      <c r="I2829" s="1092"/>
    </row>
    <row r="2830" spans="8:9">
      <c r="H2830" s="1092"/>
      <c r="I2830" s="1092"/>
    </row>
    <row r="2831" spans="8:9">
      <c r="H2831" s="1092"/>
      <c r="I2831" s="1092"/>
    </row>
    <row r="2832" spans="8:9">
      <c r="H2832" s="1092"/>
      <c r="I2832" s="1092"/>
    </row>
    <row r="2833" spans="8:9">
      <c r="H2833" s="1092"/>
      <c r="I2833" s="1092"/>
    </row>
    <row r="2834" spans="8:9">
      <c r="H2834" s="1092"/>
      <c r="I2834" s="1092"/>
    </row>
    <row r="2835" spans="8:9">
      <c r="H2835" s="1092"/>
      <c r="I2835" s="1092"/>
    </row>
    <row r="2836" spans="8:9">
      <c r="H2836" s="1092"/>
      <c r="I2836" s="1092"/>
    </row>
    <row r="2837" spans="8:9">
      <c r="H2837" s="1092"/>
      <c r="I2837" s="1092"/>
    </row>
    <row r="2838" spans="8:9">
      <c r="H2838" s="1092"/>
      <c r="I2838" s="1092"/>
    </row>
    <row r="2839" spans="8:9">
      <c r="H2839" s="1092"/>
      <c r="I2839" s="1092"/>
    </row>
    <row r="2840" spans="8:9">
      <c r="H2840" s="1092"/>
      <c r="I2840" s="1092"/>
    </row>
    <row r="2841" spans="8:9">
      <c r="H2841" s="1092"/>
      <c r="I2841" s="1092"/>
    </row>
    <row r="2842" spans="8:9">
      <c r="H2842" s="1092"/>
      <c r="I2842" s="1092"/>
    </row>
    <row r="2843" spans="8:9">
      <c r="H2843" s="1092"/>
      <c r="I2843" s="1092"/>
    </row>
    <row r="2844" spans="8:9">
      <c r="H2844" s="1092"/>
      <c r="I2844" s="1092"/>
    </row>
    <row r="2845" spans="8:9">
      <c r="H2845" s="1092"/>
      <c r="I2845" s="1092"/>
    </row>
    <row r="2846" spans="8:9">
      <c r="H2846" s="1092"/>
      <c r="I2846" s="1092"/>
    </row>
    <row r="2847" spans="8:9">
      <c r="H2847" s="1092"/>
      <c r="I2847" s="1092"/>
    </row>
    <row r="2848" spans="8:9">
      <c r="H2848" s="1092"/>
      <c r="I2848" s="1092"/>
    </row>
    <row r="2849" spans="8:9">
      <c r="H2849" s="1092"/>
      <c r="I2849" s="1092"/>
    </row>
    <row r="2850" spans="8:9">
      <c r="H2850" s="1092"/>
      <c r="I2850" s="1092"/>
    </row>
    <row r="2851" spans="8:9">
      <c r="H2851" s="1092"/>
      <c r="I2851" s="1092"/>
    </row>
    <row r="2852" spans="8:9">
      <c r="H2852" s="1092"/>
      <c r="I2852" s="1092"/>
    </row>
    <row r="2853" spans="8:9">
      <c r="H2853" s="1092"/>
      <c r="I2853" s="1092"/>
    </row>
    <row r="2854" spans="8:9">
      <c r="H2854" s="1092"/>
      <c r="I2854" s="1092"/>
    </row>
    <row r="2855" spans="8:9">
      <c r="H2855" s="1092"/>
      <c r="I2855" s="1092"/>
    </row>
    <row r="2856" spans="8:9">
      <c r="H2856" s="1092"/>
      <c r="I2856" s="1092"/>
    </row>
    <row r="2857" spans="8:9">
      <c r="H2857" s="1092"/>
      <c r="I2857" s="1092"/>
    </row>
    <row r="2858" spans="8:9">
      <c r="H2858" s="1092"/>
      <c r="I2858" s="1092"/>
    </row>
    <row r="2859" spans="8:9">
      <c r="H2859" s="1092"/>
      <c r="I2859" s="1092"/>
    </row>
    <row r="2860" spans="8:9">
      <c r="H2860" s="1092"/>
      <c r="I2860" s="1092"/>
    </row>
    <row r="2861" spans="8:9">
      <c r="H2861" s="1092"/>
      <c r="I2861" s="1092"/>
    </row>
    <row r="2862" spans="8:9">
      <c r="H2862" s="1092"/>
      <c r="I2862" s="1092"/>
    </row>
    <row r="2863" spans="8:9">
      <c r="H2863" s="1092"/>
      <c r="I2863" s="1092"/>
    </row>
    <row r="2864" spans="8:9">
      <c r="H2864" s="1092"/>
      <c r="I2864" s="1092"/>
    </row>
    <row r="2865" spans="8:9">
      <c r="H2865" s="1092"/>
      <c r="I2865" s="1092"/>
    </row>
    <row r="2866" spans="8:9">
      <c r="H2866" s="1092"/>
      <c r="I2866" s="1092"/>
    </row>
    <row r="2867" spans="8:9">
      <c r="H2867" s="1092"/>
      <c r="I2867" s="1092"/>
    </row>
    <row r="2868" spans="8:9">
      <c r="H2868" s="1092"/>
      <c r="I2868" s="1092"/>
    </row>
    <row r="2869" spans="8:9">
      <c r="H2869" s="1092"/>
      <c r="I2869" s="1092"/>
    </row>
    <row r="2870" spans="8:9">
      <c r="H2870" s="1092"/>
      <c r="I2870" s="1092"/>
    </row>
    <row r="2871" spans="8:9">
      <c r="H2871" s="1092"/>
      <c r="I2871" s="1092"/>
    </row>
    <row r="2872" spans="8:9">
      <c r="H2872" s="1092"/>
      <c r="I2872" s="1092"/>
    </row>
    <row r="2873" spans="8:9">
      <c r="H2873" s="1092"/>
      <c r="I2873" s="1092"/>
    </row>
    <row r="2874" spans="8:9">
      <c r="H2874" s="1092"/>
      <c r="I2874" s="1092"/>
    </row>
    <row r="2875" spans="8:9">
      <c r="H2875" s="1092"/>
      <c r="I2875" s="1092"/>
    </row>
    <row r="2876" spans="8:9">
      <c r="H2876" s="1092"/>
      <c r="I2876" s="1092"/>
    </row>
    <row r="2877" spans="8:9">
      <c r="H2877" s="1092"/>
      <c r="I2877" s="1092"/>
    </row>
    <row r="2878" spans="8:9">
      <c r="H2878" s="1092"/>
      <c r="I2878" s="1092"/>
    </row>
    <row r="2879" spans="8:9">
      <c r="H2879" s="1092"/>
      <c r="I2879" s="1092"/>
    </row>
    <row r="2880" spans="8:9">
      <c r="H2880" s="1092"/>
      <c r="I2880" s="1092"/>
    </row>
    <row r="2881" spans="8:9">
      <c r="H2881" s="1092"/>
      <c r="I2881" s="1092"/>
    </row>
    <row r="2882" spans="8:9">
      <c r="H2882" s="1092"/>
      <c r="I2882" s="1092"/>
    </row>
    <row r="2883" spans="8:9">
      <c r="H2883" s="1092"/>
      <c r="I2883" s="1092"/>
    </row>
    <row r="2884" spans="8:9">
      <c r="H2884" s="1092"/>
      <c r="I2884" s="1092"/>
    </row>
    <row r="2885" spans="8:9">
      <c r="H2885" s="1092"/>
      <c r="I2885" s="1092"/>
    </row>
    <row r="2886" spans="8:9">
      <c r="H2886" s="1092"/>
      <c r="I2886" s="1092"/>
    </row>
    <row r="2887" spans="8:9">
      <c r="H2887" s="1092"/>
      <c r="I2887" s="1092"/>
    </row>
    <row r="2888" spans="8:9">
      <c r="H2888" s="1092"/>
      <c r="I2888" s="1092"/>
    </row>
    <row r="2889" spans="8:9">
      <c r="H2889" s="1092"/>
      <c r="I2889" s="1092"/>
    </row>
    <row r="2890" spans="8:9">
      <c r="H2890" s="1092"/>
      <c r="I2890" s="1092"/>
    </row>
    <row r="2891" spans="8:9">
      <c r="H2891" s="1092"/>
      <c r="I2891" s="1092"/>
    </row>
    <row r="2892" spans="8:9">
      <c r="H2892" s="1092"/>
      <c r="I2892" s="1092"/>
    </row>
    <row r="2893" spans="8:9">
      <c r="H2893" s="1092"/>
      <c r="I2893" s="1092"/>
    </row>
    <row r="2894" spans="8:9">
      <c r="H2894" s="1092"/>
      <c r="I2894" s="1092"/>
    </row>
    <row r="2895" spans="8:9">
      <c r="H2895" s="1092"/>
      <c r="I2895" s="1092"/>
    </row>
    <row r="2896" spans="8:9">
      <c r="H2896" s="1092"/>
      <c r="I2896" s="1092"/>
    </row>
    <row r="2897" spans="8:9">
      <c r="H2897" s="1092"/>
      <c r="I2897" s="1092"/>
    </row>
    <row r="2898" spans="8:9">
      <c r="H2898" s="1092"/>
      <c r="I2898" s="1092"/>
    </row>
    <row r="2899" spans="8:9">
      <c r="H2899" s="1092"/>
      <c r="I2899" s="1092"/>
    </row>
    <row r="2900" spans="8:9">
      <c r="H2900" s="1092"/>
      <c r="I2900" s="1092"/>
    </row>
    <row r="2901" spans="8:9">
      <c r="H2901" s="1092"/>
      <c r="I2901" s="1092"/>
    </row>
    <row r="2902" spans="8:9">
      <c r="H2902" s="1092"/>
      <c r="I2902" s="1092"/>
    </row>
    <row r="2903" spans="8:9">
      <c r="H2903" s="1092"/>
      <c r="I2903" s="1092"/>
    </row>
    <row r="2904" spans="8:9">
      <c r="H2904" s="1092"/>
      <c r="I2904" s="1092"/>
    </row>
    <row r="2905" spans="8:9">
      <c r="H2905" s="1092"/>
      <c r="I2905" s="1092"/>
    </row>
    <row r="2906" spans="8:9">
      <c r="H2906" s="1092"/>
      <c r="I2906" s="1092"/>
    </row>
    <row r="2907" spans="8:9">
      <c r="H2907" s="1092"/>
      <c r="I2907" s="1092"/>
    </row>
    <row r="2908" spans="8:9">
      <c r="H2908" s="1092"/>
      <c r="I2908" s="1092"/>
    </row>
    <row r="2909" spans="8:9">
      <c r="H2909" s="1092"/>
      <c r="I2909" s="1092"/>
    </row>
    <row r="2910" spans="8:9">
      <c r="H2910" s="1092"/>
      <c r="I2910" s="1092"/>
    </row>
    <row r="2911" spans="8:9">
      <c r="H2911" s="1092"/>
      <c r="I2911" s="1092"/>
    </row>
    <row r="2912" spans="8:9">
      <c r="H2912" s="1092"/>
      <c r="I2912" s="1092"/>
    </row>
    <row r="2913" spans="8:9">
      <c r="H2913" s="1092"/>
      <c r="I2913" s="1092"/>
    </row>
    <row r="2914" spans="8:9">
      <c r="H2914" s="1092"/>
      <c r="I2914" s="1092"/>
    </row>
    <row r="2915" spans="8:9">
      <c r="H2915" s="1092"/>
      <c r="I2915" s="1092"/>
    </row>
    <row r="2916" spans="8:9">
      <c r="H2916" s="1092"/>
      <c r="I2916" s="1092"/>
    </row>
    <row r="2917" spans="8:9">
      <c r="H2917" s="1092"/>
      <c r="I2917" s="1092"/>
    </row>
    <row r="2918" spans="8:9">
      <c r="H2918" s="1092"/>
      <c r="I2918" s="1092"/>
    </row>
    <row r="2919" spans="8:9">
      <c r="H2919" s="1092"/>
      <c r="I2919" s="1092"/>
    </row>
    <row r="2920" spans="8:9">
      <c r="H2920" s="1092"/>
      <c r="I2920" s="1092"/>
    </row>
    <row r="2921" spans="8:9">
      <c r="H2921" s="1092"/>
      <c r="I2921" s="1092"/>
    </row>
    <row r="2922" spans="8:9">
      <c r="H2922" s="1092"/>
      <c r="I2922" s="1092"/>
    </row>
    <row r="2923" spans="8:9">
      <c r="H2923" s="1092"/>
      <c r="I2923" s="1092"/>
    </row>
    <row r="2924" spans="8:9">
      <c r="H2924" s="1092"/>
      <c r="I2924" s="1092"/>
    </row>
    <row r="2925" spans="8:9">
      <c r="H2925" s="1092"/>
      <c r="I2925" s="1092"/>
    </row>
    <row r="2926" spans="8:9">
      <c r="H2926" s="1092"/>
      <c r="I2926" s="1092"/>
    </row>
    <row r="2927" spans="8:9">
      <c r="H2927" s="1092"/>
      <c r="I2927" s="1092"/>
    </row>
    <row r="2928" spans="8:9">
      <c r="H2928" s="1092"/>
      <c r="I2928" s="1092"/>
    </row>
    <row r="2929" spans="8:9">
      <c r="H2929" s="1092"/>
      <c r="I2929" s="1092"/>
    </row>
    <row r="2930" spans="8:9">
      <c r="H2930" s="1092"/>
      <c r="I2930" s="1092"/>
    </row>
    <row r="2931" spans="8:9">
      <c r="H2931" s="1092"/>
      <c r="I2931" s="1092"/>
    </row>
    <row r="2932" spans="8:9">
      <c r="H2932" s="1092"/>
      <c r="I2932" s="1092"/>
    </row>
    <row r="2933" spans="8:9">
      <c r="H2933" s="1092"/>
      <c r="I2933" s="1092"/>
    </row>
    <row r="2934" spans="8:9">
      <c r="H2934" s="1092"/>
      <c r="I2934" s="1092"/>
    </row>
    <row r="2935" spans="8:9">
      <c r="H2935" s="1092"/>
      <c r="I2935" s="1092"/>
    </row>
    <row r="2936" spans="8:9">
      <c r="H2936" s="1092"/>
      <c r="I2936" s="1092"/>
    </row>
    <row r="2937" spans="8:9">
      <c r="H2937" s="1092"/>
      <c r="I2937" s="1092"/>
    </row>
    <row r="2938" spans="8:9">
      <c r="H2938" s="1092"/>
      <c r="I2938" s="1092"/>
    </row>
    <row r="2939" spans="8:9">
      <c r="H2939" s="1092"/>
      <c r="I2939" s="1092"/>
    </row>
    <row r="2940" spans="8:9">
      <c r="H2940" s="1092"/>
      <c r="I2940" s="1092"/>
    </row>
    <row r="2941" spans="8:9">
      <c r="H2941" s="1092"/>
      <c r="I2941" s="1092"/>
    </row>
    <row r="2942" spans="8:9">
      <c r="H2942" s="1092"/>
      <c r="I2942" s="1092"/>
    </row>
    <row r="2943" spans="8:9">
      <c r="H2943" s="1092"/>
      <c r="I2943" s="1092"/>
    </row>
    <row r="2944" spans="8:9">
      <c r="H2944" s="1092"/>
      <c r="I2944" s="1092"/>
    </row>
    <row r="2945" spans="8:9">
      <c r="H2945" s="1092"/>
      <c r="I2945" s="1092"/>
    </row>
    <row r="2946" spans="8:9">
      <c r="H2946" s="1092"/>
      <c r="I2946" s="1092"/>
    </row>
    <row r="2947" spans="8:9">
      <c r="H2947" s="1092"/>
      <c r="I2947" s="1092"/>
    </row>
    <row r="2948" spans="8:9">
      <c r="H2948" s="1092"/>
      <c r="I2948" s="1092"/>
    </row>
    <row r="2949" spans="8:9">
      <c r="H2949" s="1092"/>
      <c r="I2949" s="1092"/>
    </row>
    <row r="2950" spans="8:9">
      <c r="H2950" s="1092"/>
      <c r="I2950" s="1092"/>
    </row>
    <row r="2951" spans="8:9">
      <c r="H2951" s="1092"/>
      <c r="I2951" s="1092"/>
    </row>
    <row r="2952" spans="8:9">
      <c r="H2952" s="1092"/>
      <c r="I2952" s="1092"/>
    </row>
    <row r="2953" spans="8:9">
      <c r="H2953" s="1092"/>
      <c r="I2953" s="1092"/>
    </row>
    <row r="2954" spans="8:9">
      <c r="H2954" s="1092"/>
      <c r="I2954" s="1092"/>
    </row>
    <row r="2955" spans="8:9">
      <c r="H2955" s="1092"/>
      <c r="I2955" s="1092"/>
    </row>
    <row r="2956" spans="8:9">
      <c r="H2956" s="1092"/>
      <c r="I2956" s="1092"/>
    </row>
    <row r="2957" spans="8:9">
      <c r="H2957" s="1092"/>
      <c r="I2957" s="1092"/>
    </row>
    <row r="2958" spans="8:9">
      <c r="H2958" s="1092"/>
      <c r="I2958" s="1092"/>
    </row>
    <row r="2959" spans="8:9">
      <c r="H2959" s="1092"/>
      <c r="I2959" s="1092"/>
    </row>
    <row r="2960" spans="8:9">
      <c r="H2960" s="1092"/>
      <c r="I2960" s="1092"/>
    </row>
    <row r="2961" spans="8:9">
      <c r="H2961" s="1092"/>
      <c r="I2961" s="1092"/>
    </row>
    <row r="2962" spans="8:9">
      <c r="H2962" s="1092"/>
      <c r="I2962" s="1092"/>
    </row>
    <row r="2963" spans="8:9">
      <c r="H2963" s="1092"/>
      <c r="I2963" s="1092"/>
    </row>
    <row r="2964" spans="8:9">
      <c r="H2964" s="1092"/>
      <c r="I2964" s="1092"/>
    </row>
    <row r="2965" spans="8:9">
      <c r="H2965" s="1092"/>
      <c r="I2965" s="1092"/>
    </row>
    <row r="2966" spans="8:9">
      <c r="H2966" s="1092"/>
      <c r="I2966" s="1092"/>
    </row>
    <row r="2967" spans="8:9">
      <c r="H2967" s="1092"/>
      <c r="I2967" s="1092"/>
    </row>
    <row r="2968" spans="8:9">
      <c r="H2968" s="1092"/>
      <c r="I2968" s="1092"/>
    </row>
    <row r="2969" spans="8:9">
      <c r="H2969" s="1092"/>
      <c r="I2969" s="1092"/>
    </row>
    <row r="2970" spans="8:9">
      <c r="H2970" s="1092"/>
      <c r="I2970" s="1092"/>
    </row>
    <row r="2971" spans="8:9">
      <c r="H2971" s="1092"/>
      <c r="I2971" s="1092"/>
    </row>
    <row r="2972" spans="8:9">
      <c r="H2972" s="1092"/>
      <c r="I2972" s="1092"/>
    </row>
    <row r="2973" spans="8:9">
      <c r="H2973" s="1092"/>
      <c r="I2973" s="1092"/>
    </row>
    <row r="2974" spans="8:9">
      <c r="H2974" s="1092"/>
      <c r="I2974" s="1092"/>
    </row>
    <row r="2975" spans="8:9">
      <c r="H2975" s="1092"/>
      <c r="I2975" s="1092"/>
    </row>
    <row r="2976" spans="8:9">
      <c r="H2976" s="1092"/>
      <c r="I2976" s="1092"/>
    </row>
    <row r="2977" spans="8:9">
      <c r="H2977" s="1092"/>
      <c r="I2977" s="1092"/>
    </row>
    <row r="2978" spans="8:9">
      <c r="H2978" s="1092"/>
      <c r="I2978" s="1092"/>
    </row>
    <row r="2979" spans="8:9">
      <c r="H2979" s="1092"/>
      <c r="I2979" s="1092"/>
    </row>
    <row r="2980" spans="8:9">
      <c r="H2980" s="1092"/>
      <c r="I2980" s="1092"/>
    </row>
    <row r="2981" spans="8:9">
      <c r="H2981" s="1092"/>
      <c r="I2981" s="1092"/>
    </row>
    <row r="2982" spans="8:9">
      <c r="H2982" s="1092"/>
      <c r="I2982" s="1092"/>
    </row>
    <row r="2983" spans="8:9">
      <c r="H2983" s="1092"/>
      <c r="I2983" s="1092"/>
    </row>
    <row r="2984" spans="8:9">
      <c r="H2984" s="1092"/>
      <c r="I2984" s="1092"/>
    </row>
    <row r="2985" spans="8:9">
      <c r="H2985" s="1092"/>
      <c r="I2985" s="1092"/>
    </row>
    <row r="2986" spans="8:9">
      <c r="H2986" s="1092"/>
      <c r="I2986" s="1092"/>
    </row>
    <row r="2987" spans="8:9">
      <c r="H2987" s="1092"/>
      <c r="I2987" s="1092"/>
    </row>
    <row r="2988" spans="8:9">
      <c r="H2988" s="1092"/>
      <c r="I2988" s="1092"/>
    </row>
    <row r="2989" spans="8:9">
      <c r="H2989" s="1092"/>
      <c r="I2989" s="1092"/>
    </row>
    <row r="2990" spans="8:9">
      <c r="H2990" s="1092"/>
      <c r="I2990" s="1092"/>
    </row>
    <row r="2991" spans="8:9">
      <c r="H2991" s="1092"/>
      <c r="I2991" s="1092"/>
    </row>
    <row r="2992" spans="8:9">
      <c r="H2992" s="1092"/>
      <c r="I2992" s="1092"/>
    </row>
    <row r="2993" spans="8:9">
      <c r="H2993" s="1092"/>
      <c r="I2993" s="1092"/>
    </row>
    <row r="2994" spans="8:9">
      <c r="H2994" s="1092"/>
      <c r="I2994" s="1092"/>
    </row>
    <row r="2995" spans="8:9">
      <c r="H2995" s="1092"/>
      <c r="I2995" s="1092"/>
    </row>
    <row r="2996" spans="8:9">
      <c r="H2996" s="1092"/>
      <c r="I2996" s="1092"/>
    </row>
    <row r="2997" spans="8:9">
      <c r="H2997" s="1092"/>
      <c r="I2997" s="1092"/>
    </row>
    <row r="2998" spans="8:9">
      <c r="H2998" s="1092"/>
      <c r="I2998" s="1092"/>
    </row>
    <row r="2999" spans="8:9">
      <c r="H2999" s="1092"/>
      <c r="I2999" s="1092"/>
    </row>
    <row r="3000" spans="8:9">
      <c r="H3000" s="1092"/>
      <c r="I3000" s="1092"/>
    </row>
    <row r="3001" spans="8:9">
      <c r="H3001" s="1092"/>
      <c r="I3001" s="1092"/>
    </row>
    <row r="3002" spans="8:9">
      <c r="H3002" s="1092"/>
      <c r="I3002" s="1092"/>
    </row>
    <row r="3003" spans="8:9">
      <c r="H3003" s="1092"/>
      <c r="I3003" s="1092"/>
    </row>
    <row r="3004" spans="8:9">
      <c r="H3004" s="1092"/>
      <c r="I3004" s="1092"/>
    </row>
    <row r="3005" spans="8:9">
      <c r="H3005" s="1092"/>
      <c r="I3005" s="1092"/>
    </row>
    <row r="3006" spans="8:9">
      <c r="H3006" s="1092"/>
      <c r="I3006" s="1092"/>
    </row>
    <row r="3007" spans="8:9">
      <c r="H3007" s="1092"/>
      <c r="I3007" s="1092"/>
    </row>
    <row r="3008" spans="8:9">
      <c r="H3008" s="1092"/>
      <c r="I3008" s="1092"/>
    </row>
    <row r="3009" spans="8:9">
      <c r="H3009" s="1092"/>
      <c r="I3009" s="1092"/>
    </row>
    <row r="3010" spans="8:9">
      <c r="H3010" s="1092"/>
      <c r="I3010" s="1092"/>
    </row>
    <row r="3011" spans="8:9">
      <c r="H3011" s="1092"/>
      <c r="I3011" s="1092"/>
    </row>
    <row r="3012" spans="8:9">
      <c r="H3012" s="1092"/>
      <c r="I3012" s="1092"/>
    </row>
    <row r="3013" spans="8:9">
      <c r="H3013" s="1092"/>
      <c r="I3013" s="1092"/>
    </row>
    <row r="3014" spans="8:9">
      <c r="H3014" s="1092"/>
      <c r="I3014" s="1092"/>
    </row>
    <row r="3015" spans="8:9">
      <c r="H3015" s="1092"/>
      <c r="I3015" s="1092"/>
    </row>
    <row r="3016" spans="8:9">
      <c r="H3016" s="1092"/>
      <c r="I3016" s="1092"/>
    </row>
    <row r="3017" spans="8:9">
      <c r="H3017" s="1092"/>
      <c r="I3017" s="1092"/>
    </row>
    <row r="3018" spans="8:9">
      <c r="H3018" s="1092"/>
      <c r="I3018" s="1092"/>
    </row>
    <row r="3019" spans="8:9">
      <c r="H3019" s="1092"/>
      <c r="I3019" s="1092"/>
    </row>
    <row r="3020" spans="8:9">
      <c r="H3020" s="1092"/>
      <c r="I3020" s="1092"/>
    </row>
    <row r="3021" spans="8:9">
      <c r="H3021" s="1092"/>
      <c r="I3021" s="1092"/>
    </row>
    <row r="3022" spans="8:9">
      <c r="H3022" s="1092"/>
      <c r="I3022" s="1092"/>
    </row>
    <row r="3023" spans="8:9">
      <c r="H3023" s="1092"/>
      <c r="I3023" s="1092"/>
    </row>
    <row r="3024" spans="8:9">
      <c r="H3024" s="1092"/>
      <c r="I3024" s="1092"/>
    </row>
    <row r="3025" spans="8:9">
      <c r="H3025" s="1092"/>
      <c r="I3025" s="1092"/>
    </row>
    <row r="3026" spans="8:9">
      <c r="H3026" s="1092"/>
      <c r="I3026" s="1092"/>
    </row>
    <row r="3027" spans="8:9">
      <c r="H3027" s="1092"/>
      <c r="I3027" s="1092"/>
    </row>
    <row r="3028" spans="8:9">
      <c r="H3028" s="1092"/>
      <c r="I3028" s="1092"/>
    </row>
    <row r="3029" spans="8:9">
      <c r="H3029" s="1092"/>
      <c r="I3029" s="1092"/>
    </row>
    <row r="3030" spans="8:9">
      <c r="H3030" s="1092"/>
      <c r="I3030" s="1092"/>
    </row>
    <row r="3031" spans="8:9">
      <c r="H3031" s="1092"/>
      <c r="I3031" s="1092"/>
    </row>
    <row r="3032" spans="8:9">
      <c r="H3032" s="1092"/>
      <c r="I3032" s="1092"/>
    </row>
    <row r="3033" spans="8:9">
      <c r="H3033" s="1092"/>
      <c r="I3033" s="1092"/>
    </row>
    <row r="3034" spans="8:9">
      <c r="H3034" s="1092"/>
      <c r="I3034" s="1092"/>
    </row>
    <row r="3035" spans="8:9">
      <c r="H3035" s="1092"/>
      <c r="I3035" s="1092"/>
    </row>
    <row r="3036" spans="8:9">
      <c r="H3036" s="1092"/>
      <c r="I3036" s="1092"/>
    </row>
    <row r="3037" spans="8:9">
      <c r="H3037" s="1092"/>
      <c r="I3037" s="1092"/>
    </row>
    <row r="3038" spans="8:9">
      <c r="H3038" s="1092"/>
      <c r="I3038" s="1092"/>
    </row>
    <row r="3039" spans="8:9">
      <c r="H3039" s="1092"/>
      <c r="I3039" s="1092"/>
    </row>
    <row r="3040" spans="8:9">
      <c r="H3040" s="1092"/>
      <c r="I3040" s="1092"/>
    </row>
    <row r="3041" spans="8:9">
      <c r="H3041" s="1092"/>
      <c r="I3041" s="1092"/>
    </row>
    <row r="3042" spans="8:9">
      <c r="H3042" s="1092"/>
      <c r="I3042" s="1092"/>
    </row>
    <row r="3043" spans="8:9">
      <c r="H3043" s="1092"/>
      <c r="I3043" s="1092"/>
    </row>
    <row r="3044" spans="8:9">
      <c r="H3044" s="1092"/>
      <c r="I3044" s="1092"/>
    </row>
    <row r="3045" spans="8:9">
      <c r="H3045" s="1092"/>
      <c r="I3045" s="1092"/>
    </row>
    <row r="3046" spans="8:9">
      <c r="H3046" s="1092"/>
      <c r="I3046" s="1092"/>
    </row>
    <row r="3047" spans="8:9">
      <c r="H3047" s="1092"/>
      <c r="I3047" s="1092"/>
    </row>
    <row r="3048" spans="8:9">
      <c r="H3048" s="1092"/>
      <c r="I3048" s="1092"/>
    </row>
    <row r="3049" spans="8:9">
      <c r="H3049" s="1092"/>
      <c r="I3049" s="1092"/>
    </row>
    <row r="3050" spans="8:9">
      <c r="H3050" s="1092"/>
      <c r="I3050" s="1092"/>
    </row>
    <row r="3051" spans="8:9">
      <c r="H3051" s="1092"/>
      <c r="I3051" s="1092"/>
    </row>
    <row r="3052" spans="8:9">
      <c r="H3052" s="1092"/>
      <c r="I3052" s="1092"/>
    </row>
    <row r="3053" spans="8:9">
      <c r="H3053" s="1092"/>
      <c r="I3053" s="1092"/>
    </row>
    <row r="3054" spans="8:9">
      <c r="H3054" s="1092"/>
      <c r="I3054" s="1092"/>
    </row>
    <row r="3055" spans="8:9">
      <c r="H3055" s="1092"/>
      <c r="I3055" s="1092"/>
    </row>
    <row r="3056" spans="8:9">
      <c r="H3056" s="1092"/>
      <c r="I3056" s="1092"/>
    </row>
    <row r="3057" spans="8:9">
      <c r="H3057" s="1092"/>
      <c r="I3057" s="1092"/>
    </row>
    <row r="3058" spans="8:9">
      <c r="H3058" s="1092"/>
      <c r="I3058" s="1092"/>
    </row>
    <row r="3059" spans="8:9">
      <c r="H3059" s="1092"/>
      <c r="I3059" s="1092"/>
    </row>
    <row r="3060" spans="8:9">
      <c r="H3060" s="1092"/>
      <c r="I3060" s="1092"/>
    </row>
    <row r="3061" spans="8:9">
      <c r="H3061" s="1092"/>
      <c r="I3061" s="1092"/>
    </row>
    <row r="3062" spans="8:9">
      <c r="H3062" s="1092"/>
      <c r="I3062" s="1092"/>
    </row>
    <row r="3063" spans="8:9">
      <c r="H3063" s="1092"/>
      <c r="I3063" s="1092"/>
    </row>
    <row r="3064" spans="8:9">
      <c r="H3064" s="1092"/>
      <c r="I3064" s="1092"/>
    </row>
    <row r="3065" spans="8:9">
      <c r="H3065" s="1092"/>
      <c r="I3065" s="1092"/>
    </row>
    <row r="3066" spans="8:9">
      <c r="H3066" s="1092"/>
      <c r="I3066" s="1092"/>
    </row>
    <row r="3067" spans="8:9">
      <c r="H3067" s="1092"/>
      <c r="I3067" s="1092"/>
    </row>
    <row r="3068" spans="8:9">
      <c r="H3068" s="1092"/>
      <c r="I3068" s="1092"/>
    </row>
    <row r="3069" spans="8:9">
      <c r="H3069" s="1092"/>
      <c r="I3069" s="1092"/>
    </row>
    <row r="3070" spans="8:9">
      <c r="H3070" s="1092"/>
      <c r="I3070" s="1092"/>
    </row>
    <row r="3071" spans="8:9">
      <c r="H3071" s="1092"/>
      <c r="I3071" s="1092"/>
    </row>
    <row r="3072" spans="8:9">
      <c r="H3072" s="1092"/>
      <c r="I3072" s="1092"/>
    </row>
    <row r="3073" spans="8:9">
      <c r="H3073" s="1092"/>
      <c r="I3073" s="1092"/>
    </row>
    <row r="3074" spans="8:9">
      <c r="H3074" s="1092"/>
      <c r="I3074" s="1092"/>
    </row>
    <row r="3075" spans="8:9">
      <c r="H3075" s="1092"/>
      <c r="I3075" s="1092"/>
    </row>
    <row r="3076" spans="8:9">
      <c r="H3076" s="1092"/>
      <c r="I3076" s="1092"/>
    </row>
    <row r="3077" spans="8:9">
      <c r="H3077" s="1092"/>
      <c r="I3077" s="1092"/>
    </row>
    <row r="3078" spans="8:9">
      <c r="H3078" s="1092"/>
      <c r="I3078" s="1092"/>
    </row>
    <row r="3079" spans="8:9">
      <c r="H3079" s="1092"/>
      <c r="I3079" s="1092"/>
    </row>
    <row r="3080" spans="8:9">
      <c r="H3080" s="1092"/>
      <c r="I3080" s="1092"/>
    </row>
    <row r="3081" spans="8:9">
      <c r="H3081" s="1092"/>
      <c r="I3081" s="1092"/>
    </row>
    <row r="3082" spans="8:9">
      <c r="H3082" s="1092"/>
      <c r="I3082" s="1092"/>
    </row>
    <row r="3083" spans="8:9">
      <c r="H3083" s="1092"/>
      <c r="I3083" s="1092"/>
    </row>
    <row r="3084" spans="8:9">
      <c r="H3084" s="1092"/>
      <c r="I3084" s="1092"/>
    </row>
    <row r="3085" spans="8:9">
      <c r="H3085" s="1092"/>
      <c r="I3085" s="1092"/>
    </row>
    <row r="3086" spans="8:9">
      <c r="H3086" s="1092"/>
      <c r="I3086" s="1092"/>
    </row>
    <row r="3087" spans="8:9">
      <c r="H3087" s="1092"/>
      <c r="I3087" s="1092"/>
    </row>
    <row r="3088" spans="8:9">
      <c r="H3088" s="1092"/>
      <c r="I3088" s="1092"/>
    </row>
    <row r="3089" spans="8:9">
      <c r="H3089" s="1092"/>
      <c r="I3089" s="1092"/>
    </row>
    <row r="3090" spans="8:9">
      <c r="H3090" s="1092"/>
      <c r="I3090" s="1092"/>
    </row>
    <row r="3091" spans="8:9">
      <c r="H3091" s="1092"/>
      <c r="I3091" s="1092"/>
    </row>
    <row r="3092" spans="8:9">
      <c r="H3092" s="1092"/>
      <c r="I3092" s="1092"/>
    </row>
    <row r="3093" spans="8:9">
      <c r="H3093" s="1092"/>
      <c r="I3093" s="1092"/>
    </row>
    <row r="3094" spans="8:9">
      <c r="H3094" s="1092"/>
      <c r="I3094" s="1092"/>
    </row>
    <row r="3095" spans="8:9">
      <c r="H3095" s="1092"/>
      <c r="I3095" s="1092"/>
    </row>
    <row r="3096" spans="8:9">
      <c r="H3096" s="1092"/>
      <c r="I3096" s="1092"/>
    </row>
    <row r="3097" spans="8:9">
      <c r="H3097" s="1092"/>
      <c r="I3097" s="1092"/>
    </row>
    <row r="3098" spans="8:9">
      <c r="H3098" s="1092"/>
      <c r="I3098" s="1092"/>
    </row>
    <row r="3099" spans="8:9">
      <c r="H3099" s="1092"/>
      <c r="I3099" s="1092"/>
    </row>
    <row r="3100" spans="8:9">
      <c r="H3100" s="1092"/>
      <c r="I3100" s="1092"/>
    </row>
    <row r="3101" spans="8:9">
      <c r="H3101" s="1092"/>
      <c r="I3101" s="1092"/>
    </row>
    <row r="3102" spans="8:9">
      <c r="H3102" s="1092"/>
      <c r="I3102" s="1092"/>
    </row>
    <row r="3103" spans="8:9">
      <c r="H3103" s="1092"/>
      <c r="I3103" s="1092"/>
    </row>
    <row r="3104" spans="8:9">
      <c r="H3104" s="1092"/>
      <c r="I3104" s="1092"/>
    </row>
    <row r="3105" spans="8:9">
      <c r="H3105" s="1092"/>
      <c r="I3105" s="1092"/>
    </row>
    <row r="3106" spans="8:9">
      <c r="H3106" s="1092"/>
      <c r="I3106" s="1092"/>
    </row>
    <row r="3107" spans="8:9">
      <c r="H3107" s="1092"/>
      <c r="I3107" s="1092"/>
    </row>
    <row r="3108" spans="8:9">
      <c r="H3108" s="1092"/>
      <c r="I3108" s="1092"/>
    </row>
    <row r="3109" spans="8:9">
      <c r="H3109" s="1092"/>
      <c r="I3109" s="1092"/>
    </row>
    <row r="3110" spans="8:9">
      <c r="H3110" s="1092"/>
      <c r="I3110" s="1092"/>
    </row>
    <row r="3111" spans="8:9">
      <c r="H3111" s="1092"/>
      <c r="I3111" s="1092"/>
    </row>
    <row r="3112" spans="8:9">
      <c r="H3112" s="1092"/>
      <c r="I3112" s="1092"/>
    </row>
    <row r="3113" spans="8:9">
      <c r="H3113" s="1092"/>
      <c r="I3113" s="1092"/>
    </row>
    <row r="3114" spans="8:9">
      <c r="H3114" s="1092"/>
      <c r="I3114" s="1092"/>
    </row>
    <row r="3115" spans="8:9">
      <c r="H3115" s="1092"/>
      <c r="I3115" s="1092"/>
    </row>
    <row r="3116" spans="8:9">
      <c r="H3116" s="1092"/>
      <c r="I3116" s="1092"/>
    </row>
    <row r="3117" spans="8:9">
      <c r="H3117" s="1092"/>
      <c r="I3117" s="1092"/>
    </row>
    <row r="3118" spans="8:9">
      <c r="H3118" s="1092"/>
      <c r="I3118" s="1092"/>
    </row>
    <row r="3119" spans="8:9">
      <c r="H3119" s="1092"/>
      <c r="I3119" s="1092"/>
    </row>
    <row r="3120" spans="8:9">
      <c r="H3120" s="1092"/>
      <c r="I3120" s="1092"/>
    </row>
    <row r="3121" spans="8:9">
      <c r="H3121" s="1092"/>
      <c r="I3121" s="1092"/>
    </row>
    <row r="3122" spans="8:9">
      <c r="H3122" s="1092"/>
      <c r="I3122" s="1092"/>
    </row>
    <row r="3123" spans="8:9">
      <c r="H3123" s="1092"/>
      <c r="I3123" s="1092"/>
    </row>
    <row r="3124" spans="8:9">
      <c r="H3124" s="1092"/>
      <c r="I3124" s="1092"/>
    </row>
    <row r="3125" spans="8:9">
      <c r="H3125" s="1092"/>
      <c r="I3125" s="1092"/>
    </row>
    <row r="3126" spans="8:9">
      <c r="H3126" s="1092"/>
      <c r="I3126" s="1092"/>
    </row>
    <row r="3127" spans="8:9">
      <c r="H3127" s="1092"/>
      <c r="I3127" s="1092"/>
    </row>
    <row r="3128" spans="8:9">
      <c r="H3128" s="1092"/>
      <c r="I3128" s="1092"/>
    </row>
    <row r="3129" spans="8:9">
      <c r="H3129" s="1092"/>
      <c r="I3129" s="1092"/>
    </row>
    <row r="3130" spans="8:9">
      <c r="H3130" s="1092"/>
      <c r="I3130" s="1092"/>
    </row>
    <row r="3131" spans="8:9">
      <c r="H3131" s="1092"/>
      <c r="I3131" s="1092"/>
    </row>
    <row r="3132" spans="8:9">
      <c r="H3132" s="1092"/>
      <c r="I3132" s="1092"/>
    </row>
    <row r="3133" spans="8:9">
      <c r="H3133" s="1092"/>
      <c r="I3133" s="1092"/>
    </row>
    <row r="3134" spans="8:9">
      <c r="H3134" s="1092"/>
      <c r="I3134" s="1092"/>
    </row>
    <row r="3135" spans="8:9">
      <c r="H3135" s="1092"/>
      <c r="I3135" s="1092"/>
    </row>
    <row r="3136" spans="8:9">
      <c r="H3136" s="1092"/>
      <c r="I3136" s="1092"/>
    </row>
    <row r="3137" spans="8:9">
      <c r="H3137" s="1092"/>
      <c r="I3137" s="1092"/>
    </row>
    <row r="3138" spans="8:9">
      <c r="H3138" s="1092"/>
      <c r="I3138" s="1092"/>
    </row>
    <row r="3139" spans="8:9">
      <c r="H3139" s="1092"/>
      <c r="I3139" s="1092"/>
    </row>
    <row r="3140" spans="8:9">
      <c r="H3140" s="1092"/>
      <c r="I3140" s="1092"/>
    </row>
    <row r="3141" spans="8:9">
      <c r="H3141" s="1092"/>
      <c r="I3141" s="1092"/>
    </row>
    <row r="3142" spans="8:9">
      <c r="H3142" s="1092"/>
      <c r="I3142" s="1092"/>
    </row>
    <row r="3143" spans="8:9">
      <c r="H3143" s="1092"/>
      <c r="I3143" s="1092"/>
    </row>
    <row r="3144" spans="8:9">
      <c r="H3144" s="1092"/>
      <c r="I3144" s="1092"/>
    </row>
    <row r="3145" spans="8:9">
      <c r="H3145" s="1092"/>
      <c r="I3145" s="1092"/>
    </row>
    <row r="3146" spans="8:9">
      <c r="H3146" s="1092"/>
      <c r="I3146" s="1092"/>
    </row>
    <row r="3147" spans="8:9">
      <c r="H3147" s="1092"/>
      <c r="I3147" s="1092"/>
    </row>
    <row r="3148" spans="8:9">
      <c r="H3148" s="1092"/>
      <c r="I3148" s="1092"/>
    </row>
    <row r="3149" spans="8:9">
      <c r="H3149" s="1092"/>
      <c r="I3149" s="1092"/>
    </row>
    <row r="3150" spans="8:9">
      <c r="H3150" s="1092"/>
      <c r="I3150" s="1092"/>
    </row>
    <row r="3151" spans="8:9">
      <c r="H3151" s="1092"/>
      <c r="I3151" s="1092"/>
    </row>
    <row r="3152" spans="8:9">
      <c r="H3152" s="1092"/>
      <c r="I3152" s="1092"/>
    </row>
    <row r="3153" spans="8:9">
      <c r="H3153" s="1092"/>
      <c r="I3153" s="1092"/>
    </row>
    <row r="3154" spans="8:9">
      <c r="H3154" s="1092"/>
      <c r="I3154" s="1092"/>
    </row>
    <row r="3155" spans="8:9">
      <c r="H3155" s="1092"/>
      <c r="I3155" s="1092"/>
    </row>
    <row r="3156" spans="8:9">
      <c r="H3156" s="1092"/>
      <c r="I3156" s="1092"/>
    </row>
    <row r="3157" spans="8:9">
      <c r="H3157" s="1092"/>
      <c r="I3157" s="1092"/>
    </row>
    <row r="3158" spans="8:9">
      <c r="H3158" s="1092"/>
      <c r="I3158" s="1092"/>
    </row>
    <row r="3159" spans="8:9">
      <c r="H3159" s="1092"/>
      <c r="I3159" s="1092"/>
    </row>
    <row r="3160" spans="8:9">
      <c r="H3160" s="1092"/>
      <c r="I3160" s="1092"/>
    </row>
    <row r="3161" spans="8:9">
      <c r="H3161" s="1092"/>
      <c r="I3161" s="1092"/>
    </row>
    <row r="3162" spans="8:9">
      <c r="H3162" s="1092"/>
      <c r="I3162" s="1092"/>
    </row>
    <row r="3163" spans="8:9">
      <c r="H3163" s="1092"/>
      <c r="I3163" s="1092"/>
    </row>
    <row r="3164" spans="8:9">
      <c r="H3164" s="1092"/>
      <c r="I3164" s="1092"/>
    </row>
    <row r="3165" spans="8:9">
      <c r="H3165" s="1092"/>
      <c r="I3165" s="1092"/>
    </row>
    <row r="3166" spans="8:9">
      <c r="H3166" s="1092"/>
      <c r="I3166" s="1092"/>
    </row>
    <row r="3167" spans="8:9">
      <c r="H3167" s="1092"/>
      <c r="I3167" s="1092"/>
    </row>
    <row r="3168" spans="8:9">
      <c r="H3168" s="1092"/>
      <c r="I3168" s="1092"/>
    </row>
    <row r="3169" spans="8:9">
      <c r="H3169" s="1092"/>
      <c r="I3169" s="1092"/>
    </row>
    <row r="3170" spans="8:9">
      <c r="H3170" s="1092"/>
      <c r="I3170" s="1092"/>
    </row>
    <row r="3171" spans="8:9">
      <c r="H3171" s="1092"/>
      <c r="I3171" s="1092"/>
    </row>
    <row r="3172" spans="8:9">
      <c r="H3172" s="1092"/>
      <c r="I3172" s="1092"/>
    </row>
    <row r="3173" spans="8:9">
      <c r="H3173" s="1092"/>
      <c r="I3173" s="1092"/>
    </row>
    <row r="3174" spans="8:9">
      <c r="H3174" s="1092"/>
      <c r="I3174" s="1092"/>
    </row>
    <row r="3175" spans="8:9">
      <c r="H3175" s="1092"/>
      <c r="I3175" s="1092"/>
    </row>
    <row r="3176" spans="8:9">
      <c r="H3176" s="1092"/>
      <c r="I3176" s="1092"/>
    </row>
    <row r="3177" spans="8:9">
      <c r="H3177" s="1092"/>
      <c r="I3177" s="1092"/>
    </row>
    <row r="3178" spans="8:9">
      <c r="H3178" s="1092"/>
      <c r="I3178" s="1092"/>
    </row>
    <row r="3179" spans="8:9">
      <c r="H3179" s="1092"/>
      <c r="I3179" s="1092"/>
    </row>
    <row r="3180" spans="8:9">
      <c r="H3180" s="1092"/>
      <c r="I3180" s="1092"/>
    </row>
    <row r="3181" spans="8:9">
      <c r="H3181" s="1092"/>
      <c r="I3181" s="1092"/>
    </row>
    <row r="3182" spans="8:9">
      <c r="H3182" s="1092"/>
      <c r="I3182" s="1092"/>
    </row>
    <row r="3183" spans="8:9">
      <c r="H3183" s="1092"/>
      <c r="I3183" s="1092"/>
    </row>
    <row r="3184" spans="8:9">
      <c r="H3184" s="1092"/>
      <c r="I3184" s="1092"/>
    </row>
    <row r="3185" spans="8:9">
      <c r="H3185" s="1092"/>
      <c r="I3185" s="1092"/>
    </row>
    <row r="3186" spans="8:9">
      <c r="H3186" s="1092"/>
      <c r="I3186" s="1092"/>
    </row>
    <row r="3187" spans="8:9">
      <c r="H3187" s="1092"/>
      <c r="I3187" s="1092"/>
    </row>
    <row r="3188" spans="8:9">
      <c r="H3188" s="1092"/>
      <c r="I3188" s="1092"/>
    </row>
    <row r="3189" spans="8:9">
      <c r="H3189" s="1092"/>
      <c r="I3189" s="1092"/>
    </row>
    <row r="3190" spans="8:9">
      <c r="H3190" s="1092"/>
      <c r="I3190" s="1092"/>
    </row>
    <row r="3191" spans="8:9">
      <c r="H3191" s="1092"/>
      <c r="I3191" s="1092"/>
    </row>
    <row r="3192" spans="8:9">
      <c r="H3192" s="1092"/>
      <c r="I3192" s="1092"/>
    </row>
    <row r="3193" spans="8:9">
      <c r="H3193" s="1092"/>
      <c r="I3193" s="1092"/>
    </row>
    <row r="3194" spans="8:9">
      <c r="H3194" s="1092"/>
      <c r="I3194" s="1092"/>
    </row>
    <row r="3195" spans="8:9">
      <c r="H3195" s="1092"/>
      <c r="I3195" s="1092"/>
    </row>
    <row r="3196" spans="8:9">
      <c r="H3196" s="1092"/>
      <c r="I3196" s="1092"/>
    </row>
    <row r="3197" spans="8:9">
      <c r="H3197" s="1092"/>
      <c r="I3197" s="1092"/>
    </row>
    <row r="3198" spans="8:9">
      <c r="H3198" s="1092"/>
      <c r="I3198" s="1092"/>
    </row>
    <row r="3199" spans="8:9">
      <c r="H3199" s="1092"/>
      <c r="I3199" s="1092"/>
    </row>
    <row r="3200" spans="8:9">
      <c r="H3200" s="1092"/>
      <c r="I3200" s="1092"/>
    </row>
    <row r="3201" spans="8:9">
      <c r="H3201" s="1092"/>
      <c r="I3201" s="1092"/>
    </row>
    <row r="3202" spans="8:9">
      <c r="H3202" s="1092"/>
      <c r="I3202" s="1092"/>
    </row>
    <row r="3203" spans="8:9">
      <c r="H3203" s="1092"/>
      <c r="I3203" s="1092"/>
    </row>
    <row r="3204" spans="8:9">
      <c r="H3204" s="1092"/>
      <c r="I3204" s="1092"/>
    </row>
    <row r="3205" spans="8:9">
      <c r="H3205" s="1092"/>
      <c r="I3205" s="1092"/>
    </row>
    <row r="3206" spans="8:9">
      <c r="H3206" s="1092"/>
      <c r="I3206" s="1092"/>
    </row>
    <row r="3207" spans="8:9">
      <c r="H3207" s="1092"/>
      <c r="I3207" s="1092"/>
    </row>
    <row r="3208" spans="8:9">
      <c r="H3208" s="1092"/>
      <c r="I3208" s="1092"/>
    </row>
    <row r="3209" spans="8:9">
      <c r="H3209" s="1092"/>
      <c r="I3209" s="1092"/>
    </row>
    <row r="3210" spans="8:9">
      <c r="H3210" s="1092"/>
      <c r="I3210" s="1092"/>
    </row>
    <row r="3211" spans="8:9">
      <c r="H3211" s="1092"/>
      <c r="I3211" s="1092"/>
    </row>
    <row r="3212" spans="8:9">
      <c r="H3212" s="1092"/>
      <c r="I3212" s="1092"/>
    </row>
    <row r="3213" spans="8:9">
      <c r="H3213" s="1092"/>
      <c r="I3213" s="1092"/>
    </row>
    <row r="3214" spans="8:9">
      <c r="H3214" s="1092"/>
      <c r="I3214" s="1092"/>
    </row>
    <row r="3215" spans="8:9">
      <c r="H3215" s="1092"/>
      <c r="I3215" s="1092"/>
    </row>
    <row r="3216" spans="8:9">
      <c r="H3216" s="1092"/>
      <c r="I3216" s="1092"/>
    </row>
    <row r="3217" spans="8:9">
      <c r="H3217" s="1092"/>
      <c r="I3217" s="1092"/>
    </row>
    <row r="3218" spans="8:9">
      <c r="H3218" s="1092"/>
      <c r="I3218" s="1092"/>
    </row>
    <row r="3219" spans="8:9">
      <c r="H3219" s="1092"/>
      <c r="I3219" s="1092"/>
    </row>
    <row r="3220" spans="8:9">
      <c r="H3220" s="1092"/>
      <c r="I3220" s="1092"/>
    </row>
    <row r="3221" spans="8:9">
      <c r="H3221" s="1092"/>
      <c r="I3221" s="1092"/>
    </row>
    <row r="3222" spans="8:9">
      <c r="H3222" s="1092"/>
      <c r="I3222" s="1092"/>
    </row>
    <row r="3223" spans="8:9">
      <c r="H3223" s="1092"/>
      <c r="I3223" s="1092"/>
    </row>
    <row r="3224" spans="8:9">
      <c r="H3224" s="1092"/>
      <c r="I3224" s="1092"/>
    </row>
    <row r="3225" spans="8:9">
      <c r="H3225" s="1092"/>
      <c r="I3225" s="1092"/>
    </row>
    <row r="3226" spans="8:9">
      <c r="H3226" s="1092"/>
      <c r="I3226" s="1092"/>
    </row>
    <row r="3227" spans="8:9">
      <c r="H3227" s="1092"/>
      <c r="I3227" s="1092"/>
    </row>
    <row r="3228" spans="8:9">
      <c r="H3228" s="1092"/>
      <c r="I3228" s="1092"/>
    </row>
    <row r="3229" spans="8:9">
      <c r="H3229" s="1092"/>
      <c r="I3229" s="1092"/>
    </row>
    <row r="3230" spans="8:9">
      <c r="H3230" s="1092"/>
      <c r="I3230" s="1092"/>
    </row>
    <row r="3231" spans="8:9">
      <c r="H3231" s="1092"/>
      <c r="I3231" s="1092"/>
    </row>
    <row r="3232" spans="8:9">
      <c r="H3232" s="1092"/>
      <c r="I3232" s="1092"/>
    </row>
    <row r="3233" spans="8:9">
      <c r="H3233" s="1092"/>
      <c r="I3233" s="1092"/>
    </row>
    <row r="3234" spans="8:9">
      <c r="H3234" s="1092"/>
      <c r="I3234" s="1092"/>
    </row>
    <row r="3235" spans="8:9">
      <c r="H3235" s="1092"/>
      <c r="I3235" s="1092"/>
    </row>
    <row r="3236" spans="8:9">
      <c r="H3236" s="1092"/>
      <c r="I3236" s="1092"/>
    </row>
    <row r="3237" spans="8:9">
      <c r="H3237" s="1092"/>
      <c r="I3237" s="1092"/>
    </row>
    <row r="3238" spans="8:9">
      <c r="H3238" s="1092"/>
      <c r="I3238" s="1092"/>
    </row>
    <row r="3239" spans="8:9">
      <c r="H3239" s="1092"/>
      <c r="I3239" s="1092"/>
    </row>
    <row r="3240" spans="8:9">
      <c r="H3240" s="1092"/>
      <c r="I3240" s="1092"/>
    </row>
    <row r="3241" spans="8:9">
      <c r="H3241" s="1092"/>
      <c r="I3241" s="1092"/>
    </row>
    <row r="3242" spans="8:9">
      <c r="H3242" s="1092"/>
      <c r="I3242" s="1092"/>
    </row>
    <row r="3243" spans="8:9">
      <c r="H3243" s="1092"/>
      <c r="I3243" s="1092"/>
    </row>
    <row r="3244" spans="8:9">
      <c r="H3244" s="1092"/>
      <c r="I3244" s="1092"/>
    </row>
    <row r="3245" spans="8:9">
      <c r="H3245" s="1092"/>
      <c r="I3245" s="1092"/>
    </row>
    <row r="3246" spans="8:9">
      <c r="H3246" s="1092"/>
      <c r="I3246" s="1092"/>
    </row>
    <row r="3247" spans="8:9">
      <c r="H3247" s="1092"/>
      <c r="I3247" s="1092"/>
    </row>
    <row r="3248" spans="8:9">
      <c r="H3248" s="1092"/>
      <c r="I3248" s="1092"/>
    </row>
    <row r="3249" spans="8:9">
      <c r="H3249" s="1092"/>
      <c r="I3249" s="1092"/>
    </row>
    <row r="3250" spans="8:9">
      <c r="H3250" s="1092"/>
      <c r="I3250" s="1092"/>
    </row>
    <row r="3251" spans="8:9">
      <c r="H3251" s="1092"/>
      <c r="I3251" s="1092"/>
    </row>
    <row r="3252" spans="8:9">
      <c r="H3252" s="1092"/>
      <c r="I3252" s="1092"/>
    </row>
    <row r="3253" spans="8:9">
      <c r="H3253" s="1092"/>
      <c r="I3253" s="1092"/>
    </row>
    <row r="3254" spans="8:9">
      <c r="H3254" s="1092"/>
      <c r="I3254" s="1092"/>
    </row>
    <row r="3255" spans="8:9">
      <c r="H3255" s="1092"/>
      <c r="I3255" s="1092"/>
    </row>
    <row r="3256" spans="8:9">
      <c r="H3256" s="1092"/>
      <c r="I3256" s="1092"/>
    </row>
    <row r="3257" spans="8:9">
      <c r="H3257" s="1092"/>
      <c r="I3257" s="1092"/>
    </row>
    <row r="3258" spans="8:9">
      <c r="H3258" s="1092"/>
      <c r="I3258" s="1092"/>
    </row>
    <row r="3259" spans="8:9">
      <c r="H3259" s="1092"/>
      <c r="I3259" s="1092"/>
    </row>
    <row r="3260" spans="8:9">
      <c r="H3260" s="1092"/>
      <c r="I3260" s="1092"/>
    </row>
    <row r="3261" spans="8:9">
      <c r="H3261" s="1092"/>
      <c r="I3261" s="1092"/>
    </row>
    <row r="3262" spans="8:9">
      <c r="H3262" s="1092"/>
      <c r="I3262" s="1092"/>
    </row>
    <row r="3263" spans="8:9">
      <c r="H3263" s="1092"/>
      <c r="I3263" s="1092"/>
    </row>
    <row r="3264" spans="8:9">
      <c r="H3264" s="1092"/>
      <c r="I3264" s="1092"/>
    </row>
    <row r="3265" spans="8:9">
      <c r="H3265" s="1092"/>
      <c r="I3265" s="1092"/>
    </row>
    <row r="3266" spans="8:9">
      <c r="H3266" s="1092"/>
      <c r="I3266" s="1092"/>
    </row>
    <row r="3267" spans="8:9">
      <c r="H3267" s="1092"/>
      <c r="I3267" s="1092"/>
    </row>
    <row r="3268" spans="8:9">
      <c r="H3268" s="1092"/>
      <c r="I3268" s="1092"/>
    </row>
    <row r="3269" spans="8:9">
      <c r="H3269" s="1092"/>
      <c r="I3269" s="1092"/>
    </row>
    <row r="3270" spans="8:9">
      <c r="H3270" s="1092"/>
      <c r="I3270" s="1092"/>
    </row>
    <row r="3271" spans="8:9">
      <c r="H3271" s="1092"/>
      <c r="I3271" s="1092"/>
    </row>
    <row r="3272" spans="8:9">
      <c r="H3272" s="1092"/>
      <c r="I3272" s="1092"/>
    </row>
    <row r="3273" spans="8:9">
      <c r="H3273" s="1092"/>
      <c r="I3273" s="1092"/>
    </row>
    <row r="3274" spans="8:9">
      <c r="H3274" s="1092"/>
      <c r="I3274" s="1092"/>
    </row>
    <row r="3275" spans="8:9">
      <c r="H3275" s="1092"/>
      <c r="I3275" s="1092"/>
    </row>
    <row r="3276" spans="8:9">
      <c r="H3276" s="1092"/>
      <c r="I3276" s="1092"/>
    </row>
    <row r="3277" spans="8:9">
      <c r="H3277" s="1092"/>
      <c r="I3277" s="1092"/>
    </row>
    <row r="3278" spans="8:9">
      <c r="H3278" s="1092"/>
      <c r="I3278" s="1092"/>
    </row>
    <row r="3279" spans="8:9">
      <c r="H3279" s="1092"/>
      <c r="I3279" s="1092"/>
    </row>
    <row r="3280" spans="8:9">
      <c r="H3280" s="1092"/>
      <c r="I3280" s="1092"/>
    </row>
    <row r="3281" spans="8:9">
      <c r="H3281" s="1092"/>
      <c r="I3281" s="1092"/>
    </row>
    <row r="3282" spans="8:9">
      <c r="H3282" s="1092"/>
      <c r="I3282" s="1092"/>
    </row>
    <row r="3283" spans="8:9">
      <c r="H3283" s="1092"/>
      <c r="I3283" s="1092"/>
    </row>
    <row r="3284" spans="8:9">
      <c r="H3284" s="1092"/>
      <c r="I3284" s="1092"/>
    </row>
    <row r="3285" spans="8:9">
      <c r="H3285" s="1092"/>
      <c r="I3285" s="1092"/>
    </row>
    <row r="3286" spans="8:9">
      <c r="H3286" s="1092"/>
      <c r="I3286" s="1092"/>
    </row>
    <row r="3287" spans="8:9">
      <c r="H3287" s="1092"/>
      <c r="I3287" s="1092"/>
    </row>
    <row r="3288" spans="8:9">
      <c r="H3288" s="1092"/>
      <c r="I3288" s="1092"/>
    </row>
    <row r="3289" spans="8:9">
      <c r="H3289" s="1092"/>
      <c r="I3289" s="1092"/>
    </row>
    <row r="3290" spans="8:9">
      <c r="H3290" s="1092"/>
      <c r="I3290" s="1092"/>
    </row>
    <row r="3291" spans="8:9">
      <c r="H3291" s="1092"/>
      <c r="I3291" s="1092"/>
    </row>
    <row r="3292" spans="8:9">
      <c r="H3292" s="1092"/>
      <c r="I3292" s="1092"/>
    </row>
    <row r="3293" spans="8:9">
      <c r="H3293" s="1092"/>
      <c r="I3293" s="1092"/>
    </row>
    <row r="3294" spans="8:9">
      <c r="H3294" s="1092"/>
      <c r="I3294" s="1092"/>
    </row>
    <row r="3295" spans="8:9">
      <c r="H3295" s="1092"/>
      <c r="I3295" s="1092"/>
    </row>
    <row r="3296" spans="8:9">
      <c r="H3296" s="1092"/>
      <c r="I3296" s="1092"/>
    </row>
    <row r="3297" spans="8:9">
      <c r="H3297" s="1092"/>
      <c r="I3297" s="1092"/>
    </row>
    <row r="3298" spans="8:9">
      <c r="H3298" s="1092"/>
      <c r="I3298" s="1092"/>
    </row>
    <row r="3299" spans="8:9">
      <c r="H3299" s="1092"/>
      <c r="I3299" s="1092"/>
    </row>
    <row r="3300" spans="8:9">
      <c r="H3300" s="1092"/>
      <c r="I3300" s="1092"/>
    </row>
    <row r="3301" spans="8:9">
      <c r="H3301" s="1092"/>
      <c r="I3301" s="1092"/>
    </row>
    <row r="3302" spans="8:9">
      <c r="H3302" s="1092"/>
      <c r="I3302" s="1092"/>
    </row>
    <row r="3303" spans="8:9">
      <c r="H3303" s="1092"/>
      <c r="I3303" s="1092"/>
    </row>
    <row r="3304" spans="8:9">
      <c r="H3304" s="1092"/>
      <c r="I3304" s="1092"/>
    </row>
    <row r="3305" spans="8:9">
      <c r="H3305" s="1092"/>
      <c r="I3305" s="1092"/>
    </row>
    <row r="3306" spans="8:9">
      <c r="H3306" s="1092"/>
      <c r="I3306" s="1092"/>
    </row>
    <row r="3307" spans="8:9">
      <c r="H3307" s="1092"/>
      <c r="I3307" s="1092"/>
    </row>
    <row r="3308" spans="8:9">
      <c r="H3308" s="1092"/>
      <c r="I3308" s="1092"/>
    </row>
    <row r="3309" spans="8:9">
      <c r="H3309" s="1092"/>
      <c r="I3309" s="1092"/>
    </row>
    <row r="3310" spans="8:9">
      <c r="H3310" s="1092"/>
      <c r="I3310" s="1092"/>
    </row>
    <row r="3311" spans="8:9">
      <c r="H3311" s="1092"/>
      <c r="I3311" s="1092"/>
    </row>
    <row r="3312" spans="8:9">
      <c r="H3312" s="1092"/>
      <c r="I3312" s="1092"/>
    </row>
    <row r="3313" spans="8:9">
      <c r="H3313" s="1092"/>
      <c r="I3313" s="1092"/>
    </row>
    <row r="3314" spans="8:9">
      <c r="H3314" s="1092"/>
      <c r="I3314" s="1092"/>
    </row>
    <row r="3315" spans="8:9">
      <c r="H3315" s="1092"/>
      <c r="I3315" s="1092"/>
    </row>
    <row r="3316" spans="8:9">
      <c r="H3316" s="1092"/>
      <c r="I3316" s="1092"/>
    </row>
    <row r="3317" spans="8:9">
      <c r="H3317" s="1092"/>
      <c r="I3317" s="1092"/>
    </row>
    <row r="3318" spans="8:9">
      <c r="H3318" s="1092"/>
      <c r="I3318" s="1092"/>
    </row>
    <row r="3319" spans="8:9">
      <c r="H3319" s="1092"/>
      <c r="I3319" s="1092"/>
    </row>
    <row r="3320" spans="8:9">
      <c r="H3320" s="1092"/>
      <c r="I3320" s="1092"/>
    </row>
    <row r="3321" spans="8:9">
      <c r="H3321" s="1092"/>
      <c r="I3321" s="1092"/>
    </row>
    <row r="3322" spans="8:9">
      <c r="H3322" s="1092"/>
      <c r="I3322" s="1092"/>
    </row>
    <row r="3323" spans="8:9">
      <c r="H3323" s="1092"/>
      <c r="I3323" s="1092"/>
    </row>
    <row r="3324" spans="8:9">
      <c r="H3324" s="1092"/>
      <c r="I3324" s="1092"/>
    </row>
    <row r="3325" spans="8:9">
      <c r="H3325" s="1092"/>
      <c r="I3325" s="1092"/>
    </row>
    <row r="3326" spans="8:9">
      <c r="H3326" s="1092"/>
      <c r="I3326" s="1092"/>
    </row>
    <row r="3327" spans="8:9">
      <c r="H3327" s="1092"/>
      <c r="I3327" s="1092"/>
    </row>
    <row r="3328" spans="8:9">
      <c r="H3328" s="1092"/>
      <c r="I3328" s="1092"/>
    </row>
    <row r="3329" spans="8:9">
      <c r="H3329" s="1092"/>
      <c r="I3329" s="1092"/>
    </row>
    <row r="3330" spans="8:9">
      <c r="H3330" s="1092"/>
      <c r="I3330" s="1092"/>
    </row>
    <row r="3331" spans="8:9">
      <c r="H3331" s="1092"/>
      <c r="I3331" s="1092"/>
    </row>
    <row r="3332" spans="8:9">
      <c r="H3332" s="1092"/>
      <c r="I3332" s="1092"/>
    </row>
    <row r="3333" spans="8:9">
      <c r="H3333" s="1092"/>
      <c r="I3333" s="1092"/>
    </row>
    <row r="3334" spans="8:9">
      <c r="H3334" s="1092"/>
      <c r="I3334" s="1092"/>
    </row>
    <row r="3335" spans="8:9">
      <c r="H3335" s="1092"/>
      <c r="I3335" s="1092"/>
    </row>
    <row r="3336" spans="8:9">
      <c r="H3336" s="1092"/>
      <c r="I3336" s="1092"/>
    </row>
    <row r="3337" spans="8:9">
      <c r="H3337" s="1092"/>
      <c r="I3337" s="1092"/>
    </row>
    <row r="3338" spans="8:9">
      <c r="H3338" s="1092"/>
      <c r="I3338" s="1092"/>
    </row>
    <row r="3339" spans="8:9">
      <c r="H3339" s="1092"/>
      <c r="I3339" s="1092"/>
    </row>
    <row r="3340" spans="8:9">
      <c r="H3340" s="1092"/>
      <c r="I3340" s="1092"/>
    </row>
    <row r="3341" spans="8:9">
      <c r="H3341" s="1092"/>
      <c r="I3341" s="1092"/>
    </row>
    <row r="3342" spans="8:9">
      <c r="H3342" s="1092"/>
      <c r="I3342" s="1092"/>
    </row>
    <row r="3343" spans="8:9">
      <c r="H3343" s="1092"/>
      <c r="I3343" s="1092"/>
    </row>
    <row r="3344" spans="8:9">
      <c r="H3344" s="1092"/>
      <c r="I3344" s="1092"/>
    </row>
    <row r="3345" spans="8:9">
      <c r="H3345" s="1092"/>
      <c r="I3345" s="1092"/>
    </row>
    <row r="3346" spans="8:9">
      <c r="H3346" s="1092"/>
      <c r="I3346" s="1092"/>
    </row>
    <row r="3347" spans="8:9">
      <c r="H3347" s="1092"/>
      <c r="I3347" s="1092"/>
    </row>
    <row r="3348" spans="8:9">
      <c r="H3348" s="1092"/>
      <c r="I3348" s="1092"/>
    </row>
    <row r="3349" spans="8:9">
      <c r="H3349" s="1092"/>
      <c r="I3349" s="1092"/>
    </row>
    <row r="3350" spans="8:9">
      <c r="H3350" s="1092"/>
      <c r="I3350" s="1092"/>
    </row>
    <row r="3351" spans="8:9">
      <c r="H3351" s="1092"/>
      <c r="I3351" s="1092"/>
    </row>
    <row r="3352" spans="8:9">
      <c r="H3352" s="1092"/>
      <c r="I3352" s="1092"/>
    </row>
    <row r="3353" spans="8:9">
      <c r="H3353" s="1092"/>
      <c r="I3353" s="1092"/>
    </row>
    <row r="3354" spans="8:9">
      <c r="H3354" s="1092"/>
      <c r="I3354" s="1092"/>
    </row>
    <row r="3355" spans="8:9">
      <c r="H3355" s="1092"/>
      <c r="I3355" s="1092"/>
    </row>
    <row r="3356" spans="8:9">
      <c r="H3356" s="1092"/>
      <c r="I3356" s="1092"/>
    </row>
    <row r="3357" spans="8:9">
      <c r="H3357" s="1092"/>
      <c r="I3357" s="1092"/>
    </row>
    <row r="3358" spans="8:9">
      <c r="H3358" s="1092"/>
      <c r="I3358" s="1092"/>
    </row>
    <row r="3359" spans="8:9">
      <c r="H3359" s="1092"/>
      <c r="I3359" s="1092"/>
    </row>
    <row r="3360" spans="8:9">
      <c r="H3360" s="1092"/>
      <c r="I3360" s="1092"/>
    </row>
    <row r="3361" spans="8:9">
      <c r="H3361" s="1092"/>
      <c r="I3361" s="1092"/>
    </row>
    <row r="3362" spans="8:9">
      <c r="H3362" s="1092"/>
      <c r="I3362" s="1092"/>
    </row>
    <row r="3363" spans="8:9">
      <c r="H3363" s="1092"/>
      <c r="I3363" s="1092"/>
    </row>
    <row r="3364" spans="8:9">
      <c r="H3364" s="1092"/>
      <c r="I3364" s="1092"/>
    </row>
    <row r="3365" spans="8:9">
      <c r="H3365" s="1092"/>
      <c r="I3365" s="1092"/>
    </row>
    <row r="3366" spans="8:9">
      <c r="H3366" s="1092"/>
      <c r="I3366" s="1092"/>
    </row>
    <row r="3367" spans="8:9">
      <c r="H3367" s="1092"/>
      <c r="I3367" s="1092"/>
    </row>
    <row r="3368" spans="8:9">
      <c r="H3368" s="1092"/>
      <c r="I3368" s="1092"/>
    </row>
    <row r="3369" spans="8:9">
      <c r="H3369" s="1092"/>
      <c r="I3369" s="1092"/>
    </row>
    <row r="3370" spans="8:9">
      <c r="H3370" s="1092"/>
      <c r="I3370" s="1092"/>
    </row>
    <row r="3371" spans="8:9">
      <c r="H3371" s="1092"/>
      <c r="I3371" s="1092"/>
    </row>
    <row r="3372" spans="8:9">
      <c r="H3372" s="1092"/>
      <c r="I3372" s="1092"/>
    </row>
    <row r="3373" spans="8:9">
      <c r="H3373" s="1092"/>
      <c r="I3373" s="1092"/>
    </row>
    <row r="3374" spans="8:9">
      <c r="H3374" s="1092"/>
      <c r="I3374" s="1092"/>
    </row>
    <row r="3375" spans="8:9">
      <c r="H3375" s="1092"/>
      <c r="I3375" s="1092"/>
    </row>
    <row r="3376" spans="8:9">
      <c r="H3376" s="1092"/>
      <c r="I3376" s="1092"/>
    </row>
    <row r="3377" spans="8:9">
      <c r="H3377" s="1092"/>
      <c r="I3377" s="1092"/>
    </row>
    <row r="3378" spans="8:9">
      <c r="H3378" s="1092"/>
      <c r="I3378" s="1092"/>
    </row>
    <row r="3379" spans="8:9">
      <c r="H3379" s="1092"/>
      <c r="I3379" s="1092"/>
    </row>
    <row r="3380" spans="8:9">
      <c r="H3380" s="1092"/>
      <c r="I3380" s="1092"/>
    </row>
    <row r="3381" spans="8:9">
      <c r="H3381" s="1092"/>
      <c r="I3381" s="1092"/>
    </row>
    <row r="3382" spans="8:9">
      <c r="H3382" s="1092"/>
      <c r="I3382" s="1092"/>
    </row>
    <row r="3383" spans="8:9">
      <c r="H3383" s="1092"/>
      <c r="I3383" s="1092"/>
    </row>
    <row r="3384" spans="8:9">
      <c r="H3384" s="1092"/>
      <c r="I3384" s="1092"/>
    </row>
    <row r="3385" spans="8:9">
      <c r="H3385" s="1092"/>
      <c r="I3385" s="1092"/>
    </row>
    <row r="3386" spans="8:9">
      <c r="H3386" s="1092"/>
      <c r="I3386" s="1092"/>
    </row>
    <row r="3387" spans="8:9">
      <c r="H3387" s="1092"/>
      <c r="I3387" s="1092"/>
    </row>
    <row r="3388" spans="8:9">
      <c r="H3388" s="1092"/>
      <c r="I3388" s="1092"/>
    </row>
    <row r="3389" spans="8:9">
      <c r="H3389" s="1092"/>
      <c r="I3389" s="1092"/>
    </row>
    <row r="3390" spans="8:9">
      <c r="H3390" s="1092"/>
      <c r="I3390" s="1092"/>
    </row>
    <row r="3391" spans="8:9">
      <c r="H3391" s="1092"/>
      <c r="I3391" s="1092"/>
    </row>
    <row r="3392" spans="8:9">
      <c r="H3392" s="1092"/>
      <c r="I3392" s="1092"/>
    </row>
    <row r="3393" spans="8:9">
      <c r="H3393" s="1092"/>
      <c r="I3393" s="1092"/>
    </row>
    <row r="3394" spans="8:9">
      <c r="H3394" s="1092"/>
      <c r="I3394" s="1092"/>
    </row>
    <row r="3395" spans="8:9">
      <c r="H3395" s="1092"/>
      <c r="I3395" s="1092"/>
    </row>
    <row r="3396" spans="8:9">
      <c r="H3396" s="1092"/>
      <c r="I3396" s="1092"/>
    </row>
    <row r="3397" spans="8:9">
      <c r="H3397" s="1092"/>
      <c r="I3397" s="1092"/>
    </row>
    <row r="3398" spans="8:9">
      <c r="H3398" s="1092"/>
      <c r="I3398" s="1092"/>
    </row>
    <row r="3399" spans="8:9">
      <c r="H3399" s="1092"/>
      <c r="I3399" s="1092"/>
    </row>
    <row r="3400" spans="8:9">
      <c r="H3400" s="1092"/>
      <c r="I3400" s="1092"/>
    </row>
    <row r="3401" spans="8:9">
      <c r="H3401" s="1092"/>
      <c r="I3401" s="1092"/>
    </row>
    <row r="3402" spans="8:9">
      <c r="H3402" s="1092"/>
      <c r="I3402" s="1092"/>
    </row>
    <row r="3403" spans="8:9">
      <c r="H3403" s="1092"/>
      <c r="I3403" s="1092"/>
    </row>
    <row r="3404" spans="8:9">
      <c r="H3404" s="1092"/>
      <c r="I3404" s="1092"/>
    </row>
    <row r="3405" spans="8:9">
      <c r="H3405" s="1092"/>
      <c r="I3405" s="1092"/>
    </row>
    <row r="3406" spans="8:9">
      <c r="H3406" s="1092"/>
      <c r="I3406" s="1092"/>
    </row>
    <row r="3407" spans="8:9">
      <c r="H3407" s="1092"/>
      <c r="I3407" s="1092"/>
    </row>
    <row r="3408" spans="8:9">
      <c r="H3408" s="1092"/>
      <c r="I3408" s="1092"/>
    </row>
    <row r="3409" spans="8:9">
      <c r="H3409" s="1092"/>
      <c r="I3409" s="1092"/>
    </row>
    <row r="3410" spans="8:9">
      <c r="H3410" s="1092"/>
      <c r="I3410" s="1092"/>
    </row>
    <row r="3411" spans="8:9">
      <c r="H3411" s="1092"/>
      <c r="I3411" s="1092"/>
    </row>
    <row r="3412" spans="8:9">
      <c r="H3412" s="1092"/>
      <c r="I3412" s="1092"/>
    </row>
    <row r="3413" spans="8:9">
      <c r="H3413" s="1092"/>
      <c r="I3413" s="1092"/>
    </row>
    <row r="3414" spans="8:9">
      <c r="H3414" s="1092"/>
      <c r="I3414" s="1092"/>
    </row>
    <row r="3415" spans="8:9">
      <c r="H3415" s="1092"/>
      <c r="I3415" s="1092"/>
    </row>
    <row r="3416" spans="8:9">
      <c r="H3416" s="1092"/>
      <c r="I3416" s="1092"/>
    </row>
    <row r="3417" spans="8:9">
      <c r="H3417" s="1092"/>
      <c r="I3417" s="1092"/>
    </row>
    <row r="3418" spans="8:9">
      <c r="H3418" s="1092"/>
      <c r="I3418" s="1092"/>
    </row>
    <row r="3419" spans="8:9">
      <c r="H3419" s="1092"/>
      <c r="I3419" s="1092"/>
    </row>
    <row r="3420" spans="8:9">
      <c r="H3420" s="1092"/>
      <c r="I3420" s="1092"/>
    </row>
    <row r="3421" spans="8:9">
      <c r="H3421" s="1092"/>
      <c r="I3421" s="1092"/>
    </row>
    <row r="3422" spans="8:9">
      <c r="H3422" s="1092"/>
      <c r="I3422" s="1092"/>
    </row>
    <row r="3423" spans="8:9">
      <c r="H3423" s="1092"/>
      <c r="I3423" s="1092"/>
    </row>
    <row r="3424" spans="8:9">
      <c r="H3424" s="1092"/>
      <c r="I3424" s="1092"/>
    </row>
    <row r="3425" spans="8:9">
      <c r="H3425" s="1092"/>
      <c r="I3425" s="1092"/>
    </row>
    <row r="3426" spans="8:9">
      <c r="H3426" s="1092"/>
      <c r="I3426" s="1092"/>
    </row>
    <row r="3427" spans="8:9">
      <c r="H3427" s="1092"/>
      <c r="I3427" s="1092"/>
    </row>
    <row r="3428" spans="8:9">
      <c r="H3428" s="1092"/>
      <c r="I3428" s="1092"/>
    </row>
    <row r="3429" spans="8:9">
      <c r="H3429" s="1092"/>
      <c r="I3429" s="1092"/>
    </row>
    <row r="3430" spans="8:9">
      <c r="H3430" s="1092"/>
      <c r="I3430" s="1092"/>
    </row>
    <row r="3431" spans="8:9">
      <c r="H3431" s="1092"/>
      <c r="I3431" s="1092"/>
    </row>
    <row r="3432" spans="8:9">
      <c r="H3432" s="1092"/>
      <c r="I3432" s="1092"/>
    </row>
    <row r="3433" spans="8:9">
      <c r="H3433" s="1092"/>
      <c r="I3433" s="1092"/>
    </row>
    <row r="3434" spans="8:9">
      <c r="H3434" s="1092"/>
      <c r="I3434" s="1092"/>
    </row>
    <row r="3435" spans="8:9">
      <c r="H3435" s="1092"/>
      <c r="I3435" s="1092"/>
    </row>
    <row r="3436" spans="8:9">
      <c r="H3436" s="1092"/>
      <c r="I3436" s="1092"/>
    </row>
    <row r="3437" spans="8:9">
      <c r="H3437" s="1092"/>
      <c r="I3437" s="1092"/>
    </row>
    <row r="3438" spans="8:9">
      <c r="H3438" s="1092"/>
      <c r="I3438" s="1092"/>
    </row>
    <row r="3439" spans="8:9">
      <c r="H3439" s="1092"/>
      <c r="I3439" s="1092"/>
    </row>
    <row r="3440" spans="8:9">
      <c r="H3440" s="1092"/>
      <c r="I3440" s="1092"/>
    </row>
    <row r="3441" spans="8:9">
      <c r="H3441" s="1092"/>
      <c r="I3441" s="1092"/>
    </row>
    <row r="3442" spans="8:9">
      <c r="H3442" s="1092"/>
      <c r="I3442" s="1092"/>
    </row>
    <row r="3443" spans="8:9">
      <c r="H3443" s="1092"/>
      <c r="I3443" s="1092"/>
    </row>
    <row r="3444" spans="8:9">
      <c r="H3444" s="1092"/>
      <c r="I3444" s="1092"/>
    </row>
    <row r="3445" spans="8:9">
      <c r="H3445" s="1092"/>
      <c r="I3445" s="1092"/>
    </row>
    <row r="3446" spans="8:9">
      <c r="H3446" s="1092"/>
      <c r="I3446" s="1092"/>
    </row>
    <row r="3447" spans="8:9">
      <c r="H3447" s="1092"/>
      <c r="I3447" s="1092"/>
    </row>
    <row r="3448" spans="8:9">
      <c r="H3448" s="1092"/>
      <c r="I3448" s="1092"/>
    </row>
    <row r="3449" spans="8:9">
      <c r="H3449" s="1092"/>
      <c r="I3449" s="1092"/>
    </row>
    <row r="3450" spans="8:9">
      <c r="H3450" s="1092"/>
      <c r="I3450" s="1092"/>
    </row>
    <row r="3451" spans="8:9">
      <c r="H3451" s="1092"/>
      <c r="I3451" s="1092"/>
    </row>
    <row r="3452" spans="8:9">
      <c r="H3452" s="1092"/>
      <c r="I3452" s="1092"/>
    </row>
    <row r="3453" spans="8:9">
      <c r="H3453" s="1092"/>
      <c r="I3453" s="1092"/>
    </row>
    <row r="3454" spans="8:9">
      <c r="H3454" s="1092"/>
      <c r="I3454" s="1092"/>
    </row>
    <row r="3455" spans="8:9">
      <c r="H3455" s="1092"/>
      <c r="I3455" s="1092"/>
    </row>
    <row r="3456" spans="8:9">
      <c r="H3456" s="1092"/>
      <c r="I3456" s="1092"/>
    </row>
    <row r="3457" spans="8:9">
      <c r="H3457" s="1092"/>
      <c r="I3457" s="1092"/>
    </row>
    <row r="3458" spans="8:9">
      <c r="H3458" s="1092"/>
      <c r="I3458" s="1092"/>
    </row>
    <row r="3459" spans="8:9">
      <c r="H3459" s="1092"/>
      <c r="I3459" s="1092"/>
    </row>
    <row r="3460" spans="8:9">
      <c r="H3460" s="1092"/>
      <c r="I3460" s="1092"/>
    </row>
    <row r="3461" spans="8:9">
      <c r="H3461" s="1092"/>
      <c r="I3461" s="1092"/>
    </row>
    <row r="3462" spans="8:9">
      <c r="H3462" s="1092"/>
      <c r="I3462" s="1092"/>
    </row>
    <row r="3463" spans="8:9">
      <c r="H3463" s="1092"/>
      <c r="I3463" s="1092"/>
    </row>
    <row r="3464" spans="8:9">
      <c r="H3464" s="1092"/>
      <c r="I3464" s="1092"/>
    </row>
    <row r="3465" spans="8:9">
      <c r="H3465" s="1092"/>
      <c r="I3465" s="1092"/>
    </row>
    <row r="3466" spans="8:9">
      <c r="H3466" s="1092"/>
      <c r="I3466" s="1092"/>
    </row>
    <row r="3467" spans="8:9">
      <c r="H3467" s="1092"/>
      <c r="I3467" s="1092"/>
    </row>
    <row r="3468" spans="8:9">
      <c r="H3468" s="1092"/>
      <c r="I3468" s="1092"/>
    </row>
    <row r="3469" spans="8:9">
      <c r="H3469" s="1092"/>
      <c r="I3469" s="1092"/>
    </row>
    <row r="3470" spans="8:9">
      <c r="H3470" s="1092"/>
      <c r="I3470" s="1092"/>
    </row>
    <row r="3471" spans="8:9">
      <c r="H3471" s="1092"/>
      <c r="I3471" s="1092"/>
    </row>
    <row r="3472" spans="8:9">
      <c r="H3472" s="1092"/>
      <c r="I3472" s="1092"/>
    </row>
    <row r="3473" spans="8:9">
      <c r="H3473" s="1092"/>
      <c r="I3473" s="1092"/>
    </row>
    <row r="3474" spans="8:9">
      <c r="H3474" s="1092"/>
      <c r="I3474" s="1092"/>
    </row>
    <row r="3475" spans="8:9">
      <c r="H3475" s="1092"/>
      <c r="I3475" s="1092"/>
    </row>
    <row r="3476" spans="8:9">
      <c r="H3476" s="1092"/>
      <c r="I3476" s="1092"/>
    </row>
    <row r="3477" spans="8:9">
      <c r="H3477" s="1092"/>
      <c r="I3477" s="1092"/>
    </row>
    <row r="3478" spans="8:9">
      <c r="H3478" s="1092"/>
      <c r="I3478" s="1092"/>
    </row>
    <row r="3479" spans="8:9">
      <c r="H3479" s="1092"/>
      <c r="I3479" s="1092"/>
    </row>
    <row r="3480" spans="8:9">
      <c r="H3480" s="1092"/>
      <c r="I3480" s="1092"/>
    </row>
    <row r="3481" spans="8:9">
      <c r="H3481" s="1092"/>
      <c r="I3481" s="1092"/>
    </row>
    <row r="3482" spans="8:9">
      <c r="H3482" s="1092"/>
      <c r="I3482" s="1092"/>
    </row>
    <row r="3483" spans="8:9">
      <c r="H3483" s="1092"/>
      <c r="I3483" s="1092"/>
    </row>
    <row r="3484" spans="8:9">
      <c r="H3484" s="1092"/>
      <c r="I3484" s="1092"/>
    </row>
    <row r="3485" spans="8:9">
      <c r="H3485" s="1092"/>
      <c r="I3485" s="1092"/>
    </row>
    <row r="3486" spans="8:9">
      <c r="H3486" s="1092"/>
      <c r="I3486" s="1092"/>
    </row>
    <row r="3487" spans="8:9">
      <c r="H3487" s="1092"/>
      <c r="I3487" s="1092"/>
    </row>
    <row r="3488" spans="8:9">
      <c r="H3488" s="1092"/>
      <c r="I3488" s="1092"/>
    </row>
    <row r="3489" spans="8:9">
      <c r="H3489" s="1092"/>
      <c r="I3489" s="1092"/>
    </row>
    <row r="3490" spans="8:9">
      <c r="H3490" s="1092"/>
      <c r="I3490" s="1092"/>
    </row>
    <row r="3491" spans="8:9">
      <c r="H3491" s="1092"/>
      <c r="I3491" s="1092"/>
    </row>
    <row r="3492" spans="8:9">
      <c r="H3492" s="1092"/>
      <c r="I3492" s="1092"/>
    </row>
    <row r="3493" spans="8:9">
      <c r="H3493" s="1092"/>
      <c r="I3493" s="1092"/>
    </row>
    <row r="3494" spans="8:9">
      <c r="H3494" s="1092"/>
      <c r="I3494" s="1092"/>
    </row>
    <row r="3495" spans="8:9">
      <c r="H3495" s="1092"/>
      <c r="I3495" s="1092"/>
    </row>
    <row r="3496" spans="8:9">
      <c r="H3496" s="1092"/>
      <c r="I3496" s="1092"/>
    </row>
    <row r="3497" spans="8:9">
      <c r="H3497" s="1092"/>
      <c r="I3497" s="1092"/>
    </row>
    <row r="3498" spans="8:9">
      <c r="H3498" s="1092"/>
      <c r="I3498" s="1092"/>
    </row>
    <row r="3499" spans="8:9">
      <c r="H3499" s="1092"/>
      <c r="I3499" s="1092"/>
    </row>
    <row r="3500" spans="8:9">
      <c r="H3500" s="1092"/>
      <c r="I3500" s="1092"/>
    </row>
    <row r="3501" spans="8:9">
      <c r="H3501" s="1092"/>
      <c r="I3501" s="1092"/>
    </row>
    <row r="3502" spans="8:9">
      <c r="H3502" s="1092"/>
      <c r="I3502" s="1092"/>
    </row>
    <row r="3503" spans="8:9">
      <c r="H3503" s="1092"/>
      <c r="I3503" s="1092"/>
    </row>
    <row r="3504" spans="8:9">
      <c r="H3504" s="1092"/>
      <c r="I3504" s="1092"/>
    </row>
    <row r="3505" spans="8:9">
      <c r="H3505" s="1092"/>
      <c r="I3505" s="1092"/>
    </row>
    <row r="3506" spans="8:9">
      <c r="H3506" s="1092"/>
      <c r="I3506" s="1092"/>
    </row>
    <row r="3507" spans="8:9">
      <c r="H3507" s="1092"/>
      <c r="I3507" s="1092"/>
    </row>
    <row r="3508" spans="8:9">
      <c r="H3508" s="1092"/>
      <c r="I3508" s="1092"/>
    </row>
    <row r="3509" spans="8:9">
      <c r="H3509" s="1092"/>
      <c r="I3509" s="1092"/>
    </row>
    <row r="3510" spans="8:9">
      <c r="H3510" s="1092"/>
      <c r="I3510" s="1092"/>
    </row>
    <row r="3511" spans="8:9">
      <c r="H3511" s="1092"/>
      <c r="I3511" s="1092"/>
    </row>
    <row r="3512" spans="8:9">
      <c r="H3512" s="1092"/>
      <c r="I3512" s="1092"/>
    </row>
    <row r="3513" spans="8:9">
      <c r="H3513" s="1092"/>
      <c r="I3513" s="1092"/>
    </row>
    <row r="3514" spans="8:9">
      <c r="H3514" s="1092"/>
      <c r="I3514" s="1092"/>
    </row>
    <row r="3515" spans="8:9">
      <c r="H3515" s="1092"/>
      <c r="I3515" s="1092"/>
    </row>
    <row r="3516" spans="8:9">
      <c r="H3516" s="1092"/>
      <c r="I3516" s="1092"/>
    </row>
    <row r="3517" spans="8:9">
      <c r="H3517" s="1092"/>
      <c r="I3517" s="1092"/>
    </row>
    <row r="3518" spans="8:9">
      <c r="H3518" s="1092"/>
      <c r="I3518" s="1092"/>
    </row>
    <row r="3519" spans="8:9">
      <c r="H3519" s="1092"/>
      <c r="I3519" s="1092"/>
    </row>
    <row r="3520" spans="8:9">
      <c r="H3520" s="1092"/>
      <c r="I3520" s="1092"/>
    </row>
    <row r="3521" spans="8:9">
      <c r="H3521" s="1092"/>
      <c r="I3521" s="1092"/>
    </row>
    <row r="3522" spans="8:9">
      <c r="H3522" s="1092"/>
      <c r="I3522" s="1092"/>
    </row>
    <row r="3523" spans="8:9">
      <c r="H3523" s="1092"/>
      <c r="I3523" s="1092"/>
    </row>
    <row r="3524" spans="8:9">
      <c r="H3524" s="1092"/>
      <c r="I3524" s="1092"/>
    </row>
    <row r="3525" spans="8:9">
      <c r="H3525" s="1092"/>
      <c r="I3525" s="1092"/>
    </row>
    <row r="3526" spans="8:9">
      <c r="H3526" s="1092"/>
      <c r="I3526" s="1092"/>
    </row>
    <row r="3527" spans="8:9">
      <c r="H3527" s="1092"/>
      <c r="I3527" s="1092"/>
    </row>
    <row r="3528" spans="8:9">
      <c r="H3528" s="1092"/>
      <c r="I3528" s="1092"/>
    </row>
    <row r="3529" spans="8:9">
      <c r="H3529" s="1092"/>
      <c r="I3529" s="1092"/>
    </row>
    <row r="3530" spans="8:9">
      <c r="H3530" s="1092"/>
      <c r="I3530" s="1092"/>
    </row>
    <row r="3531" spans="8:9">
      <c r="H3531" s="1092"/>
      <c r="I3531" s="1092"/>
    </row>
    <row r="3532" spans="8:9">
      <c r="H3532" s="1092"/>
      <c r="I3532" s="1092"/>
    </row>
    <row r="3533" spans="8:9">
      <c r="H3533" s="1092"/>
      <c r="I3533" s="1092"/>
    </row>
    <row r="3534" spans="8:9">
      <c r="H3534" s="1092"/>
      <c r="I3534" s="1092"/>
    </row>
    <row r="3535" spans="8:9">
      <c r="H3535" s="1092"/>
      <c r="I3535" s="1092"/>
    </row>
    <row r="3536" spans="8:9">
      <c r="H3536" s="1092"/>
      <c r="I3536" s="1092"/>
    </row>
    <row r="3537" spans="8:9">
      <c r="H3537" s="1092"/>
      <c r="I3537" s="1092"/>
    </row>
    <row r="3538" spans="8:9">
      <c r="H3538" s="1092"/>
      <c r="I3538" s="1092"/>
    </row>
    <row r="3539" spans="8:9">
      <c r="H3539" s="1092"/>
      <c r="I3539" s="1092"/>
    </row>
    <row r="3540" spans="8:9">
      <c r="H3540" s="1092"/>
      <c r="I3540" s="1092"/>
    </row>
    <row r="3541" spans="8:9">
      <c r="H3541" s="1092"/>
      <c r="I3541" s="1092"/>
    </row>
    <row r="3542" spans="8:9">
      <c r="H3542" s="1092"/>
      <c r="I3542" s="1092"/>
    </row>
    <row r="3543" spans="8:9">
      <c r="H3543" s="1092"/>
      <c r="I3543" s="1092"/>
    </row>
    <row r="3544" spans="8:9">
      <c r="H3544" s="1092"/>
      <c r="I3544" s="1092"/>
    </row>
    <row r="3545" spans="8:9">
      <c r="H3545" s="1092"/>
      <c r="I3545" s="1092"/>
    </row>
    <row r="3546" spans="8:9">
      <c r="H3546" s="1092"/>
      <c r="I3546" s="1092"/>
    </row>
    <row r="3547" spans="8:9">
      <c r="H3547" s="1092"/>
      <c r="I3547" s="1092"/>
    </row>
    <row r="3548" spans="8:9">
      <c r="H3548" s="1092"/>
      <c r="I3548" s="1092"/>
    </row>
    <row r="3549" spans="8:9">
      <c r="H3549" s="1092"/>
      <c r="I3549" s="1092"/>
    </row>
    <row r="3550" spans="8:9">
      <c r="H3550" s="1092"/>
      <c r="I3550" s="1092"/>
    </row>
    <row r="3551" spans="8:9">
      <c r="H3551" s="1092"/>
      <c r="I3551" s="1092"/>
    </row>
    <row r="3552" spans="8:9">
      <c r="H3552" s="1092"/>
      <c r="I3552" s="1092"/>
    </row>
    <row r="3553" spans="8:9">
      <c r="H3553" s="1092"/>
      <c r="I3553" s="1092"/>
    </row>
    <row r="3554" spans="8:9">
      <c r="H3554" s="1092"/>
      <c r="I3554" s="1092"/>
    </row>
    <row r="3555" spans="8:9">
      <c r="H3555" s="1092"/>
      <c r="I3555" s="1092"/>
    </row>
    <row r="3556" spans="8:9">
      <c r="H3556" s="1092"/>
      <c r="I3556" s="1092"/>
    </row>
    <row r="3557" spans="8:9">
      <c r="H3557" s="1092"/>
      <c r="I3557" s="1092"/>
    </row>
    <row r="3558" spans="8:9">
      <c r="H3558" s="1092"/>
      <c r="I3558" s="1092"/>
    </row>
    <row r="3559" spans="8:9">
      <c r="H3559" s="1092"/>
      <c r="I3559" s="1092"/>
    </row>
    <row r="3560" spans="8:9">
      <c r="H3560" s="1092"/>
      <c r="I3560" s="1092"/>
    </row>
    <row r="3561" spans="8:9">
      <c r="H3561" s="1092"/>
      <c r="I3561" s="1092"/>
    </row>
    <row r="3562" spans="8:9">
      <c r="H3562" s="1092"/>
      <c r="I3562" s="1092"/>
    </row>
    <row r="3563" spans="8:9">
      <c r="H3563" s="1092"/>
      <c r="I3563" s="1092"/>
    </row>
    <row r="3564" spans="8:9">
      <c r="H3564" s="1092"/>
      <c r="I3564" s="1092"/>
    </row>
    <row r="3565" spans="8:9">
      <c r="H3565" s="1092"/>
      <c r="I3565" s="1092"/>
    </row>
    <row r="3566" spans="8:9">
      <c r="H3566" s="1092"/>
      <c r="I3566" s="1092"/>
    </row>
    <row r="3567" spans="8:9">
      <c r="H3567" s="1092"/>
      <c r="I3567" s="1092"/>
    </row>
    <row r="3568" spans="8:9">
      <c r="H3568" s="1092"/>
      <c r="I3568" s="1092"/>
    </row>
    <row r="3569" spans="8:9">
      <c r="H3569" s="1092"/>
      <c r="I3569" s="1092"/>
    </row>
    <row r="3570" spans="8:9">
      <c r="H3570" s="1092"/>
      <c r="I3570" s="1092"/>
    </row>
    <row r="3571" spans="8:9">
      <c r="H3571" s="1092"/>
      <c r="I3571" s="1092"/>
    </row>
    <row r="3572" spans="8:9">
      <c r="H3572" s="1092"/>
      <c r="I3572" s="1092"/>
    </row>
    <row r="3573" spans="8:9">
      <c r="H3573" s="1092"/>
      <c r="I3573" s="1092"/>
    </row>
    <row r="3574" spans="8:9">
      <c r="H3574" s="1092"/>
      <c r="I3574" s="1092"/>
    </row>
    <row r="3575" spans="8:9">
      <c r="H3575" s="1092"/>
      <c r="I3575" s="1092"/>
    </row>
    <row r="3576" spans="8:9">
      <c r="H3576" s="1092"/>
      <c r="I3576" s="1092"/>
    </row>
    <row r="3577" spans="8:9">
      <c r="H3577" s="1092"/>
      <c r="I3577" s="1092"/>
    </row>
    <row r="3578" spans="8:9">
      <c r="H3578" s="1092"/>
      <c r="I3578" s="1092"/>
    </row>
    <row r="3579" spans="8:9">
      <c r="H3579" s="1092"/>
      <c r="I3579" s="1092"/>
    </row>
    <row r="3580" spans="8:9">
      <c r="H3580" s="1092"/>
      <c r="I3580" s="1092"/>
    </row>
    <row r="3581" spans="8:9">
      <c r="H3581" s="1092"/>
      <c r="I3581" s="1092"/>
    </row>
    <row r="3582" spans="8:9">
      <c r="H3582" s="1092"/>
      <c r="I3582" s="1092"/>
    </row>
    <row r="3583" spans="8:9">
      <c r="H3583" s="1092"/>
      <c r="I3583" s="1092"/>
    </row>
    <row r="3584" spans="8:9">
      <c r="H3584" s="1092"/>
      <c r="I3584" s="1092"/>
    </row>
    <row r="3585" spans="8:9">
      <c r="H3585" s="1092"/>
      <c r="I3585" s="1092"/>
    </row>
    <row r="3586" spans="8:9">
      <c r="H3586" s="1092"/>
      <c r="I3586" s="1092"/>
    </row>
    <row r="3587" spans="8:9">
      <c r="H3587" s="1092"/>
      <c r="I3587" s="1092"/>
    </row>
    <row r="3588" spans="8:9">
      <c r="H3588" s="1092"/>
      <c r="I3588" s="1092"/>
    </row>
    <row r="3589" spans="8:9">
      <c r="H3589" s="1092"/>
      <c r="I3589" s="1092"/>
    </row>
    <row r="3590" spans="8:9">
      <c r="H3590" s="1092"/>
      <c r="I3590" s="1092"/>
    </row>
    <row r="3591" spans="8:9">
      <c r="H3591" s="1092"/>
      <c r="I3591" s="1092"/>
    </row>
    <row r="3592" spans="8:9">
      <c r="H3592" s="1092"/>
      <c r="I3592" s="1092"/>
    </row>
    <row r="3593" spans="8:9">
      <c r="H3593" s="1092"/>
      <c r="I3593" s="1092"/>
    </row>
    <row r="3594" spans="8:9">
      <c r="H3594" s="1092"/>
      <c r="I3594" s="1092"/>
    </row>
    <row r="3595" spans="8:9">
      <c r="H3595" s="1092"/>
      <c r="I3595" s="1092"/>
    </row>
    <row r="3596" spans="8:9">
      <c r="H3596" s="1092"/>
      <c r="I3596" s="1092"/>
    </row>
    <row r="3597" spans="8:9">
      <c r="H3597" s="1092"/>
      <c r="I3597" s="1092"/>
    </row>
    <row r="3598" spans="8:9">
      <c r="H3598" s="1092"/>
      <c r="I3598" s="1092"/>
    </row>
    <row r="3599" spans="8:9">
      <c r="H3599" s="1092"/>
      <c r="I3599" s="1092"/>
    </row>
    <row r="3600" spans="8:9">
      <c r="H3600" s="1092"/>
      <c r="I3600" s="1092"/>
    </row>
    <row r="3601" spans="8:9">
      <c r="H3601" s="1092"/>
      <c r="I3601" s="1092"/>
    </row>
    <row r="3602" spans="8:9">
      <c r="H3602" s="1092"/>
      <c r="I3602" s="1092"/>
    </row>
    <row r="3603" spans="8:9">
      <c r="H3603" s="1092"/>
      <c r="I3603" s="1092"/>
    </row>
    <row r="3604" spans="8:9">
      <c r="H3604" s="1092"/>
      <c r="I3604" s="1092"/>
    </row>
    <row r="3605" spans="8:9">
      <c r="H3605" s="1092"/>
      <c r="I3605" s="1092"/>
    </row>
    <row r="3606" spans="8:9">
      <c r="H3606" s="1092"/>
      <c r="I3606" s="1092"/>
    </row>
    <row r="3607" spans="8:9">
      <c r="H3607" s="1092"/>
      <c r="I3607" s="1092"/>
    </row>
    <row r="3608" spans="8:9">
      <c r="H3608" s="1092"/>
      <c r="I3608" s="1092"/>
    </row>
    <row r="3609" spans="8:9">
      <c r="H3609" s="1092"/>
      <c r="I3609" s="1092"/>
    </row>
    <row r="3610" spans="8:9">
      <c r="H3610" s="1092"/>
      <c r="I3610" s="1092"/>
    </row>
    <row r="3611" spans="8:9">
      <c r="H3611" s="1092"/>
      <c r="I3611" s="1092"/>
    </row>
    <row r="3612" spans="8:9">
      <c r="H3612" s="1092"/>
      <c r="I3612" s="1092"/>
    </row>
    <row r="3613" spans="8:9">
      <c r="H3613" s="1092"/>
      <c r="I3613" s="1092"/>
    </row>
    <row r="3614" spans="8:9">
      <c r="H3614" s="1092"/>
      <c r="I3614" s="1092"/>
    </row>
    <row r="3615" spans="8:9">
      <c r="H3615" s="1092"/>
      <c r="I3615" s="1092"/>
    </row>
    <row r="3616" spans="8:9">
      <c r="H3616" s="1092"/>
      <c r="I3616" s="1092"/>
    </row>
    <row r="3617" spans="8:9">
      <c r="H3617" s="1092"/>
      <c r="I3617" s="1092"/>
    </row>
    <row r="3618" spans="8:9">
      <c r="H3618" s="1092"/>
      <c r="I3618" s="1092"/>
    </row>
    <row r="3619" spans="8:9">
      <c r="H3619" s="1092"/>
      <c r="I3619" s="1092"/>
    </row>
    <row r="3620" spans="8:9">
      <c r="H3620" s="1092"/>
      <c r="I3620" s="1092"/>
    </row>
    <row r="3621" spans="8:9">
      <c r="H3621" s="1092"/>
      <c r="I3621" s="1092"/>
    </row>
    <row r="3622" spans="8:9">
      <c r="H3622" s="1092"/>
      <c r="I3622" s="1092"/>
    </row>
    <row r="3623" spans="8:9">
      <c r="H3623" s="1092"/>
      <c r="I3623" s="1092"/>
    </row>
    <row r="3624" spans="8:9">
      <c r="H3624" s="1092"/>
      <c r="I3624" s="1092"/>
    </row>
    <row r="3625" spans="8:9">
      <c r="H3625" s="1092"/>
      <c r="I3625" s="1092"/>
    </row>
    <row r="3626" spans="8:9">
      <c r="H3626" s="1092"/>
      <c r="I3626" s="1092"/>
    </row>
    <row r="3627" spans="8:9">
      <c r="H3627" s="1092"/>
      <c r="I3627" s="1092"/>
    </row>
    <row r="3628" spans="8:9">
      <c r="H3628" s="1092"/>
      <c r="I3628" s="1092"/>
    </row>
    <row r="3629" spans="8:9">
      <c r="H3629" s="1092"/>
      <c r="I3629" s="1092"/>
    </row>
    <row r="3630" spans="8:9">
      <c r="H3630" s="1092"/>
      <c r="I3630" s="1092"/>
    </row>
    <row r="3631" spans="8:9">
      <c r="H3631" s="1092"/>
      <c r="I3631" s="1092"/>
    </row>
    <row r="3632" spans="8:9">
      <c r="H3632" s="1092"/>
      <c r="I3632" s="1092"/>
    </row>
    <row r="3633" spans="8:9">
      <c r="H3633" s="1092"/>
      <c r="I3633" s="1092"/>
    </row>
    <row r="3634" spans="8:9">
      <c r="H3634" s="1092"/>
      <c r="I3634" s="1092"/>
    </row>
    <row r="3635" spans="8:9">
      <c r="H3635" s="1092"/>
      <c r="I3635" s="1092"/>
    </row>
    <row r="3636" spans="8:9">
      <c r="H3636" s="1092"/>
      <c r="I3636" s="1092"/>
    </row>
    <row r="3637" spans="8:9">
      <c r="H3637" s="1092"/>
      <c r="I3637" s="1092"/>
    </row>
    <row r="3638" spans="8:9">
      <c r="H3638" s="1092"/>
      <c r="I3638" s="1092"/>
    </row>
    <row r="3639" spans="8:9">
      <c r="H3639" s="1092"/>
      <c r="I3639" s="1092"/>
    </row>
    <row r="3640" spans="8:9">
      <c r="H3640" s="1092"/>
      <c r="I3640" s="1092"/>
    </row>
    <row r="3641" spans="8:9">
      <c r="H3641" s="1092"/>
      <c r="I3641" s="1092"/>
    </row>
    <row r="3642" spans="8:9">
      <c r="H3642" s="1092"/>
      <c r="I3642" s="1092"/>
    </row>
    <row r="3643" spans="8:9">
      <c r="H3643" s="1092"/>
      <c r="I3643" s="1092"/>
    </row>
    <row r="3644" spans="8:9">
      <c r="H3644" s="1092"/>
      <c r="I3644" s="1092"/>
    </row>
    <row r="3645" spans="8:9">
      <c r="H3645" s="1092"/>
      <c r="I3645" s="1092"/>
    </row>
    <row r="3646" spans="8:9">
      <c r="H3646" s="1092"/>
      <c r="I3646" s="1092"/>
    </row>
    <row r="3647" spans="8:9">
      <c r="H3647" s="1092"/>
      <c r="I3647" s="1092"/>
    </row>
    <row r="3648" spans="8:9">
      <c r="H3648" s="1092"/>
      <c r="I3648" s="1092"/>
    </row>
    <row r="3649" spans="8:9">
      <c r="H3649" s="1092"/>
      <c r="I3649" s="1092"/>
    </row>
    <row r="3650" spans="8:9">
      <c r="H3650" s="1092"/>
      <c r="I3650" s="1092"/>
    </row>
    <row r="3651" spans="8:9">
      <c r="H3651" s="1092"/>
      <c r="I3651" s="1092"/>
    </row>
    <row r="3652" spans="8:9">
      <c r="H3652" s="1092"/>
      <c r="I3652" s="1092"/>
    </row>
    <row r="3653" spans="8:9">
      <c r="H3653" s="1092"/>
      <c r="I3653" s="1092"/>
    </row>
    <row r="3654" spans="8:9">
      <c r="H3654" s="1092"/>
      <c r="I3654" s="1092"/>
    </row>
    <row r="3655" spans="8:9">
      <c r="H3655" s="1092"/>
      <c r="I3655" s="1092"/>
    </row>
    <row r="3656" spans="8:9">
      <c r="H3656" s="1092"/>
      <c r="I3656" s="1092"/>
    </row>
    <row r="3657" spans="8:9">
      <c r="H3657" s="1092"/>
      <c r="I3657" s="1092"/>
    </row>
    <row r="3658" spans="8:9">
      <c r="H3658" s="1092"/>
      <c r="I3658" s="1092"/>
    </row>
    <row r="3659" spans="8:9">
      <c r="H3659" s="1092"/>
      <c r="I3659" s="1092"/>
    </row>
    <row r="3660" spans="8:9">
      <c r="H3660" s="1092"/>
      <c r="I3660" s="1092"/>
    </row>
    <row r="3661" spans="8:9">
      <c r="H3661" s="1092"/>
      <c r="I3661" s="1092"/>
    </row>
    <row r="3662" spans="8:9">
      <c r="H3662" s="1092"/>
      <c r="I3662" s="1092"/>
    </row>
    <row r="3663" spans="8:9">
      <c r="H3663" s="1092"/>
      <c r="I3663" s="1092"/>
    </row>
    <row r="3664" spans="8:9">
      <c r="H3664" s="1092"/>
      <c r="I3664" s="1092"/>
    </row>
    <row r="3665" spans="8:9">
      <c r="H3665" s="1092"/>
      <c r="I3665" s="1092"/>
    </row>
    <row r="3666" spans="8:9">
      <c r="H3666" s="1092"/>
      <c r="I3666" s="1092"/>
    </row>
    <row r="3667" spans="8:9">
      <c r="H3667" s="1092"/>
      <c r="I3667" s="1092"/>
    </row>
    <row r="3668" spans="8:9">
      <c r="H3668" s="1092"/>
      <c r="I3668" s="1092"/>
    </row>
    <row r="3669" spans="8:9">
      <c r="H3669" s="1092"/>
      <c r="I3669" s="1092"/>
    </row>
    <row r="3670" spans="8:9">
      <c r="H3670" s="1092"/>
      <c r="I3670" s="1092"/>
    </row>
    <row r="3671" spans="8:9">
      <c r="H3671" s="1092"/>
      <c r="I3671" s="1092"/>
    </row>
    <row r="3672" spans="8:9">
      <c r="H3672" s="1092"/>
      <c r="I3672" s="1092"/>
    </row>
    <row r="3673" spans="8:9">
      <c r="H3673" s="1092"/>
      <c r="I3673" s="1092"/>
    </row>
    <row r="3674" spans="8:9">
      <c r="H3674" s="1092"/>
      <c r="I3674" s="1092"/>
    </row>
    <row r="3675" spans="8:9">
      <c r="H3675" s="1092"/>
      <c r="I3675" s="1092"/>
    </row>
    <row r="3676" spans="8:9">
      <c r="H3676" s="1092"/>
      <c r="I3676" s="1092"/>
    </row>
    <row r="3677" spans="8:9">
      <c r="H3677" s="1092"/>
      <c r="I3677" s="1092"/>
    </row>
    <row r="3678" spans="8:9">
      <c r="H3678" s="1092"/>
      <c r="I3678" s="1092"/>
    </row>
    <row r="3679" spans="8:9">
      <c r="H3679" s="1092"/>
      <c r="I3679" s="1092"/>
    </row>
    <row r="3680" spans="8:9">
      <c r="H3680" s="1092"/>
      <c r="I3680" s="1092"/>
    </row>
    <row r="3681" spans="8:9">
      <c r="H3681" s="1092"/>
      <c r="I3681" s="1092"/>
    </row>
    <row r="3682" spans="8:9">
      <c r="H3682" s="1092"/>
      <c r="I3682" s="1092"/>
    </row>
    <row r="3683" spans="8:9">
      <c r="H3683" s="1092"/>
      <c r="I3683" s="1092"/>
    </row>
    <row r="3684" spans="8:9">
      <c r="H3684" s="1092"/>
      <c r="I3684" s="1092"/>
    </row>
    <row r="3685" spans="8:9">
      <c r="H3685" s="1092"/>
      <c r="I3685" s="1092"/>
    </row>
    <row r="3686" spans="8:9">
      <c r="H3686" s="1092"/>
      <c r="I3686" s="1092"/>
    </row>
    <row r="3687" spans="8:9">
      <c r="H3687" s="1092"/>
      <c r="I3687" s="1092"/>
    </row>
    <row r="3688" spans="8:9">
      <c r="H3688" s="1092"/>
      <c r="I3688" s="1092"/>
    </row>
    <row r="3689" spans="8:9">
      <c r="H3689" s="1092"/>
      <c r="I3689" s="1092"/>
    </row>
    <row r="3690" spans="8:9">
      <c r="H3690" s="1092"/>
      <c r="I3690" s="1092"/>
    </row>
    <row r="3691" spans="8:9">
      <c r="H3691" s="1092"/>
      <c r="I3691" s="1092"/>
    </row>
    <row r="3692" spans="8:9">
      <c r="H3692" s="1092"/>
      <c r="I3692" s="1092"/>
    </row>
    <row r="3693" spans="8:9">
      <c r="H3693" s="1092"/>
      <c r="I3693" s="1092"/>
    </row>
    <row r="3694" spans="8:9">
      <c r="H3694" s="1092"/>
      <c r="I3694" s="1092"/>
    </row>
    <row r="3695" spans="8:9">
      <c r="H3695" s="1092"/>
      <c r="I3695" s="1092"/>
    </row>
    <row r="3696" spans="8:9">
      <c r="H3696" s="1092"/>
      <c r="I3696" s="1092"/>
    </row>
    <row r="3697" spans="8:9">
      <c r="H3697" s="1092"/>
      <c r="I3697" s="1092"/>
    </row>
    <row r="3698" spans="8:9">
      <c r="H3698" s="1092"/>
      <c r="I3698" s="1092"/>
    </row>
    <row r="3699" spans="8:9">
      <c r="H3699" s="1092"/>
      <c r="I3699" s="1092"/>
    </row>
    <row r="3700" spans="8:9">
      <c r="H3700" s="1092"/>
      <c r="I3700" s="1092"/>
    </row>
    <row r="3701" spans="8:9">
      <c r="H3701" s="1092"/>
      <c r="I3701" s="1092"/>
    </row>
    <row r="3702" spans="8:9">
      <c r="H3702" s="1092"/>
      <c r="I3702" s="1092"/>
    </row>
    <row r="3703" spans="8:9">
      <c r="H3703" s="1092"/>
      <c r="I3703" s="1092"/>
    </row>
    <row r="3704" spans="8:9">
      <c r="H3704" s="1092"/>
      <c r="I3704" s="1092"/>
    </row>
    <row r="3705" spans="8:9">
      <c r="H3705" s="1092"/>
      <c r="I3705" s="1092"/>
    </row>
    <row r="3706" spans="8:9">
      <c r="H3706" s="1092"/>
      <c r="I3706" s="1092"/>
    </row>
    <row r="3707" spans="8:9">
      <c r="H3707" s="1092"/>
      <c r="I3707" s="1092"/>
    </row>
    <row r="3708" spans="8:9">
      <c r="H3708" s="1092"/>
      <c r="I3708" s="1092"/>
    </row>
    <row r="3709" spans="8:9">
      <c r="H3709" s="1092"/>
      <c r="I3709" s="1092"/>
    </row>
    <row r="3710" spans="8:9">
      <c r="H3710" s="1092"/>
      <c r="I3710" s="1092"/>
    </row>
    <row r="3711" spans="8:9">
      <c r="H3711" s="1092"/>
      <c r="I3711" s="1092"/>
    </row>
    <row r="3712" spans="8:9">
      <c r="H3712" s="1092"/>
      <c r="I3712" s="1092"/>
    </row>
    <row r="3713" spans="8:9">
      <c r="H3713" s="1092"/>
      <c r="I3713" s="1092"/>
    </row>
    <row r="3714" spans="8:9">
      <c r="H3714" s="1092"/>
      <c r="I3714" s="1092"/>
    </row>
    <row r="3715" spans="8:9">
      <c r="H3715" s="1092"/>
      <c r="I3715" s="1092"/>
    </row>
    <row r="3716" spans="8:9">
      <c r="H3716" s="1092"/>
      <c r="I3716" s="1092"/>
    </row>
    <row r="3717" spans="8:9">
      <c r="H3717" s="1092"/>
      <c r="I3717" s="1092"/>
    </row>
    <row r="3718" spans="8:9">
      <c r="H3718" s="1092"/>
      <c r="I3718" s="1092"/>
    </row>
    <row r="3719" spans="8:9">
      <c r="H3719" s="1092"/>
      <c r="I3719" s="1092"/>
    </row>
    <row r="3720" spans="8:9">
      <c r="H3720" s="1092"/>
      <c r="I3720" s="1092"/>
    </row>
    <row r="3721" spans="8:9">
      <c r="H3721" s="1092"/>
      <c r="I3721" s="1092"/>
    </row>
    <row r="3722" spans="8:9">
      <c r="H3722" s="1092"/>
      <c r="I3722" s="1092"/>
    </row>
    <row r="3723" spans="8:9">
      <c r="H3723" s="1092"/>
      <c r="I3723" s="1092"/>
    </row>
    <row r="3724" spans="8:9">
      <c r="H3724" s="1092"/>
      <c r="I3724" s="1092"/>
    </row>
    <row r="3725" spans="8:9">
      <c r="H3725" s="1092"/>
      <c r="I3725" s="1092"/>
    </row>
    <row r="3726" spans="8:9">
      <c r="H3726" s="1092"/>
      <c r="I3726" s="1092"/>
    </row>
    <row r="3727" spans="8:9">
      <c r="H3727" s="1092"/>
      <c r="I3727" s="1092"/>
    </row>
    <row r="3728" spans="8:9">
      <c r="H3728" s="1092"/>
      <c r="I3728" s="1092"/>
    </row>
    <row r="3729" spans="8:9">
      <c r="H3729" s="1092"/>
      <c r="I3729" s="1092"/>
    </row>
    <row r="3730" spans="8:9">
      <c r="H3730" s="1092"/>
      <c r="I3730" s="1092"/>
    </row>
    <row r="3731" spans="8:9">
      <c r="H3731" s="1092"/>
      <c r="I3731" s="1092"/>
    </row>
    <row r="3732" spans="8:9">
      <c r="H3732" s="1092"/>
      <c r="I3732" s="1092"/>
    </row>
    <row r="3733" spans="8:9">
      <c r="H3733" s="1092"/>
      <c r="I3733" s="1092"/>
    </row>
    <row r="3734" spans="8:9">
      <c r="H3734" s="1092"/>
      <c r="I3734" s="1092"/>
    </row>
    <row r="3735" spans="8:9">
      <c r="H3735" s="1092"/>
      <c r="I3735" s="1092"/>
    </row>
    <row r="3736" spans="8:9">
      <c r="H3736" s="1092"/>
      <c r="I3736" s="1092"/>
    </row>
    <row r="3737" spans="8:9">
      <c r="H3737" s="1092"/>
      <c r="I3737" s="1092"/>
    </row>
    <row r="3738" spans="8:9">
      <c r="H3738" s="1092"/>
      <c r="I3738" s="1092"/>
    </row>
    <row r="3739" spans="8:9">
      <c r="H3739" s="1092"/>
      <c r="I3739" s="1092"/>
    </row>
    <row r="3740" spans="8:9">
      <c r="H3740" s="1092"/>
      <c r="I3740" s="1092"/>
    </row>
    <row r="3741" spans="8:9">
      <c r="H3741" s="1092"/>
      <c r="I3741" s="1092"/>
    </row>
    <row r="3742" spans="8:9">
      <c r="H3742" s="1092"/>
      <c r="I3742" s="1092"/>
    </row>
    <row r="3743" spans="8:9">
      <c r="H3743" s="1092"/>
      <c r="I3743" s="1092"/>
    </row>
    <row r="3744" spans="8:9">
      <c r="H3744" s="1092"/>
      <c r="I3744" s="1092"/>
    </row>
    <row r="3745" spans="8:9">
      <c r="H3745" s="1092"/>
      <c r="I3745" s="1092"/>
    </row>
    <row r="3746" spans="8:9">
      <c r="H3746" s="1092"/>
      <c r="I3746" s="1092"/>
    </row>
    <row r="3747" spans="8:9">
      <c r="H3747" s="1092"/>
      <c r="I3747" s="1092"/>
    </row>
    <row r="3748" spans="8:9">
      <c r="H3748" s="1092"/>
      <c r="I3748" s="1092"/>
    </row>
    <row r="3749" spans="8:9">
      <c r="H3749" s="1092"/>
      <c r="I3749" s="1092"/>
    </row>
    <row r="3750" spans="8:9">
      <c r="H3750" s="1092"/>
      <c r="I3750" s="1092"/>
    </row>
    <row r="3751" spans="8:9">
      <c r="H3751" s="1092"/>
      <c r="I3751" s="1092"/>
    </row>
    <row r="3752" spans="8:9">
      <c r="H3752" s="1092"/>
      <c r="I3752" s="1092"/>
    </row>
    <row r="3753" spans="8:9">
      <c r="H3753" s="1092"/>
      <c r="I3753" s="1092"/>
    </row>
    <row r="3754" spans="8:9">
      <c r="H3754" s="1092"/>
      <c r="I3754" s="1092"/>
    </row>
    <row r="3755" spans="8:9">
      <c r="H3755" s="1092"/>
      <c r="I3755" s="1092"/>
    </row>
    <row r="3756" spans="8:9">
      <c r="H3756" s="1092"/>
      <c r="I3756" s="1092"/>
    </row>
    <row r="3757" spans="8:9">
      <c r="H3757" s="1092"/>
      <c r="I3757" s="1092"/>
    </row>
    <row r="3758" spans="8:9">
      <c r="H3758" s="1092"/>
      <c r="I3758" s="1092"/>
    </row>
    <row r="3759" spans="8:9">
      <c r="H3759" s="1092"/>
      <c r="I3759" s="1092"/>
    </row>
    <row r="3760" spans="8:9">
      <c r="H3760" s="1092"/>
      <c r="I3760" s="1092"/>
    </row>
    <row r="3761" spans="8:9">
      <c r="H3761" s="1092"/>
      <c r="I3761" s="1092"/>
    </row>
    <row r="3762" spans="8:9">
      <c r="H3762" s="1092"/>
      <c r="I3762" s="1092"/>
    </row>
    <row r="3763" spans="8:9">
      <c r="H3763" s="1092"/>
      <c r="I3763" s="1092"/>
    </row>
    <row r="3764" spans="8:9">
      <c r="H3764" s="1092"/>
      <c r="I3764" s="1092"/>
    </row>
    <row r="3765" spans="8:9">
      <c r="H3765" s="1092"/>
      <c r="I3765" s="1092"/>
    </row>
    <row r="3766" spans="8:9">
      <c r="H3766" s="1092"/>
      <c r="I3766" s="1092"/>
    </row>
    <row r="3767" spans="8:9">
      <c r="H3767" s="1092"/>
      <c r="I3767" s="1092"/>
    </row>
    <row r="3768" spans="8:9">
      <c r="H3768" s="1092"/>
      <c r="I3768" s="1092"/>
    </row>
    <row r="3769" spans="8:9">
      <c r="H3769" s="1092"/>
      <c r="I3769" s="1092"/>
    </row>
    <row r="3770" spans="8:9">
      <c r="H3770" s="1092"/>
      <c r="I3770" s="1092"/>
    </row>
    <row r="3771" spans="8:9">
      <c r="H3771" s="1092"/>
      <c r="I3771" s="1092"/>
    </row>
    <row r="3772" spans="8:9">
      <c r="H3772" s="1092"/>
      <c r="I3772" s="1092"/>
    </row>
    <row r="3773" spans="8:9">
      <c r="H3773" s="1092"/>
      <c r="I3773" s="1092"/>
    </row>
    <row r="3774" spans="8:9">
      <c r="H3774" s="1092"/>
      <c r="I3774" s="1092"/>
    </row>
    <row r="3775" spans="8:9">
      <c r="H3775" s="1092"/>
      <c r="I3775" s="1092"/>
    </row>
    <row r="3776" spans="8:9">
      <c r="H3776" s="1092"/>
      <c r="I3776" s="1092"/>
    </row>
    <row r="3777" spans="8:9">
      <c r="H3777" s="1092"/>
      <c r="I3777" s="1092"/>
    </row>
    <row r="3778" spans="8:9">
      <c r="H3778" s="1092"/>
      <c r="I3778" s="1092"/>
    </row>
    <row r="3779" spans="8:9">
      <c r="H3779" s="1092"/>
      <c r="I3779" s="1092"/>
    </row>
    <row r="3780" spans="8:9">
      <c r="H3780" s="1092"/>
      <c r="I3780" s="1092"/>
    </row>
    <row r="3781" spans="8:9">
      <c r="H3781" s="1092"/>
      <c r="I3781" s="1092"/>
    </row>
    <row r="3782" spans="8:9">
      <c r="H3782" s="1092"/>
      <c r="I3782" s="1092"/>
    </row>
    <row r="3783" spans="8:9">
      <c r="H3783" s="1092"/>
      <c r="I3783" s="1092"/>
    </row>
    <row r="3784" spans="8:9">
      <c r="H3784" s="1092"/>
      <c r="I3784" s="1092"/>
    </row>
    <row r="3785" spans="8:9">
      <c r="H3785" s="1092"/>
      <c r="I3785" s="1092"/>
    </row>
    <row r="3786" spans="8:9">
      <c r="H3786" s="1092"/>
      <c r="I3786" s="1092"/>
    </row>
    <row r="3787" spans="8:9">
      <c r="H3787" s="1092"/>
      <c r="I3787" s="1092"/>
    </row>
    <row r="3788" spans="8:9">
      <c r="H3788" s="1092"/>
      <c r="I3788" s="1092"/>
    </row>
    <row r="3789" spans="8:9">
      <c r="H3789" s="1092"/>
      <c r="I3789" s="1092"/>
    </row>
    <row r="3790" spans="8:9">
      <c r="H3790" s="1092"/>
      <c r="I3790" s="1092"/>
    </row>
    <row r="3791" spans="8:9">
      <c r="H3791" s="1092"/>
      <c r="I3791" s="1092"/>
    </row>
    <row r="3792" spans="8:9">
      <c r="H3792" s="1092"/>
      <c r="I3792" s="1092"/>
    </row>
    <row r="3793" spans="8:9">
      <c r="H3793" s="1092"/>
      <c r="I3793" s="1092"/>
    </row>
    <row r="3794" spans="8:9">
      <c r="H3794" s="1092"/>
      <c r="I3794" s="1092"/>
    </row>
    <row r="3795" spans="8:9">
      <c r="H3795" s="1092"/>
      <c r="I3795" s="1092"/>
    </row>
    <row r="3796" spans="8:9">
      <c r="H3796" s="1092"/>
      <c r="I3796" s="1092"/>
    </row>
    <row r="3797" spans="8:9">
      <c r="H3797" s="1092"/>
      <c r="I3797" s="1092"/>
    </row>
    <row r="3798" spans="8:9">
      <c r="H3798" s="1092"/>
      <c r="I3798" s="1092"/>
    </row>
    <row r="3799" spans="8:9">
      <c r="H3799" s="1092"/>
      <c r="I3799" s="1092"/>
    </row>
    <row r="3800" spans="8:9">
      <c r="H3800" s="1092"/>
      <c r="I3800" s="1092"/>
    </row>
    <row r="3801" spans="8:9">
      <c r="H3801" s="1092"/>
      <c r="I3801" s="1092"/>
    </row>
    <row r="3802" spans="8:9">
      <c r="H3802" s="1092"/>
      <c r="I3802" s="1092"/>
    </row>
    <row r="3803" spans="8:9">
      <c r="H3803" s="1092"/>
      <c r="I3803" s="1092"/>
    </row>
    <row r="3804" spans="8:9">
      <c r="H3804" s="1092"/>
      <c r="I3804" s="1092"/>
    </row>
    <row r="3805" spans="8:9">
      <c r="H3805" s="1092"/>
      <c r="I3805" s="1092"/>
    </row>
    <row r="3806" spans="8:9">
      <c r="H3806" s="1092"/>
      <c r="I3806" s="1092"/>
    </row>
    <row r="3807" spans="8:9">
      <c r="H3807" s="1092"/>
      <c r="I3807" s="1092"/>
    </row>
    <row r="3808" spans="8:9">
      <c r="H3808" s="1092"/>
      <c r="I3808" s="1092"/>
    </row>
    <row r="3809" spans="8:9">
      <c r="H3809" s="1092"/>
      <c r="I3809" s="1092"/>
    </row>
    <row r="3810" spans="8:9">
      <c r="H3810" s="1092"/>
      <c r="I3810" s="1092"/>
    </row>
    <row r="3811" spans="8:9">
      <c r="H3811" s="1092"/>
      <c r="I3811" s="1092"/>
    </row>
    <row r="3812" spans="8:9">
      <c r="H3812" s="1092"/>
      <c r="I3812" s="1092"/>
    </row>
    <row r="3813" spans="8:9">
      <c r="H3813" s="1092"/>
      <c r="I3813" s="1092"/>
    </row>
    <row r="3814" spans="8:9">
      <c r="H3814" s="1092"/>
      <c r="I3814" s="1092"/>
    </row>
    <row r="3815" spans="8:9">
      <c r="H3815" s="1092"/>
      <c r="I3815" s="1092"/>
    </row>
    <row r="3816" spans="8:9">
      <c r="H3816" s="1092"/>
      <c r="I3816" s="1092"/>
    </row>
    <row r="3817" spans="8:9">
      <c r="H3817" s="1092"/>
      <c r="I3817" s="1092"/>
    </row>
    <row r="3818" spans="8:9">
      <c r="H3818" s="1092"/>
      <c r="I3818" s="1092"/>
    </row>
    <row r="3819" spans="8:9">
      <c r="H3819" s="1092"/>
      <c r="I3819" s="1092"/>
    </row>
    <row r="3820" spans="8:9">
      <c r="H3820" s="1092"/>
      <c r="I3820" s="1092"/>
    </row>
    <row r="3821" spans="8:9">
      <c r="H3821" s="1092"/>
      <c r="I3821" s="1092"/>
    </row>
    <row r="3822" spans="8:9">
      <c r="H3822" s="1092"/>
      <c r="I3822" s="1092"/>
    </row>
    <row r="3823" spans="8:9">
      <c r="H3823" s="1092"/>
      <c r="I3823" s="1092"/>
    </row>
    <row r="3824" spans="8:9">
      <c r="H3824" s="1092"/>
      <c r="I3824" s="1092"/>
    </row>
    <row r="3825" spans="8:9">
      <c r="H3825" s="1092"/>
      <c r="I3825" s="1092"/>
    </row>
    <row r="3826" spans="8:9">
      <c r="H3826" s="1092"/>
      <c r="I3826" s="1092"/>
    </row>
    <row r="3827" spans="8:9">
      <c r="H3827" s="1092"/>
      <c r="I3827" s="1092"/>
    </row>
    <row r="3828" spans="8:9">
      <c r="H3828" s="1092"/>
      <c r="I3828" s="1092"/>
    </row>
    <row r="3829" spans="8:9">
      <c r="H3829" s="1092"/>
      <c r="I3829" s="1092"/>
    </row>
    <row r="3830" spans="8:9">
      <c r="H3830" s="1092"/>
      <c r="I3830" s="1092"/>
    </row>
    <row r="3831" spans="8:9">
      <c r="H3831" s="1092"/>
      <c r="I3831" s="1092"/>
    </row>
    <row r="3832" spans="8:9">
      <c r="H3832" s="1092"/>
      <c r="I3832" s="1092"/>
    </row>
    <row r="3833" spans="8:9">
      <c r="H3833" s="1092"/>
      <c r="I3833" s="1092"/>
    </row>
    <row r="3834" spans="8:9">
      <c r="H3834" s="1092"/>
      <c r="I3834" s="1092"/>
    </row>
    <row r="3835" spans="8:9">
      <c r="H3835" s="1092"/>
      <c r="I3835" s="1092"/>
    </row>
    <row r="3836" spans="8:9">
      <c r="H3836" s="1092"/>
      <c r="I3836" s="1092"/>
    </row>
    <row r="3837" spans="8:9">
      <c r="H3837" s="1092"/>
      <c r="I3837" s="1092"/>
    </row>
    <row r="3838" spans="8:9">
      <c r="H3838" s="1092"/>
      <c r="I3838" s="1092"/>
    </row>
    <row r="3839" spans="8:9">
      <c r="H3839" s="1092"/>
      <c r="I3839" s="1092"/>
    </row>
    <row r="3840" spans="8:9">
      <c r="H3840" s="1092"/>
      <c r="I3840" s="1092"/>
    </row>
    <row r="3841" spans="8:9">
      <c r="H3841" s="1092"/>
      <c r="I3841" s="1092"/>
    </row>
    <row r="3842" spans="8:9">
      <c r="H3842" s="1092"/>
      <c r="I3842" s="1092"/>
    </row>
    <row r="3843" spans="8:9">
      <c r="H3843" s="1092"/>
      <c r="I3843" s="1092"/>
    </row>
    <row r="3844" spans="8:9">
      <c r="H3844" s="1092"/>
      <c r="I3844" s="1092"/>
    </row>
    <row r="3845" spans="8:9">
      <c r="H3845" s="1092"/>
      <c r="I3845" s="1092"/>
    </row>
    <row r="3846" spans="8:9">
      <c r="H3846" s="1092"/>
      <c r="I3846" s="1092"/>
    </row>
    <row r="3847" spans="8:9">
      <c r="H3847" s="1092"/>
      <c r="I3847" s="1092"/>
    </row>
    <row r="3848" spans="8:9">
      <c r="H3848" s="1092"/>
      <c r="I3848" s="1092"/>
    </row>
    <row r="3849" spans="8:9">
      <c r="H3849" s="1092"/>
      <c r="I3849" s="1092"/>
    </row>
    <row r="3850" spans="8:9">
      <c r="H3850" s="1092"/>
      <c r="I3850" s="1092"/>
    </row>
    <row r="3851" spans="8:9">
      <c r="H3851" s="1092"/>
      <c r="I3851" s="1092"/>
    </row>
    <row r="3852" spans="8:9">
      <c r="H3852" s="1092"/>
      <c r="I3852" s="1092"/>
    </row>
    <row r="3853" spans="8:9">
      <c r="H3853" s="1092"/>
      <c r="I3853" s="1092"/>
    </row>
    <row r="3854" spans="8:9">
      <c r="H3854" s="1092"/>
      <c r="I3854" s="1092"/>
    </row>
    <row r="3855" spans="8:9">
      <c r="H3855" s="1092"/>
      <c r="I3855" s="1092"/>
    </row>
    <row r="3856" spans="8:9">
      <c r="H3856" s="1092"/>
      <c r="I3856" s="1092"/>
    </row>
    <row r="3857" spans="8:9">
      <c r="H3857" s="1092"/>
      <c r="I3857" s="1092"/>
    </row>
    <row r="3858" spans="8:9">
      <c r="H3858" s="1092"/>
      <c r="I3858" s="1092"/>
    </row>
    <row r="3859" spans="8:9">
      <c r="H3859" s="1092"/>
      <c r="I3859" s="1092"/>
    </row>
    <row r="3860" spans="8:9">
      <c r="H3860" s="1092"/>
      <c r="I3860" s="1092"/>
    </row>
    <row r="3861" spans="8:9">
      <c r="H3861" s="1092"/>
      <c r="I3861" s="1092"/>
    </row>
    <row r="3862" spans="8:9">
      <c r="H3862" s="1092"/>
      <c r="I3862" s="1092"/>
    </row>
    <row r="3863" spans="8:9">
      <c r="H3863" s="1092"/>
      <c r="I3863" s="1092"/>
    </row>
    <row r="3864" spans="8:9">
      <c r="H3864" s="1092"/>
      <c r="I3864" s="1092"/>
    </row>
    <row r="3865" spans="8:9">
      <c r="H3865" s="1092"/>
      <c r="I3865" s="1092"/>
    </row>
    <row r="3866" spans="8:9">
      <c r="H3866" s="1092"/>
      <c r="I3866" s="1092"/>
    </row>
    <row r="3867" spans="8:9">
      <c r="H3867" s="1092"/>
      <c r="I3867" s="1092"/>
    </row>
    <row r="3868" spans="8:9">
      <c r="H3868" s="1092"/>
      <c r="I3868" s="1092"/>
    </row>
    <row r="3869" spans="8:9">
      <c r="H3869" s="1092"/>
      <c r="I3869" s="1092"/>
    </row>
    <row r="3870" spans="8:9">
      <c r="H3870" s="1092"/>
      <c r="I3870" s="1092"/>
    </row>
    <row r="3871" spans="8:9">
      <c r="H3871" s="1092"/>
      <c r="I3871" s="1092"/>
    </row>
    <row r="3872" spans="8:9">
      <c r="H3872" s="1092"/>
      <c r="I3872" s="1092"/>
    </row>
    <row r="3873" spans="8:9">
      <c r="H3873" s="1092"/>
      <c r="I3873" s="1092"/>
    </row>
    <row r="3874" spans="8:9">
      <c r="H3874" s="1092"/>
      <c r="I3874" s="1092"/>
    </row>
    <row r="3875" spans="8:9">
      <c r="H3875" s="1092"/>
      <c r="I3875" s="1092"/>
    </row>
    <row r="3876" spans="8:9">
      <c r="H3876" s="1092"/>
      <c r="I3876" s="1092"/>
    </row>
    <row r="3877" spans="8:9">
      <c r="H3877" s="1092"/>
      <c r="I3877" s="1092"/>
    </row>
    <row r="3878" spans="8:9">
      <c r="H3878" s="1092"/>
      <c r="I3878" s="1092"/>
    </row>
    <row r="3879" spans="8:9">
      <c r="H3879" s="1092"/>
      <c r="I3879" s="1092"/>
    </row>
    <row r="3880" spans="8:9">
      <c r="H3880" s="1092"/>
      <c r="I3880" s="1092"/>
    </row>
    <row r="3881" spans="8:9">
      <c r="H3881" s="1092"/>
      <c r="I3881" s="1092"/>
    </row>
    <row r="3882" spans="8:9">
      <c r="H3882" s="1092"/>
      <c r="I3882" s="1092"/>
    </row>
    <row r="3883" spans="8:9">
      <c r="H3883" s="1092"/>
      <c r="I3883" s="1092"/>
    </row>
    <row r="3884" spans="8:9">
      <c r="H3884" s="1092"/>
      <c r="I3884" s="1092"/>
    </row>
    <row r="3885" spans="8:9">
      <c r="H3885" s="1092"/>
      <c r="I3885" s="1092"/>
    </row>
    <row r="3886" spans="8:9">
      <c r="H3886" s="1092"/>
      <c r="I3886" s="1092"/>
    </row>
    <row r="3887" spans="8:9">
      <c r="H3887" s="1092"/>
      <c r="I3887" s="1092"/>
    </row>
    <row r="3888" spans="8:9">
      <c r="H3888" s="1092"/>
      <c r="I3888" s="1092"/>
    </row>
    <row r="3889" spans="8:9">
      <c r="H3889" s="1092"/>
      <c r="I3889" s="1092"/>
    </row>
    <row r="3890" spans="8:9">
      <c r="H3890" s="1092"/>
      <c r="I3890" s="1092"/>
    </row>
    <row r="3891" spans="8:9">
      <c r="H3891" s="1092"/>
      <c r="I3891" s="1092"/>
    </row>
    <row r="3892" spans="8:9">
      <c r="H3892" s="1092"/>
      <c r="I3892" s="1092"/>
    </row>
    <row r="3893" spans="8:9">
      <c r="H3893" s="1092"/>
      <c r="I3893" s="1092"/>
    </row>
    <row r="3894" spans="8:9">
      <c r="H3894" s="1092"/>
      <c r="I3894" s="1092"/>
    </row>
    <row r="3895" spans="8:9">
      <c r="H3895" s="1092"/>
      <c r="I3895" s="1092"/>
    </row>
    <row r="3896" spans="8:9">
      <c r="H3896" s="1092"/>
      <c r="I3896" s="1092"/>
    </row>
    <row r="3897" spans="8:9">
      <c r="H3897" s="1092"/>
      <c r="I3897" s="1092"/>
    </row>
    <row r="3898" spans="8:9">
      <c r="H3898" s="1092"/>
      <c r="I3898" s="1092"/>
    </row>
    <row r="3899" spans="8:9">
      <c r="H3899" s="1092"/>
      <c r="I3899" s="1092"/>
    </row>
    <row r="3900" spans="8:9">
      <c r="H3900" s="1092"/>
      <c r="I3900" s="1092"/>
    </row>
    <row r="3901" spans="8:9">
      <c r="H3901" s="1092"/>
      <c r="I3901" s="1092"/>
    </row>
    <row r="3902" spans="8:9">
      <c r="H3902" s="1092"/>
      <c r="I3902" s="1092"/>
    </row>
    <row r="3903" spans="8:9">
      <c r="H3903" s="1092"/>
      <c r="I3903" s="1092"/>
    </row>
    <row r="3904" spans="8:9">
      <c r="H3904" s="1092"/>
      <c r="I3904" s="1092"/>
    </row>
    <row r="3905" spans="8:9">
      <c r="H3905" s="1092"/>
      <c r="I3905" s="1092"/>
    </row>
    <row r="3906" spans="8:9">
      <c r="H3906" s="1092"/>
      <c r="I3906" s="1092"/>
    </row>
    <row r="3907" spans="8:9">
      <c r="H3907" s="1092"/>
      <c r="I3907" s="1092"/>
    </row>
    <row r="3908" spans="8:9">
      <c r="H3908" s="1092"/>
      <c r="I3908" s="1092"/>
    </row>
    <row r="3909" spans="8:9">
      <c r="H3909" s="1092"/>
      <c r="I3909" s="1092"/>
    </row>
    <row r="3910" spans="8:9">
      <c r="H3910" s="1092"/>
      <c r="I3910" s="1092"/>
    </row>
    <row r="3911" spans="8:9">
      <c r="H3911" s="1092"/>
      <c r="I3911" s="1092"/>
    </row>
    <row r="3912" spans="8:9">
      <c r="H3912" s="1092"/>
      <c r="I3912" s="1092"/>
    </row>
    <row r="3913" spans="8:9">
      <c r="H3913" s="1092"/>
      <c r="I3913" s="1092"/>
    </row>
    <row r="3914" spans="8:9">
      <c r="H3914" s="1092"/>
      <c r="I3914" s="1092"/>
    </row>
    <row r="3915" spans="8:9">
      <c r="H3915" s="1092"/>
      <c r="I3915" s="1092"/>
    </row>
    <row r="3916" spans="8:9">
      <c r="H3916" s="1092"/>
      <c r="I3916" s="1092"/>
    </row>
    <row r="3917" spans="8:9">
      <c r="H3917" s="1092"/>
      <c r="I3917" s="1092"/>
    </row>
    <row r="3918" spans="8:9">
      <c r="H3918" s="1092"/>
      <c r="I3918" s="1092"/>
    </row>
    <row r="3919" spans="8:9">
      <c r="H3919" s="1092"/>
      <c r="I3919" s="1092"/>
    </row>
    <row r="3920" spans="8:9">
      <c r="H3920" s="1092"/>
      <c r="I3920" s="1092"/>
    </row>
    <row r="3921" spans="8:9">
      <c r="H3921" s="1092"/>
      <c r="I3921" s="1092"/>
    </row>
    <row r="3922" spans="8:9">
      <c r="H3922" s="1092"/>
      <c r="I3922" s="1092"/>
    </row>
    <row r="3923" spans="8:9">
      <c r="H3923" s="1092"/>
      <c r="I3923" s="1092"/>
    </row>
    <row r="3924" spans="8:9">
      <c r="H3924" s="1092"/>
      <c r="I3924" s="1092"/>
    </row>
    <row r="3925" spans="8:9">
      <c r="H3925" s="1092"/>
      <c r="I3925" s="1092"/>
    </row>
    <row r="3926" spans="8:9">
      <c r="H3926" s="1092"/>
      <c r="I3926" s="1092"/>
    </row>
    <row r="3927" spans="8:9">
      <c r="H3927" s="1092"/>
      <c r="I3927" s="1092"/>
    </row>
    <row r="3928" spans="8:9">
      <c r="H3928" s="1092"/>
      <c r="I3928" s="1092"/>
    </row>
    <row r="3929" spans="8:9">
      <c r="H3929" s="1092"/>
      <c r="I3929" s="1092"/>
    </row>
    <row r="3930" spans="8:9">
      <c r="H3930" s="1092"/>
      <c r="I3930" s="1092"/>
    </row>
    <row r="3931" spans="8:9">
      <c r="H3931" s="1092"/>
      <c r="I3931" s="1092"/>
    </row>
    <row r="3932" spans="8:9">
      <c r="H3932" s="1092"/>
      <c r="I3932" s="1092"/>
    </row>
    <row r="3933" spans="8:9">
      <c r="H3933" s="1092"/>
      <c r="I3933" s="1092"/>
    </row>
    <row r="3934" spans="8:9">
      <c r="H3934" s="1092"/>
      <c r="I3934" s="1092"/>
    </row>
    <row r="3935" spans="8:9">
      <c r="H3935" s="1092"/>
      <c r="I3935" s="1092"/>
    </row>
    <row r="3936" spans="8:9">
      <c r="H3936" s="1092"/>
      <c r="I3936" s="1092"/>
    </row>
    <row r="3937" spans="8:9">
      <c r="H3937" s="1092"/>
      <c r="I3937" s="1092"/>
    </row>
    <row r="3938" spans="8:9">
      <c r="H3938" s="1092"/>
      <c r="I3938" s="1092"/>
    </row>
    <row r="3939" spans="8:9">
      <c r="H3939" s="1092"/>
      <c r="I3939" s="1092"/>
    </row>
    <row r="3940" spans="8:9">
      <c r="H3940" s="1092"/>
      <c r="I3940" s="1092"/>
    </row>
    <row r="3941" spans="8:9">
      <c r="H3941" s="1092"/>
      <c r="I3941" s="1092"/>
    </row>
    <row r="3942" spans="8:9">
      <c r="H3942" s="1092"/>
      <c r="I3942" s="1092"/>
    </row>
    <row r="3943" spans="8:9">
      <c r="H3943" s="1092"/>
      <c r="I3943" s="1092"/>
    </row>
    <row r="3944" spans="8:9">
      <c r="H3944" s="1092"/>
      <c r="I3944" s="1092"/>
    </row>
    <row r="3945" spans="8:9">
      <c r="H3945" s="1092"/>
      <c r="I3945" s="1092"/>
    </row>
    <row r="3946" spans="8:9">
      <c r="H3946" s="1092"/>
      <c r="I3946" s="1092"/>
    </row>
    <row r="3947" spans="8:9">
      <c r="H3947" s="1092"/>
      <c r="I3947" s="1092"/>
    </row>
    <row r="3948" spans="8:9">
      <c r="H3948" s="1092"/>
      <c r="I3948" s="1092"/>
    </row>
    <row r="3949" spans="8:9">
      <c r="H3949" s="1092"/>
      <c r="I3949" s="1092"/>
    </row>
    <row r="3950" spans="8:9">
      <c r="H3950" s="1092"/>
      <c r="I3950" s="1092"/>
    </row>
    <row r="3951" spans="8:9">
      <c r="H3951" s="1092"/>
      <c r="I3951" s="1092"/>
    </row>
    <row r="3952" spans="8:9">
      <c r="H3952" s="1092"/>
      <c r="I3952" s="1092"/>
    </row>
    <row r="3953" spans="8:9">
      <c r="H3953" s="1092"/>
      <c r="I3953" s="1092"/>
    </row>
    <row r="3954" spans="8:9">
      <c r="H3954" s="1092"/>
      <c r="I3954" s="1092"/>
    </row>
    <row r="3955" spans="8:9">
      <c r="H3955" s="1092"/>
      <c r="I3955" s="1092"/>
    </row>
    <row r="3956" spans="8:9">
      <c r="H3956" s="1092"/>
      <c r="I3956" s="1092"/>
    </row>
    <row r="3957" spans="8:9">
      <c r="H3957" s="1092"/>
      <c r="I3957" s="1092"/>
    </row>
    <row r="3958" spans="8:9">
      <c r="H3958" s="1092"/>
      <c r="I3958" s="1092"/>
    </row>
    <row r="3959" spans="8:9">
      <c r="H3959" s="1092"/>
      <c r="I3959" s="1092"/>
    </row>
    <row r="3960" spans="8:9">
      <c r="H3960" s="1092"/>
      <c r="I3960" s="1092"/>
    </row>
    <row r="3961" spans="8:9">
      <c r="H3961" s="1092"/>
      <c r="I3961" s="1092"/>
    </row>
    <row r="3962" spans="8:9">
      <c r="H3962" s="1092"/>
      <c r="I3962" s="1092"/>
    </row>
    <row r="3963" spans="8:9">
      <c r="H3963" s="1092"/>
      <c r="I3963" s="1092"/>
    </row>
    <row r="3964" spans="8:9">
      <c r="H3964" s="1092"/>
      <c r="I3964" s="1092"/>
    </row>
    <row r="3965" spans="8:9">
      <c r="H3965" s="1092"/>
      <c r="I3965" s="1092"/>
    </row>
    <row r="3966" spans="8:9">
      <c r="H3966" s="1092"/>
      <c r="I3966" s="1092"/>
    </row>
    <row r="3967" spans="8:9">
      <c r="H3967" s="1092"/>
      <c r="I3967" s="1092"/>
    </row>
    <row r="3968" spans="8:9">
      <c r="H3968" s="1092"/>
      <c r="I3968" s="1092"/>
    </row>
    <row r="3969" spans="8:9">
      <c r="H3969" s="1092"/>
      <c r="I3969" s="1092"/>
    </row>
    <row r="3970" spans="8:9">
      <c r="H3970" s="1092"/>
      <c r="I3970" s="1092"/>
    </row>
    <row r="3971" spans="8:9">
      <c r="H3971" s="1092"/>
      <c r="I3971" s="1092"/>
    </row>
    <row r="3972" spans="8:9">
      <c r="H3972" s="1092"/>
      <c r="I3972" s="1092"/>
    </row>
    <row r="3973" spans="8:9">
      <c r="H3973" s="1092"/>
      <c r="I3973" s="1092"/>
    </row>
    <row r="3974" spans="8:9">
      <c r="H3974" s="1092"/>
      <c r="I3974" s="1092"/>
    </row>
    <row r="3975" spans="8:9">
      <c r="H3975" s="1092"/>
      <c r="I3975" s="1092"/>
    </row>
    <row r="3976" spans="8:9">
      <c r="H3976" s="1092"/>
      <c r="I3976" s="1092"/>
    </row>
    <row r="3977" spans="8:9">
      <c r="H3977" s="1092"/>
      <c r="I3977" s="1092"/>
    </row>
    <row r="3978" spans="8:9">
      <c r="H3978" s="1092"/>
      <c r="I3978" s="1092"/>
    </row>
    <row r="3979" spans="8:9">
      <c r="H3979" s="1092"/>
      <c r="I3979" s="1092"/>
    </row>
    <row r="3980" spans="8:9">
      <c r="H3980" s="1092"/>
      <c r="I3980" s="1092"/>
    </row>
    <row r="3981" spans="8:9">
      <c r="H3981" s="1092"/>
      <c r="I3981" s="1092"/>
    </row>
    <row r="3982" spans="8:9">
      <c r="H3982" s="1092"/>
      <c r="I3982" s="1092"/>
    </row>
    <row r="3983" spans="8:9">
      <c r="H3983" s="1092"/>
      <c r="I3983" s="1092"/>
    </row>
    <row r="3984" spans="8:9">
      <c r="H3984" s="1092"/>
      <c r="I3984" s="1092"/>
    </row>
    <row r="3985" spans="8:9">
      <c r="H3985" s="1092"/>
      <c r="I3985" s="1092"/>
    </row>
    <row r="3986" spans="8:9">
      <c r="H3986" s="1092"/>
      <c r="I3986" s="1092"/>
    </row>
    <row r="3987" spans="8:9">
      <c r="H3987" s="1092"/>
      <c r="I3987" s="1092"/>
    </row>
    <row r="3988" spans="8:9">
      <c r="H3988" s="1092"/>
      <c r="I3988" s="1092"/>
    </row>
    <row r="3989" spans="8:9">
      <c r="H3989" s="1092"/>
      <c r="I3989" s="1092"/>
    </row>
    <row r="3990" spans="8:9">
      <c r="H3990" s="1092"/>
      <c r="I3990" s="1092"/>
    </row>
    <row r="3991" spans="8:9">
      <c r="H3991" s="1092"/>
      <c r="I3991" s="1092"/>
    </row>
    <row r="3992" spans="8:9">
      <c r="H3992" s="1092"/>
      <c r="I3992" s="1092"/>
    </row>
    <row r="3993" spans="8:9">
      <c r="H3993" s="1092"/>
      <c r="I3993" s="1092"/>
    </row>
    <row r="3994" spans="8:9">
      <c r="H3994" s="1092"/>
      <c r="I3994" s="1092"/>
    </row>
    <row r="3995" spans="8:9">
      <c r="H3995" s="1092"/>
      <c r="I3995" s="1092"/>
    </row>
    <row r="3996" spans="8:9">
      <c r="H3996" s="1092"/>
      <c r="I3996" s="1092"/>
    </row>
    <row r="3997" spans="8:9">
      <c r="H3997" s="1092"/>
      <c r="I3997" s="1092"/>
    </row>
    <row r="3998" spans="8:9">
      <c r="H3998" s="1092"/>
      <c r="I3998" s="1092"/>
    </row>
    <row r="3999" spans="8:9">
      <c r="H3999" s="1092"/>
      <c r="I3999" s="1092"/>
    </row>
    <row r="4000" spans="8:9">
      <c r="H4000" s="1092"/>
      <c r="I4000" s="1092"/>
    </row>
    <row r="4001" spans="8:9">
      <c r="H4001" s="1092"/>
      <c r="I4001" s="1092"/>
    </row>
    <row r="4002" spans="8:9">
      <c r="H4002" s="1092"/>
      <c r="I4002" s="1092"/>
    </row>
    <row r="4003" spans="8:9">
      <c r="H4003" s="1092"/>
      <c r="I4003" s="1092"/>
    </row>
    <row r="4004" spans="8:9">
      <c r="H4004" s="1092"/>
      <c r="I4004" s="1092"/>
    </row>
    <row r="4005" spans="8:9">
      <c r="H4005" s="1092"/>
      <c r="I4005" s="1092"/>
    </row>
    <row r="4006" spans="8:9">
      <c r="H4006" s="1092"/>
      <c r="I4006" s="1092"/>
    </row>
    <row r="4007" spans="8:9">
      <c r="H4007" s="1092"/>
      <c r="I4007" s="1092"/>
    </row>
    <row r="4008" spans="8:9">
      <c r="H4008" s="1092"/>
      <c r="I4008" s="1092"/>
    </row>
    <row r="4009" spans="8:9">
      <c r="H4009" s="1092"/>
      <c r="I4009" s="1092"/>
    </row>
    <row r="4010" spans="8:9">
      <c r="H4010" s="1092"/>
      <c r="I4010" s="1092"/>
    </row>
    <row r="4011" spans="8:9">
      <c r="H4011" s="1092"/>
      <c r="I4011" s="1092"/>
    </row>
    <row r="4012" spans="8:9">
      <c r="H4012" s="1092"/>
      <c r="I4012" s="1092"/>
    </row>
    <row r="4013" spans="8:9">
      <c r="H4013" s="1092"/>
      <c r="I4013" s="1092"/>
    </row>
    <row r="4014" spans="8:9">
      <c r="H4014" s="1092"/>
      <c r="I4014" s="1092"/>
    </row>
    <row r="4015" spans="8:9">
      <c r="H4015" s="1092"/>
      <c r="I4015" s="1092"/>
    </row>
    <row r="4016" spans="8:9">
      <c r="H4016" s="1092"/>
      <c r="I4016" s="1092"/>
    </row>
    <row r="4017" spans="8:9">
      <c r="H4017" s="1092"/>
      <c r="I4017" s="1092"/>
    </row>
    <row r="4018" spans="8:9">
      <c r="H4018" s="1092"/>
      <c r="I4018" s="1092"/>
    </row>
    <row r="4019" spans="8:9">
      <c r="H4019" s="1092"/>
      <c r="I4019" s="1092"/>
    </row>
    <row r="4020" spans="8:9">
      <c r="H4020" s="1092"/>
      <c r="I4020" s="1092"/>
    </row>
    <row r="4021" spans="8:9">
      <c r="H4021" s="1092"/>
      <c r="I4021" s="1092"/>
    </row>
    <row r="4022" spans="8:9">
      <c r="H4022" s="1092"/>
      <c r="I4022" s="1092"/>
    </row>
    <row r="4023" spans="8:9">
      <c r="H4023" s="1092"/>
      <c r="I4023" s="1092"/>
    </row>
    <row r="4024" spans="8:9">
      <c r="H4024" s="1092"/>
      <c r="I4024" s="1092"/>
    </row>
    <row r="4025" spans="8:9">
      <c r="H4025" s="1092"/>
      <c r="I4025" s="1092"/>
    </row>
    <row r="4026" spans="8:9">
      <c r="H4026" s="1092"/>
      <c r="I4026" s="1092"/>
    </row>
    <row r="4027" spans="8:9">
      <c r="H4027" s="1092"/>
      <c r="I4027" s="1092"/>
    </row>
    <row r="4028" spans="8:9">
      <c r="H4028" s="1092"/>
      <c r="I4028" s="1092"/>
    </row>
    <row r="4029" spans="8:9">
      <c r="H4029" s="1092"/>
      <c r="I4029" s="1092"/>
    </row>
    <row r="4030" spans="8:9">
      <c r="H4030" s="1092"/>
      <c r="I4030" s="1092"/>
    </row>
    <row r="4031" spans="8:9">
      <c r="H4031" s="1092"/>
      <c r="I4031" s="1092"/>
    </row>
    <row r="4032" spans="8:9">
      <c r="H4032" s="1092"/>
      <c r="I4032" s="1092"/>
    </row>
    <row r="4033" spans="8:9">
      <c r="H4033" s="1092"/>
      <c r="I4033" s="1092"/>
    </row>
    <row r="4034" spans="8:9">
      <c r="H4034" s="1092"/>
      <c r="I4034" s="1092"/>
    </row>
    <row r="4035" spans="8:9">
      <c r="H4035" s="1092"/>
      <c r="I4035" s="1092"/>
    </row>
    <row r="4036" spans="8:9">
      <c r="H4036" s="1092"/>
      <c r="I4036" s="1092"/>
    </row>
    <row r="4037" spans="8:9">
      <c r="H4037" s="1092"/>
      <c r="I4037" s="1092"/>
    </row>
    <row r="4038" spans="8:9">
      <c r="H4038" s="1092"/>
      <c r="I4038" s="1092"/>
    </row>
    <row r="4039" spans="8:9">
      <c r="H4039" s="1092"/>
      <c r="I4039" s="1092"/>
    </row>
    <row r="4040" spans="8:9">
      <c r="H4040" s="1092"/>
      <c r="I4040" s="1092"/>
    </row>
    <row r="4041" spans="8:9">
      <c r="H4041" s="1092"/>
      <c r="I4041" s="1092"/>
    </row>
    <row r="4042" spans="8:9">
      <c r="H4042" s="1092"/>
      <c r="I4042" s="1092"/>
    </row>
    <row r="4043" spans="8:9">
      <c r="H4043" s="1092"/>
      <c r="I4043" s="1092"/>
    </row>
    <row r="4044" spans="8:9">
      <c r="H4044" s="1092"/>
      <c r="I4044" s="1092"/>
    </row>
    <row r="4045" spans="8:9">
      <c r="H4045" s="1092"/>
      <c r="I4045" s="1092"/>
    </row>
    <row r="4046" spans="8:9">
      <c r="H4046" s="1092"/>
      <c r="I4046" s="1092"/>
    </row>
    <row r="4047" spans="8:9">
      <c r="H4047" s="1092"/>
      <c r="I4047" s="1092"/>
    </row>
    <row r="4048" spans="8:9">
      <c r="H4048" s="1092"/>
      <c r="I4048" s="1092"/>
    </row>
    <row r="4049" spans="8:9">
      <c r="H4049" s="1092"/>
      <c r="I4049" s="1092"/>
    </row>
    <row r="4050" spans="8:9">
      <c r="H4050" s="1092"/>
      <c r="I4050" s="1092"/>
    </row>
    <row r="4051" spans="8:9">
      <c r="H4051" s="1092"/>
      <c r="I4051" s="1092"/>
    </row>
    <row r="4052" spans="8:9">
      <c r="H4052" s="1092"/>
      <c r="I4052" s="1092"/>
    </row>
    <row r="4053" spans="8:9">
      <c r="H4053" s="1092"/>
      <c r="I4053" s="1092"/>
    </row>
    <row r="4054" spans="8:9">
      <c r="H4054" s="1092"/>
      <c r="I4054" s="1092"/>
    </row>
    <row r="4055" spans="8:9">
      <c r="H4055" s="1092"/>
      <c r="I4055" s="1092"/>
    </row>
    <row r="4056" spans="8:9">
      <c r="H4056" s="1092"/>
      <c r="I4056" s="1092"/>
    </row>
    <row r="4057" spans="8:9">
      <c r="H4057" s="1092"/>
      <c r="I4057" s="1092"/>
    </row>
    <row r="4058" spans="8:9">
      <c r="H4058" s="1092"/>
      <c r="I4058" s="1092"/>
    </row>
    <row r="4059" spans="8:9">
      <c r="H4059" s="1092"/>
      <c r="I4059" s="1092"/>
    </row>
    <row r="4060" spans="8:9">
      <c r="H4060" s="1092"/>
      <c r="I4060" s="1092"/>
    </row>
    <row r="4061" spans="8:9">
      <c r="H4061" s="1092"/>
      <c r="I4061" s="1092"/>
    </row>
    <row r="4062" spans="8:9">
      <c r="H4062" s="1092"/>
      <c r="I4062" s="1092"/>
    </row>
    <row r="4063" spans="8:9">
      <c r="H4063" s="1092"/>
      <c r="I4063" s="1092"/>
    </row>
    <row r="4064" spans="8:9">
      <c r="H4064" s="1092"/>
      <c r="I4064" s="1092"/>
    </row>
    <row r="4065" spans="8:9">
      <c r="H4065" s="1092"/>
      <c r="I4065" s="1092"/>
    </row>
    <row r="4066" spans="8:9">
      <c r="H4066" s="1092"/>
      <c r="I4066" s="1092"/>
    </row>
    <row r="4067" spans="8:9">
      <c r="H4067" s="1092"/>
      <c r="I4067" s="1092"/>
    </row>
    <row r="4068" spans="8:9">
      <c r="H4068" s="1092"/>
      <c r="I4068" s="1092"/>
    </row>
    <row r="4069" spans="8:9">
      <c r="H4069" s="1092"/>
      <c r="I4069" s="1092"/>
    </row>
    <row r="4070" spans="8:9">
      <c r="H4070" s="1092"/>
      <c r="I4070" s="1092"/>
    </row>
    <row r="4071" spans="8:9">
      <c r="H4071" s="1092"/>
      <c r="I4071" s="1092"/>
    </row>
    <row r="4072" spans="8:9">
      <c r="H4072" s="1092"/>
      <c r="I4072" s="1092"/>
    </row>
    <row r="4073" spans="8:9">
      <c r="H4073" s="1092"/>
      <c r="I4073" s="1092"/>
    </row>
    <row r="4074" spans="8:9">
      <c r="H4074" s="1092"/>
      <c r="I4074" s="1092"/>
    </row>
    <row r="4075" spans="8:9">
      <c r="H4075" s="1092"/>
      <c r="I4075" s="1092"/>
    </row>
    <row r="4076" spans="8:9">
      <c r="H4076" s="1092"/>
      <c r="I4076" s="1092"/>
    </row>
    <row r="4077" spans="8:9">
      <c r="H4077" s="1092"/>
      <c r="I4077" s="1092"/>
    </row>
    <row r="4078" spans="8:9">
      <c r="H4078" s="1092"/>
      <c r="I4078" s="1092"/>
    </row>
    <row r="4079" spans="8:9">
      <c r="H4079" s="1092"/>
      <c r="I4079" s="1092"/>
    </row>
    <row r="4080" spans="8:9">
      <c r="H4080" s="1092"/>
      <c r="I4080" s="1092"/>
    </row>
    <row r="4081" spans="8:9">
      <c r="H4081" s="1092"/>
      <c r="I4081" s="1092"/>
    </row>
    <row r="4082" spans="8:9">
      <c r="H4082" s="1092"/>
      <c r="I4082" s="1092"/>
    </row>
    <row r="4083" spans="8:9">
      <c r="H4083" s="1092"/>
      <c r="I4083" s="1092"/>
    </row>
    <row r="4084" spans="8:9">
      <c r="H4084" s="1092"/>
      <c r="I4084" s="1092"/>
    </row>
    <row r="4085" spans="8:9">
      <c r="H4085" s="1092"/>
      <c r="I4085" s="1092"/>
    </row>
    <row r="4086" spans="8:9">
      <c r="H4086" s="1092"/>
      <c r="I4086" s="1092"/>
    </row>
    <row r="4087" spans="8:9">
      <c r="H4087" s="1092"/>
      <c r="I4087" s="1092"/>
    </row>
    <row r="4088" spans="8:9">
      <c r="H4088" s="1092"/>
      <c r="I4088" s="1092"/>
    </row>
    <row r="4089" spans="8:9">
      <c r="H4089" s="1092"/>
      <c r="I4089" s="1092"/>
    </row>
    <row r="4090" spans="8:9">
      <c r="H4090" s="1092"/>
      <c r="I4090" s="1092"/>
    </row>
    <row r="4091" spans="8:9">
      <c r="H4091" s="1092"/>
      <c r="I4091" s="1092"/>
    </row>
    <row r="4092" spans="8:9">
      <c r="H4092" s="1092"/>
      <c r="I4092" s="1092"/>
    </row>
    <row r="4093" spans="8:9">
      <c r="H4093" s="1092"/>
      <c r="I4093" s="1092"/>
    </row>
    <row r="4094" spans="8:9">
      <c r="H4094" s="1092"/>
      <c r="I4094" s="1092"/>
    </row>
    <row r="4095" spans="8:9">
      <c r="H4095" s="1092"/>
      <c r="I4095" s="1092"/>
    </row>
    <row r="4096" spans="8:9">
      <c r="H4096" s="1092"/>
      <c r="I4096" s="1092"/>
    </row>
    <row r="4097" spans="8:9">
      <c r="H4097" s="1092"/>
      <c r="I4097" s="1092"/>
    </row>
    <row r="4098" spans="8:9">
      <c r="H4098" s="1092"/>
      <c r="I4098" s="1092"/>
    </row>
    <row r="4099" spans="8:9">
      <c r="H4099" s="1092"/>
      <c r="I4099" s="1092"/>
    </row>
    <row r="4100" spans="8:9">
      <c r="H4100" s="1092"/>
      <c r="I4100" s="1092"/>
    </row>
    <row r="4101" spans="8:9">
      <c r="H4101" s="1092"/>
      <c r="I4101" s="1092"/>
    </row>
    <row r="4102" spans="8:9">
      <c r="H4102" s="1092"/>
      <c r="I4102" s="1092"/>
    </row>
    <row r="4103" spans="8:9">
      <c r="H4103" s="1092"/>
      <c r="I4103" s="1092"/>
    </row>
    <row r="4104" spans="8:9">
      <c r="H4104" s="1092"/>
      <c r="I4104" s="1092"/>
    </row>
    <row r="4105" spans="8:9">
      <c r="H4105" s="1092"/>
      <c r="I4105" s="1092"/>
    </row>
    <row r="4106" spans="8:9">
      <c r="H4106" s="1092"/>
      <c r="I4106" s="1092"/>
    </row>
    <row r="4107" spans="8:9">
      <c r="H4107" s="1092"/>
      <c r="I4107" s="1092"/>
    </row>
    <row r="4108" spans="8:9">
      <c r="H4108" s="1092"/>
      <c r="I4108" s="1092"/>
    </row>
    <row r="4109" spans="8:9">
      <c r="H4109" s="1092"/>
      <c r="I4109" s="1092"/>
    </row>
    <row r="4110" spans="8:9">
      <c r="H4110" s="1092"/>
      <c r="I4110" s="1092"/>
    </row>
    <row r="4111" spans="8:9">
      <c r="H4111" s="1092"/>
      <c r="I4111" s="1092"/>
    </row>
    <row r="4112" spans="8:9">
      <c r="H4112" s="1092"/>
      <c r="I4112" s="1092"/>
    </row>
    <row r="4113" spans="8:9">
      <c r="H4113" s="1092"/>
      <c r="I4113" s="1092"/>
    </row>
    <row r="4114" spans="8:9">
      <c r="H4114" s="1092"/>
      <c r="I4114" s="1092"/>
    </row>
    <row r="4115" spans="8:9">
      <c r="H4115" s="1092"/>
      <c r="I4115" s="1092"/>
    </row>
    <row r="4116" spans="8:9">
      <c r="H4116" s="1092"/>
      <c r="I4116" s="1092"/>
    </row>
    <row r="4117" spans="8:9">
      <c r="H4117" s="1092"/>
      <c r="I4117" s="1092"/>
    </row>
    <row r="4118" spans="8:9">
      <c r="H4118" s="1092"/>
      <c r="I4118" s="1092"/>
    </row>
    <row r="4119" spans="8:9">
      <c r="H4119" s="1092"/>
      <c r="I4119" s="1092"/>
    </row>
    <row r="4120" spans="8:9">
      <c r="H4120" s="1092"/>
      <c r="I4120" s="1092"/>
    </row>
    <row r="4121" spans="8:9">
      <c r="H4121" s="1092"/>
      <c r="I4121" s="1092"/>
    </row>
    <row r="4122" spans="8:9">
      <c r="H4122" s="1092"/>
      <c r="I4122" s="1092"/>
    </row>
    <row r="4123" spans="8:9">
      <c r="H4123" s="1092"/>
      <c r="I4123" s="1092"/>
    </row>
    <row r="4124" spans="8:9">
      <c r="H4124" s="1092"/>
      <c r="I4124" s="1092"/>
    </row>
    <row r="4125" spans="8:9">
      <c r="H4125" s="1092"/>
      <c r="I4125" s="1092"/>
    </row>
    <row r="4126" spans="8:9">
      <c r="H4126" s="1092"/>
      <c r="I4126" s="1092"/>
    </row>
    <row r="4127" spans="8:9">
      <c r="H4127" s="1092"/>
      <c r="I4127" s="1092"/>
    </row>
    <row r="4128" spans="8:9">
      <c r="H4128" s="1092"/>
      <c r="I4128" s="1092"/>
    </row>
    <row r="4129" spans="8:9">
      <c r="H4129" s="1092"/>
      <c r="I4129" s="1092"/>
    </row>
    <row r="4130" spans="8:9">
      <c r="H4130" s="1092"/>
      <c r="I4130" s="1092"/>
    </row>
    <row r="4131" spans="8:9">
      <c r="H4131" s="1092"/>
      <c r="I4131" s="1092"/>
    </row>
    <row r="4132" spans="8:9">
      <c r="H4132" s="1092"/>
      <c r="I4132" s="1092"/>
    </row>
    <row r="4133" spans="8:9">
      <c r="H4133" s="1092"/>
      <c r="I4133" s="1092"/>
    </row>
    <row r="4134" spans="8:9">
      <c r="H4134" s="1092"/>
      <c r="I4134" s="1092"/>
    </row>
    <row r="4135" spans="8:9">
      <c r="H4135" s="1092"/>
      <c r="I4135" s="1092"/>
    </row>
    <row r="4136" spans="8:9">
      <c r="H4136" s="1092"/>
      <c r="I4136" s="1092"/>
    </row>
    <row r="4137" spans="8:9">
      <c r="H4137" s="1092"/>
      <c r="I4137" s="1092"/>
    </row>
    <row r="4138" spans="8:9">
      <c r="H4138" s="1092"/>
      <c r="I4138" s="1092"/>
    </row>
    <row r="4139" spans="8:9">
      <c r="H4139" s="1092"/>
      <c r="I4139" s="1092"/>
    </row>
    <row r="4140" spans="8:9">
      <c r="H4140" s="1092"/>
      <c r="I4140" s="1092"/>
    </row>
    <row r="4141" spans="8:9">
      <c r="H4141" s="1092"/>
      <c r="I4141" s="1092"/>
    </row>
    <row r="4142" spans="8:9">
      <c r="H4142" s="1092"/>
      <c r="I4142" s="1092"/>
    </row>
    <row r="4143" spans="8:9">
      <c r="H4143" s="1092"/>
      <c r="I4143" s="1092"/>
    </row>
    <row r="4144" spans="8:9">
      <c r="H4144" s="1092"/>
      <c r="I4144" s="1092"/>
    </row>
    <row r="4145" spans="8:9">
      <c r="H4145" s="1092"/>
      <c r="I4145" s="1092"/>
    </row>
    <row r="4146" spans="8:9">
      <c r="H4146" s="1092"/>
      <c r="I4146" s="1092"/>
    </row>
    <row r="4147" spans="8:9">
      <c r="H4147" s="1092"/>
      <c r="I4147" s="1092"/>
    </row>
    <row r="4148" spans="8:9">
      <c r="H4148" s="1092"/>
      <c r="I4148" s="1092"/>
    </row>
    <row r="4149" spans="8:9">
      <c r="H4149" s="1092"/>
      <c r="I4149" s="1092"/>
    </row>
    <row r="4150" spans="8:9">
      <c r="H4150" s="1092"/>
      <c r="I4150" s="1092"/>
    </row>
    <row r="4151" spans="8:9">
      <c r="H4151" s="1092"/>
      <c r="I4151" s="1092"/>
    </row>
    <row r="4152" spans="8:9">
      <c r="H4152" s="1092"/>
      <c r="I4152" s="1092"/>
    </row>
    <row r="4153" spans="8:9">
      <c r="H4153" s="1092"/>
      <c r="I4153" s="1092"/>
    </row>
    <row r="4154" spans="8:9">
      <c r="H4154" s="1092"/>
      <c r="I4154" s="1092"/>
    </row>
    <row r="4155" spans="8:9">
      <c r="H4155" s="1092"/>
      <c r="I4155" s="1092"/>
    </row>
    <row r="4156" spans="8:9">
      <c r="H4156" s="1092"/>
      <c r="I4156" s="1092"/>
    </row>
    <row r="4157" spans="8:9">
      <c r="H4157" s="1092"/>
      <c r="I4157" s="1092"/>
    </row>
    <row r="4158" spans="8:9">
      <c r="H4158" s="1092"/>
      <c r="I4158" s="1092"/>
    </row>
    <row r="4159" spans="8:9">
      <c r="H4159" s="1092"/>
      <c r="I4159" s="1092"/>
    </row>
    <row r="4160" spans="8:9">
      <c r="H4160" s="1092"/>
      <c r="I4160" s="1092"/>
    </row>
    <row r="4161" spans="8:9">
      <c r="H4161" s="1092"/>
      <c r="I4161" s="1092"/>
    </row>
    <row r="4162" spans="8:9">
      <c r="H4162" s="1092"/>
      <c r="I4162" s="1092"/>
    </row>
    <row r="4163" spans="8:9">
      <c r="H4163" s="1092"/>
      <c r="I4163" s="1092"/>
    </row>
    <row r="4164" spans="8:9">
      <c r="H4164" s="1092"/>
      <c r="I4164" s="1092"/>
    </row>
    <row r="4165" spans="8:9">
      <c r="H4165" s="1092"/>
      <c r="I4165" s="1092"/>
    </row>
    <row r="4166" spans="8:9">
      <c r="H4166" s="1092"/>
      <c r="I4166" s="1092"/>
    </row>
    <row r="4167" spans="8:9">
      <c r="H4167" s="1092"/>
      <c r="I4167" s="1092"/>
    </row>
    <row r="4168" spans="8:9">
      <c r="H4168" s="1092"/>
      <c r="I4168" s="1092"/>
    </row>
    <row r="4169" spans="8:9">
      <c r="H4169" s="1092"/>
      <c r="I4169" s="1092"/>
    </row>
    <row r="4170" spans="8:9">
      <c r="H4170" s="1092"/>
      <c r="I4170" s="1092"/>
    </row>
    <row r="4171" spans="8:9">
      <c r="H4171" s="1092"/>
      <c r="I4171" s="1092"/>
    </row>
    <row r="4172" spans="8:9">
      <c r="H4172" s="1092"/>
      <c r="I4172" s="1092"/>
    </row>
    <row r="4173" spans="8:9">
      <c r="H4173" s="1092"/>
      <c r="I4173" s="1092"/>
    </row>
    <row r="4174" spans="8:9">
      <c r="H4174" s="1092"/>
      <c r="I4174" s="1092"/>
    </row>
    <row r="4175" spans="8:9">
      <c r="H4175" s="1092"/>
      <c r="I4175" s="1092"/>
    </row>
    <row r="4176" spans="8:9">
      <c r="H4176" s="1092"/>
      <c r="I4176" s="1092"/>
    </row>
    <row r="4177" spans="8:9">
      <c r="H4177" s="1092"/>
      <c r="I4177" s="1092"/>
    </row>
    <row r="4178" spans="8:9">
      <c r="H4178" s="1092"/>
      <c r="I4178" s="1092"/>
    </row>
    <row r="4179" spans="8:9">
      <c r="H4179" s="1092"/>
      <c r="I4179" s="1092"/>
    </row>
    <row r="4180" spans="8:9">
      <c r="H4180" s="1092"/>
      <c r="I4180" s="1092"/>
    </row>
    <row r="4181" spans="8:9">
      <c r="H4181" s="1092"/>
      <c r="I4181" s="1092"/>
    </row>
    <row r="4182" spans="8:9">
      <c r="H4182" s="1092"/>
      <c r="I4182" s="1092"/>
    </row>
    <row r="4183" spans="8:9">
      <c r="H4183" s="1092"/>
      <c r="I4183" s="1092"/>
    </row>
    <row r="4184" spans="8:9">
      <c r="H4184" s="1092"/>
      <c r="I4184" s="1092"/>
    </row>
    <row r="4185" spans="8:9">
      <c r="H4185" s="1092"/>
      <c r="I4185" s="1092"/>
    </row>
    <row r="4186" spans="8:9">
      <c r="H4186" s="1092"/>
      <c r="I4186" s="1092"/>
    </row>
    <row r="4187" spans="8:9">
      <c r="H4187" s="1092"/>
      <c r="I4187" s="1092"/>
    </row>
    <row r="4188" spans="8:9">
      <c r="H4188" s="1092"/>
      <c r="I4188" s="1092"/>
    </row>
    <row r="4189" spans="8:9">
      <c r="H4189" s="1092"/>
      <c r="I4189" s="1092"/>
    </row>
    <row r="4190" spans="8:9">
      <c r="H4190" s="1092"/>
      <c r="I4190" s="1092"/>
    </row>
    <row r="4191" spans="8:9">
      <c r="H4191" s="1092"/>
      <c r="I4191" s="1092"/>
    </row>
    <row r="4192" spans="8:9">
      <c r="H4192" s="1092"/>
      <c r="I4192" s="1092"/>
    </row>
    <row r="4193" spans="8:9">
      <c r="H4193" s="1092"/>
      <c r="I4193" s="1092"/>
    </row>
    <row r="4194" spans="8:9">
      <c r="H4194" s="1092"/>
      <c r="I4194" s="1092"/>
    </row>
    <row r="4195" spans="8:9">
      <c r="H4195" s="1092"/>
      <c r="I4195" s="1092"/>
    </row>
    <row r="4196" spans="8:9">
      <c r="H4196" s="1092"/>
      <c r="I4196" s="1092"/>
    </row>
    <row r="4197" spans="8:9">
      <c r="H4197" s="1092"/>
      <c r="I4197" s="1092"/>
    </row>
    <row r="4198" spans="8:9">
      <c r="H4198" s="1092"/>
      <c r="I4198" s="1092"/>
    </row>
    <row r="4199" spans="8:9">
      <c r="H4199" s="1092"/>
      <c r="I4199" s="1092"/>
    </row>
    <row r="4200" spans="8:9">
      <c r="H4200" s="1092"/>
      <c r="I4200" s="1092"/>
    </row>
    <row r="4201" spans="8:9">
      <c r="H4201" s="1092"/>
      <c r="I4201" s="1092"/>
    </row>
    <row r="4202" spans="8:9">
      <c r="H4202" s="1092"/>
      <c r="I4202" s="1092"/>
    </row>
    <row r="4203" spans="8:9">
      <c r="H4203" s="1092"/>
      <c r="I4203" s="1092"/>
    </row>
    <row r="4204" spans="8:9">
      <c r="H4204" s="1092"/>
      <c r="I4204" s="1092"/>
    </row>
    <row r="4205" spans="8:9">
      <c r="H4205" s="1092"/>
      <c r="I4205" s="1092"/>
    </row>
    <row r="4206" spans="8:9">
      <c r="H4206" s="1092"/>
      <c r="I4206" s="1092"/>
    </row>
    <row r="4207" spans="8:9">
      <c r="H4207" s="1092"/>
      <c r="I4207" s="1092"/>
    </row>
    <row r="4208" spans="8:9">
      <c r="H4208" s="1092"/>
      <c r="I4208" s="1092"/>
    </row>
    <row r="4209" spans="8:9">
      <c r="H4209" s="1092"/>
      <c r="I4209" s="1092"/>
    </row>
    <row r="4210" spans="8:9">
      <c r="H4210" s="1092"/>
      <c r="I4210" s="1092"/>
    </row>
    <row r="4211" spans="8:9">
      <c r="H4211" s="1092"/>
      <c r="I4211" s="1092"/>
    </row>
    <row r="4212" spans="8:9">
      <c r="H4212" s="1092"/>
      <c r="I4212" s="1092"/>
    </row>
    <row r="4213" spans="8:9">
      <c r="H4213" s="1092"/>
      <c r="I4213" s="1092"/>
    </row>
    <row r="4214" spans="8:9">
      <c r="H4214" s="1092"/>
      <c r="I4214" s="1092"/>
    </row>
    <row r="4215" spans="8:9">
      <c r="H4215" s="1092"/>
      <c r="I4215" s="1092"/>
    </row>
    <row r="4216" spans="8:9">
      <c r="H4216" s="1092"/>
      <c r="I4216" s="1092"/>
    </row>
    <row r="4217" spans="8:9">
      <c r="H4217" s="1092"/>
      <c r="I4217" s="1092"/>
    </row>
    <row r="4218" spans="8:9">
      <c r="H4218" s="1092"/>
      <c r="I4218" s="1092"/>
    </row>
    <row r="4219" spans="8:9">
      <c r="H4219" s="1092"/>
      <c r="I4219" s="1092"/>
    </row>
    <row r="4220" spans="8:9">
      <c r="H4220" s="1092"/>
      <c r="I4220" s="1092"/>
    </row>
    <row r="4221" spans="8:9">
      <c r="H4221" s="1092"/>
      <c r="I4221" s="1092"/>
    </row>
    <row r="4222" spans="8:9">
      <c r="H4222" s="1092"/>
      <c r="I4222" s="1092"/>
    </row>
    <row r="4223" spans="8:9">
      <c r="H4223" s="1092"/>
      <c r="I4223" s="1092"/>
    </row>
    <row r="4224" spans="8:9">
      <c r="H4224" s="1092"/>
      <c r="I4224" s="1092"/>
    </row>
    <row r="4225" spans="8:9">
      <c r="H4225" s="1092"/>
      <c r="I4225" s="1092"/>
    </row>
    <row r="4226" spans="8:9">
      <c r="H4226" s="1092"/>
      <c r="I4226" s="1092"/>
    </row>
    <row r="4227" spans="8:9">
      <c r="H4227" s="1092"/>
      <c r="I4227" s="1092"/>
    </row>
    <row r="4228" spans="8:9">
      <c r="H4228" s="1092"/>
      <c r="I4228" s="1092"/>
    </row>
    <row r="4229" spans="8:9">
      <c r="H4229" s="1092"/>
      <c r="I4229" s="1092"/>
    </row>
    <row r="4230" spans="8:9">
      <c r="H4230" s="1092"/>
      <c r="I4230" s="1092"/>
    </row>
    <row r="4231" spans="8:9">
      <c r="H4231" s="1092"/>
      <c r="I4231" s="1092"/>
    </row>
    <row r="4232" spans="8:9">
      <c r="H4232" s="1092"/>
      <c r="I4232" s="1092"/>
    </row>
    <row r="4233" spans="8:9">
      <c r="H4233" s="1092"/>
      <c r="I4233" s="1092"/>
    </row>
    <row r="4234" spans="8:9">
      <c r="H4234" s="1092"/>
      <c r="I4234" s="1092"/>
    </row>
    <row r="4235" spans="8:9">
      <c r="H4235" s="1092"/>
      <c r="I4235" s="1092"/>
    </row>
    <row r="4236" spans="8:9">
      <c r="H4236" s="1092"/>
      <c r="I4236" s="1092"/>
    </row>
    <row r="4237" spans="8:9">
      <c r="H4237" s="1092"/>
      <c r="I4237" s="1092"/>
    </row>
    <row r="4238" spans="8:9">
      <c r="H4238" s="1092"/>
      <c r="I4238" s="1092"/>
    </row>
    <row r="4239" spans="8:9">
      <c r="H4239" s="1092"/>
      <c r="I4239" s="1092"/>
    </row>
    <row r="4240" spans="8:9">
      <c r="H4240" s="1092"/>
      <c r="I4240" s="1092"/>
    </row>
    <row r="4241" spans="8:9">
      <c r="H4241" s="1092"/>
      <c r="I4241" s="1092"/>
    </row>
    <row r="4242" spans="8:9">
      <c r="H4242" s="1092"/>
      <c r="I4242" s="1092"/>
    </row>
    <row r="4243" spans="8:9">
      <c r="H4243" s="1092"/>
      <c r="I4243" s="1092"/>
    </row>
    <row r="4244" spans="8:9">
      <c r="H4244" s="1092"/>
      <c r="I4244" s="1092"/>
    </row>
    <row r="4245" spans="8:9">
      <c r="H4245" s="1092"/>
      <c r="I4245" s="1092"/>
    </row>
    <row r="4246" spans="8:9">
      <c r="H4246" s="1092"/>
      <c r="I4246" s="1092"/>
    </row>
    <row r="4247" spans="8:9">
      <c r="H4247" s="1092"/>
      <c r="I4247" s="1092"/>
    </row>
    <row r="4248" spans="8:9">
      <c r="H4248" s="1092"/>
      <c r="I4248" s="1092"/>
    </row>
    <row r="4249" spans="8:9">
      <c r="H4249" s="1092"/>
      <c r="I4249" s="1092"/>
    </row>
    <row r="4250" spans="8:9">
      <c r="H4250" s="1092"/>
      <c r="I4250" s="1092"/>
    </row>
    <row r="4251" spans="8:9">
      <c r="H4251" s="1092"/>
      <c r="I4251" s="1092"/>
    </row>
    <row r="4252" spans="8:9">
      <c r="H4252" s="1092"/>
      <c r="I4252" s="1092"/>
    </row>
    <row r="4253" spans="8:9">
      <c r="H4253" s="1092"/>
      <c r="I4253" s="1092"/>
    </row>
    <row r="4254" spans="8:9">
      <c r="H4254" s="1092"/>
      <c r="I4254" s="1092"/>
    </row>
    <row r="4255" spans="8:9">
      <c r="H4255" s="1092"/>
      <c r="I4255" s="1092"/>
    </row>
    <row r="4256" spans="8:9">
      <c r="H4256" s="1092"/>
      <c r="I4256" s="1092"/>
    </row>
    <row r="4257" spans="8:9">
      <c r="H4257" s="1092"/>
      <c r="I4257" s="1092"/>
    </row>
    <row r="4258" spans="8:9">
      <c r="H4258" s="1092"/>
      <c r="I4258" s="1092"/>
    </row>
    <row r="4259" spans="8:9">
      <c r="H4259" s="1092"/>
      <c r="I4259" s="1092"/>
    </row>
    <row r="4260" spans="8:9">
      <c r="H4260" s="1092"/>
      <c r="I4260" s="1092"/>
    </row>
    <row r="4261" spans="8:9">
      <c r="H4261" s="1092"/>
      <c r="I4261" s="1092"/>
    </row>
    <row r="4262" spans="8:9">
      <c r="H4262" s="1092"/>
      <c r="I4262" s="1092"/>
    </row>
    <row r="4263" spans="8:9">
      <c r="H4263" s="1092"/>
      <c r="I4263" s="1092"/>
    </row>
    <row r="4264" spans="8:9">
      <c r="H4264" s="1092"/>
      <c r="I4264" s="1092"/>
    </row>
    <row r="4265" spans="8:9">
      <c r="H4265" s="1092"/>
      <c r="I4265" s="1092"/>
    </row>
    <row r="4266" spans="8:9">
      <c r="H4266" s="1092"/>
      <c r="I4266" s="1092"/>
    </row>
    <row r="4267" spans="8:9">
      <c r="H4267" s="1092"/>
      <c r="I4267" s="1092"/>
    </row>
    <row r="4268" spans="8:9">
      <c r="H4268" s="1092"/>
      <c r="I4268" s="1092"/>
    </row>
    <row r="4269" spans="8:9">
      <c r="H4269" s="1092"/>
      <c r="I4269" s="1092"/>
    </row>
    <row r="4270" spans="8:9">
      <c r="H4270" s="1092"/>
      <c r="I4270" s="1092"/>
    </row>
    <row r="4271" spans="8:9">
      <c r="H4271" s="1092"/>
      <c r="I4271" s="1092"/>
    </row>
    <row r="4272" spans="8:9">
      <c r="H4272" s="1092"/>
      <c r="I4272" s="1092"/>
    </row>
    <row r="4273" spans="8:9">
      <c r="H4273" s="1092"/>
      <c r="I4273" s="1092"/>
    </row>
    <row r="4274" spans="8:9">
      <c r="H4274" s="1092"/>
      <c r="I4274" s="1092"/>
    </row>
    <row r="4275" spans="8:9">
      <c r="H4275" s="1092"/>
      <c r="I4275" s="1092"/>
    </row>
    <row r="4276" spans="8:9">
      <c r="H4276" s="1092"/>
      <c r="I4276" s="1092"/>
    </row>
    <row r="4277" spans="8:9">
      <c r="H4277" s="1092"/>
      <c r="I4277" s="1092"/>
    </row>
    <row r="4278" spans="8:9">
      <c r="H4278" s="1092"/>
      <c r="I4278" s="1092"/>
    </row>
    <row r="4279" spans="8:9">
      <c r="H4279" s="1092"/>
      <c r="I4279" s="1092"/>
    </row>
    <row r="4280" spans="8:9">
      <c r="H4280" s="1092"/>
      <c r="I4280" s="1092"/>
    </row>
    <row r="4281" spans="8:9">
      <c r="H4281" s="1092"/>
      <c r="I4281" s="1092"/>
    </row>
    <row r="4282" spans="8:9">
      <c r="H4282" s="1092"/>
      <c r="I4282" s="1092"/>
    </row>
    <row r="4283" spans="8:9">
      <c r="H4283" s="1092"/>
      <c r="I4283" s="1092"/>
    </row>
    <row r="4284" spans="8:9">
      <c r="H4284" s="1092"/>
      <c r="I4284" s="1092"/>
    </row>
    <row r="4285" spans="8:9">
      <c r="H4285" s="1092"/>
      <c r="I4285" s="1092"/>
    </row>
    <row r="4286" spans="8:9">
      <c r="H4286" s="1092"/>
      <c r="I4286" s="1092"/>
    </row>
    <row r="4287" spans="8:9">
      <c r="H4287" s="1092"/>
      <c r="I4287" s="1092"/>
    </row>
    <row r="4288" spans="8:9">
      <c r="H4288" s="1092"/>
      <c r="I4288" s="1092"/>
    </row>
    <row r="4289" spans="8:9">
      <c r="H4289" s="1092"/>
      <c r="I4289" s="1092"/>
    </row>
    <row r="4290" spans="8:9">
      <c r="H4290" s="1092"/>
      <c r="I4290" s="1092"/>
    </row>
    <row r="4291" spans="8:9">
      <c r="H4291" s="1092"/>
      <c r="I4291" s="1092"/>
    </row>
    <row r="4292" spans="8:9">
      <c r="H4292" s="1092"/>
      <c r="I4292" s="1092"/>
    </row>
    <row r="4293" spans="8:9">
      <c r="H4293" s="1092"/>
      <c r="I4293" s="1092"/>
    </row>
    <row r="4294" spans="8:9">
      <c r="H4294" s="1092"/>
      <c r="I4294" s="1092"/>
    </row>
    <row r="4295" spans="8:9">
      <c r="H4295" s="1092"/>
      <c r="I4295" s="1092"/>
    </row>
    <row r="4296" spans="8:9">
      <c r="H4296" s="1092"/>
      <c r="I4296" s="1092"/>
    </row>
    <row r="4297" spans="8:9">
      <c r="H4297" s="1092"/>
      <c r="I4297" s="1092"/>
    </row>
    <row r="4298" spans="8:9">
      <c r="H4298" s="1092"/>
      <c r="I4298" s="1092"/>
    </row>
    <row r="4299" spans="8:9">
      <c r="H4299" s="1092"/>
      <c r="I4299" s="1092"/>
    </row>
    <row r="4300" spans="8:9">
      <c r="H4300" s="1092"/>
      <c r="I4300" s="1092"/>
    </row>
    <row r="4301" spans="8:9">
      <c r="H4301" s="1092"/>
      <c r="I4301" s="1092"/>
    </row>
    <row r="4302" spans="8:9">
      <c r="H4302" s="1092"/>
      <c r="I4302" s="1092"/>
    </row>
    <row r="4303" spans="8:9">
      <c r="H4303" s="1092"/>
      <c r="I4303" s="1092"/>
    </row>
    <row r="4304" spans="8:9">
      <c r="H4304" s="1092"/>
      <c r="I4304" s="1092"/>
    </row>
    <row r="4305" spans="8:9">
      <c r="H4305" s="1092"/>
      <c r="I4305" s="1092"/>
    </row>
    <row r="4306" spans="8:9">
      <c r="H4306" s="1092"/>
      <c r="I4306" s="1092"/>
    </row>
    <row r="4307" spans="8:9">
      <c r="H4307" s="1092"/>
      <c r="I4307" s="1092"/>
    </row>
    <row r="4308" spans="8:9">
      <c r="H4308" s="1092"/>
      <c r="I4308" s="1092"/>
    </row>
    <row r="4309" spans="8:9">
      <c r="H4309" s="1092"/>
      <c r="I4309" s="1092"/>
    </row>
    <row r="4310" spans="8:9">
      <c r="H4310" s="1092"/>
      <c r="I4310" s="1092"/>
    </row>
    <row r="4311" spans="8:9">
      <c r="H4311" s="1092"/>
      <c r="I4311" s="1092"/>
    </row>
    <row r="4312" spans="8:9">
      <c r="H4312" s="1092"/>
      <c r="I4312" s="1092"/>
    </row>
    <row r="4313" spans="8:9">
      <c r="H4313" s="1092"/>
      <c r="I4313" s="1092"/>
    </row>
    <row r="4314" spans="8:9">
      <c r="H4314" s="1092"/>
      <c r="I4314" s="1092"/>
    </row>
    <row r="4315" spans="8:9">
      <c r="H4315" s="1092"/>
      <c r="I4315" s="1092"/>
    </row>
    <row r="4316" spans="8:9">
      <c r="H4316" s="1092"/>
      <c r="I4316" s="1092"/>
    </row>
    <row r="4317" spans="8:9">
      <c r="H4317" s="1092"/>
      <c r="I4317" s="1092"/>
    </row>
    <row r="4318" spans="8:9">
      <c r="H4318" s="1092"/>
      <c r="I4318" s="1092"/>
    </row>
    <row r="4319" spans="8:9">
      <c r="H4319" s="1092"/>
      <c r="I4319" s="1092"/>
    </row>
    <row r="4320" spans="8:9">
      <c r="H4320" s="1092"/>
      <c r="I4320" s="1092"/>
    </row>
    <row r="4321" spans="8:9">
      <c r="H4321" s="1092"/>
      <c r="I4321" s="1092"/>
    </row>
    <row r="4322" spans="8:9">
      <c r="H4322" s="1092"/>
      <c r="I4322" s="1092"/>
    </row>
    <row r="4323" spans="8:9">
      <c r="H4323" s="1092"/>
      <c r="I4323" s="1092"/>
    </row>
    <row r="4324" spans="8:9">
      <c r="H4324" s="1092"/>
      <c r="I4324" s="1092"/>
    </row>
    <row r="4325" spans="8:9">
      <c r="H4325" s="1092"/>
      <c r="I4325" s="1092"/>
    </row>
    <row r="4326" spans="8:9">
      <c r="H4326" s="1092"/>
      <c r="I4326" s="1092"/>
    </row>
    <row r="4327" spans="8:9">
      <c r="H4327" s="1092"/>
      <c r="I4327" s="1092"/>
    </row>
    <row r="4328" spans="8:9">
      <c r="H4328" s="1092"/>
      <c r="I4328" s="1092"/>
    </row>
    <row r="4329" spans="8:9">
      <c r="H4329" s="1092"/>
      <c r="I4329" s="1092"/>
    </row>
    <row r="4330" spans="8:9">
      <c r="H4330" s="1092"/>
      <c r="I4330" s="1092"/>
    </row>
    <row r="4331" spans="8:9">
      <c r="H4331" s="1092"/>
      <c r="I4331" s="1092"/>
    </row>
    <row r="4332" spans="8:9">
      <c r="H4332" s="1092"/>
      <c r="I4332" s="1092"/>
    </row>
    <row r="4333" spans="8:9">
      <c r="H4333" s="1092"/>
      <c r="I4333" s="1092"/>
    </row>
    <row r="4334" spans="8:9">
      <c r="H4334" s="1092"/>
      <c r="I4334" s="1092"/>
    </row>
    <row r="4335" spans="8:9">
      <c r="H4335" s="1092"/>
      <c r="I4335" s="1092"/>
    </row>
    <row r="4336" spans="8:9">
      <c r="H4336" s="1092"/>
      <c r="I4336" s="1092"/>
    </row>
    <row r="4337" spans="8:9">
      <c r="H4337" s="1092"/>
      <c r="I4337" s="1092"/>
    </row>
    <row r="4338" spans="8:9">
      <c r="H4338" s="1092"/>
      <c r="I4338" s="1092"/>
    </row>
    <row r="4339" spans="8:9">
      <c r="H4339" s="1092"/>
      <c r="I4339" s="1092"/>
    </row>
    <row r="4340" spans="8:9">
      <c r="H4340" s="1092"/>
      <c r="I4340" s="1092"/>
    </row>
    <row r="4341" spans="8:9">
      <c r="H4341" s="1092"/>
      <c r="I4341" s="1092"/>
    </row>
    <row r="4342" spans="8:9">
      <c r="H4342" s="1092"/>
      <c r="I4342" s="1092"/>
    </row>
    <row r="4343" spans="8:9">
      <c r="H4343" s="1092"/>
      <c r="I4343" s="1092"/>
    </row>
    <row r="4344" spans="8:9">
      <c r="H4344" s="1092"/>
      <c r="I4344" s="1092"/>
    </row>
    <row r="4345" spans="8:9">
      <c r="H4345" s="1092"/>
      <c r="I4345" s="1092"/>
    </row>
    <row r="4346" spans="8:9">
      <c r="H4346" s="1092"/>
      <c r="I4346" s="1092"/>
    </row>
    <row r="4347" spans="8:9">
      <c r="H4347" s="1092"/>
      <c r="I4347" s="1092"/>
    </row>
    <row r="4348" spans="8:9">
      <c r="H4348" s="1092"/>
      <c r="I4348" s="1092"/>
    </row>
    <row r="4349" spans="8:9">
      <c r="H4349" s="1092"/>
      <c r="I4349" s="1092"/>
    </row>
    <row r="4350" spans="8:9">
      <c r="H4350" s="1092"/>
      <c r="I4350" s="1092"/>
    </row>
    <row r="4351" spans="8:9">
      <c r="H4351" s="1092"/>
      <c r="I4351" s="1092"/>
    </row>
    <row r="4352" spans="8:9">
      <c r="H4352" s="1092"/>
      <c r="I4352" s="1092"/>
    </row>
    <row r="4353" spans="8:9">
      <c r="H4353" s="1092"/>
      <c r="I4353" s="1092"/>
    </row>
    <row r="4354" spans="8:9">
      <c r="H4354" s="1092"/>
      <c r="I4354" s="1092"/>
    </row>
    <row r="4355" spans="8:9">
      <c r="H4355" s="1092"/>
      <c r="I4355" s="1092"/>
    </row>
    <row r="4356" spans="8:9">
      <c r="H4356" s="1092"/>
      <c r="I4356" s="1092"/>
    </row>
    <row r="4357" spans="8:9">
      <c r="H4357" s="1092"/>
      <c r="I4357" s="1092"/>
    </row>
    <row r="4358" spans="8:9">
      <c r="H4358" s="1092"/>
      <c r="I4358" s="1092"/>
    </row>
    <row r="4359" spans="8:9">
      <c r="H4359" s="1092"/>
      <c r="I4359" s="1092"/>
    </row>
    <row r="4360" spans="8:9">
      <c r="H4360" s="1092"/>
      <c r="I4360" s="1092"/>
    </row>
    <row r="4361" spans="8:9">
      <c r="H4361" s="1092"/>
      <c r="I4361" s="1092"/>
    </row>
    <row r="4362" spans="8:9">
      <c r="H4362" s="1092"/>
      <c r="I4362" s="1092"/>
    </row>
    <row r="4363" spans="8:9">
      <c r="H4363" s="1092"/>
      <c r="I4363" s="1092"/>
    </row>
    <row r="4364" spans="8:9">
      <c r="H4364" s="1092"/>
      <c r="I4364" s="1092"/>
    </row>
    <row r="4365" spans="8:9">
      <c r="H4365" s="1092"/>
      <c r="I4365" s="1092"/>
    </row>
    <row r="4366" spans="8:9">
      <c r="H4366" s="1092"/>
      <c r="I4366" s="1092"/>
    </row>
    <row r="4367" spans="8:9">
      <c r="H4367" s="1092"/>
      <c r="I4367" s="1092"/>
    </row>
    <row r="4368" spans="8:9">
      <c r="H4368" s="1092"/>
      <c r="I4368" s="1092"/>
    </row>
    <row r="4369" spans="8:9">
      <c r="H4369" s="1092"/>
      <c r="I4369" s="1092"/>
    </row>
    <row r="4370" spans="8:9">
      <c r="H4370" s="1092"/>
      <c r="I4370" s="1092"/>
    </row>
    <row r="4371" spans="8:9">
      <c r="H4371" s="1092"/>
      <c r="I4371" s="1092"/>
    </row>
    <row r="4372" spans="8:9">
      <c r="H4372" s="1092"/>
      <c r="I4372" s="1092"/>
    </row>
    <row r="4373" spans="8:9">
      <c r="H4373" s="1092"/>
      <c r="I4373" s="1092"/>
    </row>
    <row r="4374" spans="8:9">
      <c r="H4374" s="1092"/>
      <c r="I4374" s="1092"/>
    </row>
    <row r="4375" spans="8:9">
      <c r="H4375" s="1092"/>
      <c r="I4375" s="1092"/>
    </row>
    <row r="4376" spans="8:9">
      <c r="H4376" s="1092"/>
      <c r="I4376" s="1092"/>
    </row>
    <row r="4377" spans="8:9">
      <c r="H4377" s="1092"/>
      <c r="I4377" s="1092"/>
    </row>
    <row r="4378" spans="8:9">
      <c r="H4378" s="1092"/>
      <c r="I4378" s="1092"/>
    </row>
    <row r="4379" spans="8:9">
      <c r="H4379" s="1092"/>
      <c r="I4379" s="1092"/>
    </row>
    <row r="4380" spans="8:9">
      <c r="H4380" s="1092"/>
      <c r="I4380" s="1092"/>
    </row>
    <row r="4381" spans="8:9">
      <c r="H4381" s="1092"/>
      <c r="I4381" s="1092"/>
    </row>
    <row r="4382" spans="8:9">
      <c r="H4382" s="1092"/>
      <c r="I4382" s="1092"/>
    </row>
    <row r="4383" spans="8:9">
      <c r="H4383" s="1092"/>
      <c r="I4383" s="1092"/>
    </row>
    <row r="4384" spans="8:9">
      <c r="H4384" s="1092"/>
      <c r="I4384" s="1092"/>
    </row>
    <row r="4385" spans="8:9">
      <c r="H4385" s="1092"/>
      <c r="I4385" s="1092"/>
    </row>
    <row r="4386" spans="8:9">
      <c r="H4386" s="1092"/>
      <c r="I4386" s="1092"/>
    </row>
    <row r="4387" spans="8:9">
      <c r="H4387" s="1092"/>
      <c r="I4387" s="1092"/>
    </row>
    <row r="4388" spans="8:9">
      <c r="H4388" s="1092"/>
      <c r="I4388" s="1092"/>
    </row>
    <row r="4389" spans="8:9">
      <c r="H4389" s="1092"/>
      <c r="I4389" s="1092"/>
    </row>
    <row r="4390" spans="8:9">
      <c r="H4390" s="1092"/>
      <c r="I4390" s="1092"/>
    </row>
    <row r="4391" spans="8:9">
      <c r="H4391" s="1092"/>
      <c r="I4391" s="1092"/>
    </row>
    <row r="4392" spans="8:9">
      <c r="H4392" s="1092"/>
      <c r="I4392" s="1092"/>
    </row>
    <row r="4393" spans="8:9">
      <c r="H4393" s="1092"/>
      <c r="I4393" s="1092"/>
    </row>
    <row r="4394" spans="8:9">
      <c r="H4394" s="1092"/>
      <c r="I4394" s="1092"/>
    </row>
    <row r="4395" spans="8:9">
      <c r="H4395" s="1092"/>
      <c r="I4395" s="1092"/>
    </row>
    <row r="4396" spans="8:9">
      <c r="H4396" s="1092"/>
      <c r="I4396" s="1092"/>
    </row>
    <row r="4397" spans="8:9">
      <c r="H4397" s="1092"/>
      <c r="I4397" s="1092"/>
    </row>
    <row r="4398" spans="8:9">
      <c r="H4398" s="1092"/>
      <c r="I4398" s="1092"/>
    </row>
    <row r="4399" spans="8:9">
      <c r="H4399" s="1092"/>
      <c r="I4399" s="1092"/>
    </row>
    <row r="4400" spans="8:9">
      <c r="H4400" s="1092"/>
      <c r="I4400" s="1092"/>
    </row>
    <row r="4401" spans="8:9">
      <c r="H4401" s="1092"/>
      <c r="I4401" s="1092"/>
    </row>
    <row r="4402" spans="8:9">
      <c r="H4402" s="1092"/>
      <c r="I4402" s="1092"/>
    </row>
    <row r="4403" spans="8:9">
      <c r="H4403" s="1092"/>
      <c r="I4403" s="1092"/>
    </row>
    <row r="4404" spans="8:9">
      <c r="H4404" s="1092"/>
      <c r="I4404" s="1092"/>
    </row>
    <row r="4405" spans="8:9">
      <c r="H4405" s="1092"/>
      <c r="I4405" s="1092"/>
    </row>
    <row r="4406" spans="8:9">
      <c r="H4406" s="1092"/>
      <c r="I4406" s="1092"/>
    </row>
    <row r="4407" spans="8:9">
      <c r="H4407" s="1092"/>
      <c r="I4407" s="1092"/>
    </row>
    <row r="4408" spans="8:9">
      <c r="H4408" s="1092"/>
      <c r="I4408" s="1092"/>
    </row>
    <row r="4409" spans="8:9">
      <c r="H4409" s="1092"/>
      <c r="I4409" s="1092"/>
    </row>
    <row r="4410" spans="8:9">
      <c r="H4410" s="1092"/>
      <c r="I4410" s="1092"/>
    </row>
    <row r="4411" spans="8:9">
      <c r="H4411" s="1092"/>
      <c r="I4411" s="1092"/>
    </row>
    <row r="4412" spans="8:9">
      <c r="H4412" s="1092"/>
      <c r="I4412" s="1092"/>
    </row>
    <row r="4413" spans="8:9">
      <c r="H4413" s="1092"/>
      <c r="I4413" s="1092"/>
    </row>
    <row r="4414" spans="8:9">
      <c r="H4414" s="1092"/>
      <c r="I4414" s="1092"/>
    </row>
    <row r="4415" spans="8:9">
      <c r="H4415" s="1092"/>
      <c r="I4415" s="1092"/>
    </row>
    <row r="4416" spans="8:9">
      <c r="H4416" s="1092"/>
      <c r="I4416" s="1092"/>
    </row>
    <row r="4417" spans="8:9">
      <c r="H4417" s="1092"/>
      <c r="I4417" s="1092"/>
    </row>
    <row r="4418" spans="8:9">
      <c r="H4418" s="1092"/>
      <c r="I4418" s="1092"/>
    </row>
    <row r="4419" spans="8:9">
      <c r="H4419" s="1092"/>
      <c r="I4419" s="1092"/>
    </row>
    <row r="4420" spans="8:9">
      <c r="H4420" s="1092"/>
      <c r="I4420" s="1092"/>
    </row>
    <row r="4421" spans="8:9">
      <c r="H4421" s="1092"/>
      <c r="I4421" s="1092"/>
    </row>
    <row r="4422" spans="8:9">
      <c r="H4422" s="1092"/>
      <c r="I4422" s="1092"/>
    </row>
    <row r="4423" spans="8:9">
      <c r="H4423" s="1092"/>
      <c r="I4423" s="1092"/>
    </row>
    <row r="4424" spans="8:9">
      <c r="H4424" s="1092"/>
      <c r="I4424" s="1092"/>
    </row>
    <row r="4425" spans="8:9">
      <c r="H4425" s="1092"/>
      <c r="I4425" s="1092"/>
    </row>
    <row r="4426" spans="8:9">
      <c r="H4426" s="1092"/>
      <c r="I4426" s="1092"/>
    </row>
    <row r="4427" spans="8:9">
      <c r="H4427" s="1092"/>
      <c r="I4427" s="1092"/>
    </row>
    <row r="4428" spans="8:9">
      <c r="H4428" s="1092"/>
      <c r="I4428" s="1092"/>
    </row>
    <row r="4429" spans="8:9">
      <c r="H4429" s="1092"/>
      <c r="I4429" s="1092"/>
    </row>
    <row r="4430" spans="8:9">
      <c r="H4430" s="1092"/>
      <c r="I4430" s="1092"/>
    </row>
    <row r="4431" spans="8:9">
      <c r="H4431" s="1092"/>
      <c r="I4431" s="1092"/>
    </row>
    <row r="4432" spans="8:9">
      <c r="H4432" s="1092"/>
      <c r="I4432" s="1092"/>
    </row>
    <row r="4433" spans="8:9">
      <c r="H4433" s="1092"/>
      <c r="I4433" s="1092"/>
    </row>
    <row r="4434" spans="8:9">
      <c r="H4434" s="1092"/>
      <c r="I4434" s="1092"/>
    </row>
    <row r="4435" spans="8:9">
      <c r="H4435" s="1092"/>
      <c r="I4435" s="1092"/>
    </row>
    <row r="4436" spans="8:9">
      <c r="H4436" s="1092"/>
      <c r="I4436" s="1092"/>
    </row>
    <row r="4437" spans="8:9">
      <c r="H4437" s="1092"/>
      <c r="I4437" s="1092"/>
    </row>
    <row r="4438" spans="8:9">
      <c r="H4438" s="1092"/>
      <c r="I4438" s="1092"/>
    </row>
    <row r="4439" spans="8:9">
      <c r="H4439" s="1092"/>
      <c r="I4439" s="1092"/>
    </row>
    <row r="4440" spans="8:9">
      <c r="H4440" s="1092"/>
      <c r="I4440" s="1092"/>
    </row>
    <row r="4441" spans="8:9">
      <c r="H4441" s="1092"/>
      <c r="I4441" s="1092"/>
    </row>
    <row r="4442" spans="8:9">
      <c r="H4442" s="1092"/>
      <c r="I4442" s="1092"/>
    </row>
    <row r="4443" spans="8:9">
      <c r="H4443" s="1092"/>
      <c r="I4443" s="1092"/>
    </row>
    <row r="4444" spans="8:9">
      <c r="H4444" s="1092"/>
      <c r="I4444" s="1092"/>
    </row>
    <row r="4445" spans="8:9">
      <c r="H4445" s="1092"/>
      <c r="I4445" s="1092"/>
    </row>
    <row r="4446" spans="8:9">
      <c r="H4446" s="1092"/>
      <c r="I4446" s="1092"/>
    </row>
    <row r="4447" spans="8:9">
      <c r="H4447" s="1092"/>
      <c r="I4447" s="1092"/>
    </row>
    <row r="4448" spans="8:9">
      <c r="H4448" s="1092"/>
      <c r="I4448" s="1092"/>
    </row>
    <row r="4449" spans="8:9">
      <c r="H4449" s="1092"/>
      <c r="I4449" s="1092"/>
    </row>
    <row r="4450" spans="8:9">
      <c r="H4450" s="1092"/>
      <c r="I4450" s="1092"/>
    </row>
    <row r="4451" spans="8:9">
      <c r="H4451" s="1092"/>
      <c r="I4451" s="1092"/>
    </row>
    <row r="4452" spans="8:9">
      <c r="H4452" s="1092"/>
      <c r="I4452" s="1092"/>
    </row>
    <row r="4453" spans="8:9">
      <c r="H4453" s="1092"/>
      <c r="I4453" s="1092"/>
    </row>
    <row r="4454" spans="8:9">
      <c r="H4454" s="1092"/>
      <c r="I4454" s="1092"/>
    </row>
    <row r="4455" spans="8:9">
      <c r="H4455" s="1092"/>
      <c r="I4455" s="1092"/>
    </row>
    <row r="4456" spans="8:9">
      <c r="H4456" s="1092"/>
      <c r="I4456" s="1092"/>
    </row>
    <row r="4457" spans="8:9">
      <c r="H4457" s="1092"/>
      <c r="I4457" s="1092"/>
    </row>
    <row r="4458" spans="8:9">
      <c r="H4458" s="1092"/>
      <c r="I4458" s="1092"/>
    </row>
    <row r="4459" spans="8:9">
      <c r="H4459" s="1092"/>
      <c r="I4459" s="1092"/>
    </row>
    <row r="4460" spans="8:9">
      <c r="H4460" s="1092"/>
      <c r="I4460" s="1092"/>
    </row>
    <row r="4461" spans="8:9">
      <c r="H4461" s="1092"/>
      <c r="I4461" s="1092"/>
    </row>
    <row r="4462" spans="8:9">
      <c r="H4462" s="1092"/>
      <c r="I4462" s="1092"/>
    </row>
    <row r="4463" spans="8:9">
      <c r="H4463" s="1092"/>
      <c r="I4463" s="1092"/>
    </row>
    <row r="4464" spans="8:9">
      <c r="H4464" s="1092"/>
      <c r="I4464" s="1092"/>
    </row>
    <row r="4465" spans="8:9">
      <c r="H4465" s="1092"/>
      <c r="I4465" s="1092"/>
    </row>
    <row r="4466" spans="8:9">
      <c r="H4466" s="1092"/>
      <c r="I4466" s="1092"/>
    </row>
    <row r="4467" spans="8:9">
      <c r="H4467" s="1092"/>
      <c r="I4467" s="1092"/>
    </row>
    <row r="4468" spans="8:9">
      <c r="H4468" s="1092"/>
      <c r="I4468" s="1092"/>
    </row>
    <row r="4469" spans="8:9">
      <c r="H4469" s="1092"/>
      <c r="I4469" s="1092"/>
    </row>
    <row r="4470" spans="8:9">
      <c r="H4470" s="1092"/>
      <c r="I4470" s="1092"/>
    </row>
    <row r="4471" spans="8:9">
      <c r="H4471" s="1092"/>
      <c r="I4471" s="1092"/>
    </row>
    <row r="4472" spans="8:9">
      <c r="H4472" s="1092"/>
      <c r="I4472" s="1092"/>
    </row>
    <row r="4473" spans="8:9">
      <c r="H4473" s="1092"/>
      <c r="I4473" s="1092"/>
    </row>
    <row r="4474" spans="8:9">
      <c r="H4474" s="1092"/>
      <c r="I4474" s="1092"/>
    </row>
    <row r="4475" spans="8:9">
      <c r="H4475" s="1092"/>
      <c r="I4475" s="1092"/>
    </row>
    <row r="4476" spans="8:9">
      <c r="H4476" s="1092"/>
      <c r="I4476" s="1092"/>
    </row>
    <row r="4477" spans="8:9">
      <c r="H4477" s="1092"/>
      <c r="I4477" s="1092"/>
    </row>
    <row r="4478" spans="8:9">
      <c r="H4478" s="1092"/>
      <c r="I4478" s="1092"/>
    </row>
    <row r="4479" spans="8:9">
      <c r="H4479" s="1092"/>
      <c r="I4479" s="1092"/>
    </row>
    <row r="4480" spans="8:9">
      <c r="H4480" s="1092"/>
      <c r="I4480" s="1092"/>
    </row>
    <row r="4481" spans="8:9">
      <c r="H4481" s="1092"/>
      <c r="I4481" s="1092"/>
    </row>
    <row r="4482" spans="8:9">
      <c r="H4482" s="1092"/>
      <c r="I4482" s="1092"/>
    </row>
    <row r="4483" spans="8:9">
      <c r="H4483" s="1092"/>
      <c r="I4483" s="1092"/>
    </row>
    <row r="4484" spans="8:9">
      <c r="H4484" s="1092"/>
      <c r="I4484" s="1092"/>
    </row>
    <row r="4485" spans="8:9">
      <c r="H4485" s="1092"/>
      <c r="I4485" s="1092"/>
    </row>
    <row r="4486" spans="8:9">
      <c r="H4486" s="1092"/>
      <c r="I4486" s="1092"/>
    </row>
    <row r="4487" spans="8:9">
      <c r="H4487" s="1092"/>
      <c r="I4487" s="1092"/>
    </row>
    <row r="4488" spans="8:9">
      <c r="H4488" s="1092"/>
      <c r="I4488" s="1092"/>
    </row>
    <row r="4489" spans="8:9">
      <c r="H4489" s="1092"/>
      <c r="I4489" s="1092"/>
    </row>
    <row r="4490" spans="8:9">
      <c r="H4490" s="1092"/>
      <c r="I4490" s="1092"/>
    </row>
    <row r="4491" spans="8:9">
      <c r="H4491" s="1092"/>
      <c r="I4491" s="1092"/>
    </row>
    <row r="4492" spans="8:9">
      <c r="H4492" s="1092"/>
      <c r="I4492" s="1092"/>
    </row>
    <row r="4493" spans="8:9">
      <c r="H4493" s="1092"/>
      <c r="I4493" s="1092"/>
    </row>
    <row r="4494" spans="8:9">
      <c r="H4494" s="1092"/>
      <c r="I4494" s="1092"/>
    </row>
    <row r="4495" spans="8:9">
      <c r="H4495" s="1092"/>
      <c r="I4495" s="1092"/>
    </row>
    <row r="4496" spans="8:9">
      <c r="H4496" s="1092"/>
      <c r="I4496" s="1092"/>
    </row>
    <row r="4497" spans="8:9">
      <c r="H4497" s="1092"/>
      <c r="I4497" s="1092"/>
    </row>
    <row r="4498" spans="8:9">
      <c r="H4498" s="1092"/>
      <c r="I4498" s="1092"/>
    </row>
    <row r="4499" spans="8:9">
      <c r="H4499" s="1092"/>
      <c r="I4499" s="1092"/>
    </row>
    <row r="4500" spans="8:9">
      <c r="H4500" s="1092"/>
      <c r="I4500" s="1092"/>
    </row>
    <row r="4501" spans="8:9">
      <c r="H4501" s="1092"/>
      <c r="I4501" s="1092"/>
    </row>
    <row r="4502" spans="8:9">
      <c r="H4502" s="1092"/>
      <c r="I4502" s="1092"/>
    </row>
    <row r="4503" spans="8:9">
      <c r="H4503" s="1092"/>
      <c r="I4503" s="1092"/>
    </row>
    <row r="4504" spans="8:9">
      <c r="H4504" s="1092"/>
      <c r="I4504" s="1092"/>
    </row>
    <row r="4505" spans="8:9">
      <c r="H4505" s="1092"/>
      <c r="I4505" s="1092"/>
    </row>
    <row r="4506" spans="8:9">
      <c r="H4506" s="1092"/>
      <c r="I4506" s="1092"/>
    </row>
    <row r="4507" spans="8:9">
      <c r="H4507" s="1092"/>
      <c r="I4507" s="1092"/>
    </row>
    <row r="4508" spans="8:9">
      <c r="H4508" s="1092"/>
      <c r="I4508" s="1092"/>
    </row>
    <row r="4509" spans="8:9">
      <c r="H4509" s="1092"/>
      <c r="I4509" s="1092"/>
    </row>
    <row r="4510" spans="8:9">
      <c r="H4510" s="1092"/>
      <c r="I4510" s="1092"/>
    </row>
    <row r="4511" spans="8:9">
      <c r="H4511" s="1092"/>
      <c r="I4511" s="1092"/>
    </row>
    <row r="4512" spans="8:9">
      <c r="H4512" s="1092"/>
      <c r="I4512" s="1092"/>
    </row>
    <row r="4513" spans="8:9">
      <c r="H4513" s="1092"/>
      <c r="I4513" s="1092"/>
    </row>
    <row r="4514" spans="8:9">
      <c r="H4514" s="1092"/>
      <c r="I4514" s="1092"/>
    </row>
    <row r="4515" spans="8:9">
      <c r="H4515" s="1092"/>
      <c r="I4515" s="1092"/>
    </row>
    <row r="4516" spans="8:9">
      <c r="H4516" s="1092"/>
      <c r="I4516" s="1092"/>
    </row>
    <row r="4517" spans="8:9">
      <c r="H4517" s="1092"/>
      <c r="I4517" s="1092"/>
    </row>
    <row r="4518" spans="8:9">
      <c r="H4518" s="1092"/>
      <c r="I4518" s="1092"/>
    </row>
    <row r="4519" spans="8:9">
      <c r="H4519" s="1092"/>
      <c r="I4519" s="1092"/>
    </row>
    <row r="4520" spans="8:9">
      <c r="H4520" s="1092"/>
      <c r="I4520" s="1092"/>
    </row>
    <row r="4521" spans="8:9">
      <c r="H4521" s="1092"/>
      <c r="I4521" s="1092"/>
    </row>
    <row r="4522" spans="8:9">
      <c r="H4522" s="1092"/>
      <c r="I4522" s="1092"/>
    </row>
    <row r="4523" spans="8:9">
      <c r="H4523" s="1092"/>
      <c r="I4523" s="1092"/>
    </row>
    <row r="4524" spans="8:9">
      <c r="H4524" s="1092"/>
      <c r="I4524" s="1092"/>
    </row>
    <row r="4525" spans="8:9">
      <c r="H4525" s="1092"/>
      <c r="I4525" s="1092"/>
    </row>
    <row r="4526" spans="8:9">
      <c r="H4526" s="1092"/>
      <c r="I4526" s="1092"/>
    </row>
    <row r="4527" spans="8:9">
      <c r="H4527" s="1092"/>
      <c r="I4527" s="1092"/>
    </row>
    <row r="4528" spans="8:9">
      <c r="H4528" s="1092"/>
      <c r="I4528" s="1092"/>
    </row>
    <row r="4529" spans="8:9">
      <c r="H4529" s="1092"/>
      <c r="I4529" s="1092"/>
    </row>
    <row r="4530" spans="8:9">
      <c r="H4530" s="1092"/>
      <c r="I4530" s="1092"/>
    </row>
    <row r="4531" spans="8:9">
      <c r="H4531" s="1092"/>
      <c r="I4531" s="1092"/>
    </row>
    <row r="4532" spans="8:9">
      <c r="H4532" s="1092"/>
      <c r="I4532" s="1092"/>
    </row>
    <row r="4533" spans="8:9">
      <c r="H4533" s="1092"/>
      <c r="I4533" s="1092"/>
    </row>
    <row r="4534" spans="8:9">
      <c r="H4534" s="1092"/>
      <c r="I4534" s="1092"/>
    </row>
    <row r="4535" spans="8:9">
      <c r="H4535" s="1092"/>
      <c r="I4535" s="1092"/>
    </row>
    <row r="4536" spans="8:9">
      <c r="H4536" s="1092"/>
      <c r="I4536" s="1092"/>
    </row>
    <row r="4537" spans="8:9">
      <c r="H4537" s="1092"/>
      <c r="I4537" s="1092"/>
    </row>
    <row r="4538" spans="8:9">
      <c r="H4538" s="1092"/>
      <c r="I4538" s="1092"/>
    </row>
    <row r="4539" spans="8:9">
      <c r="H4539" s="1092"/>
      <c r="I4539" s="1092"/>
    </row>
    <row r="4540" spans="8:9">
      <c r="H4540" s="1092"/>
      <c r="I4540" s="1092"/>
    </row>
    <row r="4541" spans="8:9">
      <c r="H4541" s="1092"/>
      <c r="I4541" s="1092"/>
    </row>
    <row r="4542" spans="8:9">
      <c r="H4542" s="1092"/>
      <c r="I4542" s="1092"/>
    </row>
    <row r="4543" spans="8:9">
      <c r="H4543" s="1092"/>
      <c r="I4543" s="1092"/>
    </row>
    <row r="4544" spans="8:9">
      <c r="H4544" s="1092"/>
      <c r="I4544" s="1092"/>
    </row>
    <row r="4545" spans="8:9">
      <c r="H4545" s="1092"/>
      <c r="I4545" s="1092"/>
    </row>
    <row r="4546" spans="8:9">
      <c r="H4546" s="1092"/>
      <c r="I4546" s="1092"/>
    </row>
    <row r="4547" spans="8:9">
      <c r="H4547" s="1092"/>
      <c r="I4547" s="1092"/>
    </row>
    <row r="4548" spans="8:9">
      <c r="H4548" s="1092"/>
      <c r="I4548" s="1092"/>
    </row>
    <row r="4549" spans="8:9">
      <c r="H4549" s="1092"/>
      <c r="I4549" s="1092"/>
    </row>
    <row r="4550" spans="8:9">
      <c r="H4550" s="1092"/>
      <c r="I4550" s="1092"/>
    </row>
    <row r="4551" spans="8:9">
      <c r="H4551" s="1092"/>
      <c r="I4551" s="1092"/>
    </row>
    <row r="4552" spans="8:9">
      <c r="H4552" s="1092"/>
      <c r="I4552" s="1092"/>
    </row>
    <row r="4553" spans="8:9">
      <c r="H4553" s="1092"/>
      <c r="I4553" s="1092"/>
    </row>
    <row r="4554" spans="8:9">
      <c r="H4554" s="1092"/>
      <c r="I4554" s="1092"/>
    </row>
    <row r="4555" spans="8:9">
      <c r="H4555" s="1092"/>
      <c r="I4555" s="1092"/>
    </row>
    <row r="4556" spans="8:9">
      <c r="H4556" s="1092"/>
      <c r="I4556" s="1092"/>
    </row>
    <row r="4557" spans="8:9">
      <c r="H4557" s="1092"/>
      <c r="I4557" s="1092"/>
    </row>
    <row r="4558" spans="8:9">
      <c r="H4558" s="1092"/>
      <c r="I4558" s="1092"/>
    </row>
    <row r="4559" spans="8:9">
      <c r="H4559" s="1092"/>
      <c r="I4559" s="1092"/>
    </row>
    <row r="4560" spans="8:9">
      <c r="H4560" s="1092"/>
      <c r="I4560" s="1092"/>
    </row>
    <row r="4561" spans="8:9">
      <c r="H4561" s="1092"/>
      <c r="I4561" s="1092"/>
    </row>
    <row r="4562" spans="8:9">
      <c r="H4562" s="1092"/>
      <c r="I4562" s="1092"/>
    </row>
    <row r="4563" spans="8:9">
      <c r="H4563" s="1092"/>
      <c r="I4563" s="1092"/>
    </row>
    <row r="4564" spans="8:9">
      <c r="H4564" s="1092"/>
      <c r="I4564" s="1092"/>
    </row>
    <row r="4565" spans="8:9">
      <c r="H4565" s="1092"/>
      <c r="I4565" s="1092"/>
    </row>
    <row r="4566" spans="8:9">
      <c r="H4566" s="1092"/>
      <c r="I4566" s="1092"/>
    </row>
    <row r="4567" spans="8:9">
      <c r="H4567" s="1092"/>
      <c r="I4567" s="1092"/>
    </row>
    <row r="4568" spans="8:9">
      <c r="H4568" s="1092"/>
      <c r="I4568" s="1092"/>
    </row>
    <row r="4569" spans="8:9">
      <c r="H4569" s="1092"/>
      <c r="I4569" s="1092"/>
    </row>
    <row r="4570" spans="8:9">
      <c r="H4570" s="1092"/>
      <c r="I4570" s="1092"/>
    </row>
    <row r="4571" spans="8:9">
      <c r="H4571" s="1092"/>
      <c r="I4571" s="1092"/>
    </row>
    <row r="4572" spans="8:9">
      <c r="H4572" s="1092"/>
      <c r="I4572" s="1092"/>
    </row>
    <row r="4573" spans="8:9">
      <c r="H4573" s="1092"/>
      <c r="I4573" s="1092"/>
    </row>
    <row r="4574" spans="8:9">
      <c r="H4574" s="1092"/>
      <c r="I4574" s="1092"/>
    </row>
    <row r="4575" spans="8:9">
      <c r="H4575" s="1092"/>
      <c r="I4575" s="1092"/>
    </row>
    <row r="4576" spans="8:9">
      <c r="H4576" s="1092"/>
      <c r="I4576" s="1092"/>
    </row>
    <row r="4577" spans="8:9">
      <c r="H4577" s="1092"/>
      <c r="I4577" s="1092"/>
    </row>
    <row r="4578" spans="8:9">
      <c r="H4578" s="1092"/>
      <c r="I4578" s="1092"/>
    </row>
    <row r="4579" spans="8:9">
      <c r="H4579" s="1092"/>
      <c r="I4579" s="1092"/>
    </row>
    <row r="4580" spans="8:9">
      <c r="H4580" s="1092"/>
      <c r="I4580" s="1092"/>
    </row>
    <row r="4581" spans="8:9">
      <c r="H4581" s="1092"/>
      <c r="I4581" s="1092"/>
    </row>
    <row r="4582" spans="8:9">
      <c r="H4582" s="1092"/>
      <c r="I4582" s="1092"/>
    </row>
    <row r="4583" spans="8:9">
      <c r="H4583" s="1092"/>
      <c r="I4583" s="1092"/>
    </row>
    <row r="4584" spans="8:9">
      <c r="H4584" s="1092"/>
      <c r="I4584" s="1092"/>
    </row>
    <row r="4585" spans="8:9">
      <c r="H4585" s="1092"/>
      <c r="I4585" s="1092"/>
    </row>
    <row r="4586" spans="8:9">
      <c r="H4586" s="1092"/>
      <c r="I4586" s="1092"/>
    </row>
    <row r="4587" spans="8:9">
      <c r="H4587" s="1092"/>
      <c r="I4587" s="1092"/>
    </row>
    <row r="4588" spans="8:9">
      <c r="H4588" s="1092"/>
      <c r="I4588" s="1092"/>
    </row>
    <row r="4589" spans="8:9">
      <c r="H4589" s="1092"/>
      <c r="I4589" s="1092"/>
    </row>
    <row r="4590" spans="8:9">
      <c r="H4590" s="1092"/>
      <c r="I4590" s="1092"/>
    </row>
    <row r="4591" spans="8:9">
      <c r="H4591" s="1092"/>
      <c r="I4591" s="1092"/>
    </row>
    <row r="4592" spans="8:9">
      <c r="H4592" s="1092"/>
      <c r="I4592" s="1092"/>
    </row>
    <row r="4593" spans="8:9">
      <c r="H4593" s="1092"/>
      <c r="I4593" s="1092"/>
    </row>
    <row r="4594" spans="8:9">
      <c r="H4594" s="1092"/>
      <c r="I4594" s="1092"/>
    </row>
    <row r="4595" spans="8:9">
      <c r="H4595" s="1092"/>
      <c r="I4595" s="1092"/>
    </row>
    <row r="4596" spans="8:9">
      <c r="H4596" s="1092"/>
      <c r="I4596" s="1092"/>
    </row>
    <row r="4597" spans="8:9">
      <c r="H4597" s="1092"/>
      <c r="I4597" s="1092"/>
    </row>
    <row r="4598" spans="8:9">
      <c r="H4598" s="1092"/>
      <c r="I4598" s="1092"/>
    </row>
    <row r="4599" spans="8:9">
      <c r="H4599" s="1092"/>
      <c r="I4599" s="1092"/>
    </row>
    <row r="4600" spans="8:9">
      <c r="H4600" s="1092"/>
      <c r="I4600" s="1092"/>
    </row>
    <row r="4601" spans="8:9">
      <c r="H4601" s="1092"/>
      <c r="I4601" s="1092"/>
    </row>
    <row r="4602" spans="8:9">
      <c r="H4602" s="1092"/>
      <c r="I4602" s="1092"/>
    </row>
    <row r="4603" spans="8:9">
      <c r="H4603" s="1092"/>
      <c r="I4603" s="1092"/>
    </row>
    <row r="4604" spans="8:9">
      <c r="H4604" s="1092"/>
      <c r="I4604" s="1092"/>
    </row>
    <row r="4605" spans="8:9">
      <c r="H4605" s="1092"/>
      <c r="I4605" s="1092"/>
    </row>
    <row r="4606" spans="8:9">
      <c r="H4606" s="1092"/>
      <c r="I4606" s="1092"/>
    </row>
    <row r="4607" spans="8:9">
      <c r="H4607" s="1092"/>
      <c r="I4607" s="1092"/>
    </row>
    <row r="4608" spans="8:9">
      <c r="H4608" s="1092"/>
      <c r="I4608" s="1092"/>
    </row>
    <row r="4609" spans="8:9">
      <c r="H4609" s="1092"/>
      <c r="I4609" s="1092"/>
    </row>
    <row r="4610" spans="8:9">
      <c r="H4610" s="1092"/>
      <c r="I4610" s="1092"/>
    </row>
    <row r="4611" spans="8:9">
      <c r="H4611" s="1092"/>
      <c r="I4611" s="1092"/>
    </row>
    <row r="4612" spans="8:9">
      <c r="H4612" s="1092"/>
      <c r="I4612" s="1092"/>
    </row>
    <row r="4613" spans="8:9">
      <c r="H4613" s="1092"/>
      <c r="I4613" s="1092"/>
    </row>
    <row r="4614" spans="8:9">
      <c r="H4614" s="1092"/>
      <c r="I4614" s="1092"/>
    </row>
    <row r="4615" spans="8:9">
      <c r="H4615" s="1092"/>
      <c r="I4615" s="1092"/>
    </row>
    <row r="4616" spans="8:9">
      <c r="H4616" s="1092"/>
      <c r="I4616" s="1092"/>
    </row>
    <row r="4617" spans="8:9">
      <c r="H4617" s="1092"/>
      <c r="I4617" s="1092"/>
    </row>
    <row r="4618" spans="8:9">
      <c r="H4618" s="1092"/>
      <c r="I4618" s="1092"/>
    </row>
    <row r="4619" spans="8:9">
      <c r="H4619" s="1092"/>
      <c r="I4619" s="1092"/>
    </row>
    <row r="4620" spans="8:9">
      <c r="H4620" s="1092"/>
      <c r="I4620" s="1092"/>
    </row>
    <row r="4621" spans="8:9">
      <c r="H4621" s="1092"/>
      <c r="I4621" s="1092"/>
    </row>
    <row r="4622" spans="8:9">
      <c r="H4622" s="1092"/>
      <c r="I4622" s="1092"/>
    </row>
    <row r="4623" spans="8:9">
      <c r="H4623" s="1092"/>
      <c r="I4623" s="1092"/>
    </row>
    <row r="4624" spans="8:9">
      <c r="H4624" s="1092"/>
      <c r="I4624" s="1092"/>
    </row>
    <row r="4625" spans="8:9">
      <c r="H4625" s="1092"/>
      <c r="I4625" s="1092"/>
    </row>
    <row r="4626" spans="8:9">
      <c r="H4626" s="1092"/>
      <c r="I4626" s="1092"/>
    </row>
    <row r="4627" spans="8:9">
      <c r="H4627" s="1092"/>
      <c r="I4627" s="1092"/>
    </row>
    <row r="4628" spans="8:9">
      <c r="H4628" s="1092"/>
      <c r="I4628" s="1092"/>
    </row>
    <row r="4629" spans="8:9">
      <c r="H4629" s="1092"/>
      <c r="I4629" s="1092"/>
    </row>
    <row r="4630" spans="8:9">
      <c r="H4630" s="1092"/>
      <c r="I4630" s="1092"/>
    </row>
    <row r="4631" spans="8:9">
      <c r="H4631" s="1092"/>
      <c r="I4631" s="1092"/>
    </row>
    <row r="4632" spans="8:9">
      <c r="H4632" s="1092"/>
      <c r="I4632" s="1092"/>
    </row>
    <row r="4633" spans="8:9">
      <c r="H4633" s="1092"/>
      <c r="I4633" s="1092"/>
    </row>
    <row r="4634" spans="8:9">
      <c r="H4634" s="1092"/>
      <c r="I4634" s="1092"/>
    </row>
    <row r="4635" spans="8:9">
      <c r="H4635" s="1092"/>
      <c r="I4635" s="1092"/>
    </row>
    <row r="4636" spans="8:9">
      <c r="H4636" s="1092"/>
      <c r="I4636" s="1092"/>
    </row>
    <row r="4637" spans="8:9">
      <c r="H4637" s="1092"/>
      <c r="I4637" s="1092"/>
    </row>
    <row r="4638" spans="8:9">
      <c r="H4638" s="1092"/>
      <c r="I4638" s="1092"/>
    </row>
    <row r="4639" spans="8:9">
      <c r="H4639" s="1092"/>
      <c r="I4639" s="1092"/>
    </row>
    <row r="4640" spans="8:9">
      <c r="H4640" s="1092"/>
      <c r="I4640" s="1092"/>
    </row>
    <row r="4641" spans="8:9">
      <c r="H4641" s="1092"/>
      <c r="I4641" s="1092"/>
    </row>
    <row r="4642" spans="8:9">
      <c r="H4642" s="1092"/>
      <c r="I4642" s="1092"/>
    </row>
    <row r="4643" spans="8:9">
      <c r="H4643" s="1092"/>
      <c r="I4643" s="1092"/>
    </row>
    <row r="4644" spans="8:9">
      <c r="H4644" s="1092"/>
      <c r="I4644" s="1092"/>
    </row>
    <row r="4645" spans="8:9">
      <c r="H4645" s="1092"/>
      <c r="I4645" s="1092"/>
    </row>
    <row r="4646" spans="8:9">
      <c r="H4646" s="1092"/>
      <c r="I4646" s="1092"/>
    </row>
    <row r="4647" spans="8:9">
      <c r="H4647" s="1092"/>
      <c r="I4647" s="1092"/>
    </row>
    <row r="4648" spans="8:9">
      <c r="H4648" s="1092"/>
      <c r="I4648" s="1092"/>
    </row>
    <row r="4649" spans="8:9">
      <c r="H4649" s="1092"/>
      <c r="I4649" s="1092"/>
    </row>
    <row r="4650" spans="8:9">
      <c r="H4650" s="1092"/>
      <c r="I4650" s="1092"/>
    </row>
    <row r="4651" spans="8:9">
      <c r="H4651" s="1092"/>
      <c r="I4651" s="1092"/>
    </row>
    <row r="4652" spans="8:9">
      <c r="H4652" s="1092"/>
      <c r="I4652" s="1092"/>
    </row>
    <row r="4653" spans="8:9">
      <c r="H4653" s="1092"/>
      <c r="I4653" s="1092"/>
    </row>
    <row r="4654" spans="8:9">
      <c r="H4654" s="1092"/>
      <c r="I4654" s="1092"/>
    </row>
    <row r="4655" spans="8:9">
      <c r="H4655" s="1092"/>
      <c r="I4655" s="1092"/>
    </row>
    <row r="4656" spans="8:9">
      <c r="H4656" s="1092"/>
      <c r="I4656" s="1092"/>
    </row>
    <row r="4657" spans="8:9">
      <c r="H4657" s="1092"/>
      <c r="I4657" s="1092"/>
    </row>
    <row r="4658" spans="8:9">
      <c r="H4658" s="1092"/>
      <c r="I4658" s="1092"/>
    </row>
    <row r="4659" spans="8:9">
      <c r="H4659" s="1092"/>
      <c r="I4659" s="1092"/>
    </row>
    <row r="4660" spans="8:9">
      <c r="H4660" s="1092"/>
      <c r="I4660" s="1092"/>
    </row>
    <row r="4661" spans="8:9">
      <c r="H4661" s="1092"/>
      <c r="I4661" s="1092"/>
    </row>
    <row r="4662" spans="8:9">
      <c r="H4662" s="1092"/>
      <c r="I4662" s="1092"/>
    </row>
    <row r="4663" spans="8:9">
      <c r="H4663" s="1092"/>
      <c r="I4663" s="1092"/>
    </row>
    <row r="4664" spans="8:9">
      <c r="H4664" s="1092"/>
      <c r="I4664" s="1092"/>
    </row>
    <row r="4665" spans="8:9">
      <c r="H4665" s="1092"/>
      <c r="I4665" s="1092"/>
    </row>
    <row r="4666" spans="8:9">
      <c r="H4666" s="1092"/>
      <c r="I4666" s="1092"/>
    </row>
    <row r="4667" spans="8:9">
      <c r="H4667" s="1092"/>
      <c r="I4667" s="1092"/>
    </row>
    <row r="4668" spans="8:9">
      <c r="H4668" s="1092"/>
      <c r="I4668" s="1092"/>
    </row>
    <row r="4669" spans="8:9">
      <c r="H4669" s="1092"/>
      <c r="I4669" s="1092"/>
    </row>
    <row r="4670" spans="8:9">
      <c r="H4670" s="1092"/>
      <c r="I4670" s="1092"/>
    </row>
    <row r="4671" spans="8:9">
      <c r="H4671" s="1092"/>
      <c r="I4671" s="1092"/>
    </row>
    <row r="4672" spans="8:9">
      <c r="H4672" s="1092"/>
      <c r="I4672" s="1092"/>
    </row>
    <row r="4673" spans="8:9">
      <c r="H4673" s="1092"/>
      <c r="I4673" s="1092"/>
    </row>
    <row r="4674" spans="8:9">
      <c r="H4674" s="1092"/>
      <c r="I4674" s="1092"/>
    </row>
    <row r="4675" spans="8:9">
      <c r="H4675" s="1092"/>
      <c r="I4675" s="1092"/>
    </row>
    <row r="4676" spans="8:9">
      <c r="H4676" s="1092"/>
      <c r="I4676" s="1092"/>
    </row>
    <row r="4677" spans="8:9">
      <c r="H4677" s="1092"/>
      <c r="I4677" s="1092"/>
    </row>
    <row r="4678" spans="8:9">
      <c r="H4678" s="1092"/>
      <c r="I4678" s="1092"/>
    </row>
    <row r="4679" spans="8:9">
      <c r="H4679" s="1092"/>
      <c r="I4679" s="1092"/>
    </row>
    <row r="4680" spans="8:9">
      <c r="H4680" s="1092"/>
      <c r="I4680" s="1092"/>
    </row>
    <row r="4681" spans="8:9">
      <c r="H4681" s="1092"/>
      <c r="I4681" s="1092"/>
    </row>
    <row r="4682" spans="8:9">
      <c r="H4682" s="1092"/>
      <c r="I4682" s="1092"/>
    </row>
    <row r="4683" spans="8:9">
      <c r="H4683" s="1092"/>
      <c r="I4683" s="1092"/>
    </row>
    <row r="4684" spans="8:9">
      <c r="H4684" s="1092"/>
      <c r="I4684" s="1092"/>
    </row>
    <row r="4685" spans="8:9">
      <c r="H4685" s="1092"/>
      <c r="I4685" s="1092"/>
    </row>
    <row r="4686" spans="8:9">
      <c r="H4686" s="1092"/>
      <c r="I4686" s="1092"/>
    </row>
    <row r="4687" spans="8:9">
      <c r="H4687" s="1092"/>
      <c r="I4687" s="1092"/>
    </row>
    <row r="4688" spans="8:9">
      <c r="H4688" s="1092"/>
      <c r="I4688" s="1092"/>
    </row>
    <row r="4689" spans="8:9">
      <c r="H4689" s="1092"/>
      <c r="I4689" s="1092"/>
    </row>
    <row r="4690" spans="8:9">
      <c r="H4690" s="1092"/>
      <c r="I4690" s="1092"/>
    </row>
    <row r="4691" spans="8:9">
      <c r="H4691" s="1092"/>
      <c r="I4691" s="1092"/>
    </row>
    <row r="4692" spans="8:9">
      <c r="H4692" s="1092"/>
      <c r="I4692" s="1092"/>
    </row>
    <row r="4693" spans="8:9">
      <c r="H4693" s="1092"/>
      <c r="I4693" s="1092"/>
    </row>
    <row r="4694" spans="8:9">
      <c r="H4694" s="1092"/>
      <c r="I4694" s="1092"/>
    </row>
    <row r="4695" spans="8:9">
      <c r="H4695" s="1092"/>
      <c r="I4695" s="1092"/>
    </row>
    <row r="4696" spans="8:9">
      <c r="H4696" s="1092"/>
      <c r="I4696" s="1092"/>
    </row>
    <row r="4697" spans="8:9">
      <c r="H4697" s="1092"/>
      <c r="I4697" s="1092"/>
    </row>
    <row r="4698" spans="8:9">
      <c r="H4698" s="1092"/>
      <c r="I4698" s="1092"/>
    </row>
    <row r="4699" spans="8:9">
      <c r="H4699" s="1092"/>
      <c r="I4699" s="1092"/>
    </row>
    <row r="4700" spans="8:9">
      <c r="H4700" s="1092"/>
      <c r="I4700" s="1092"/>
    </row>
    <row r="4701" spans="8:9">
      <c r="H4701" s="1092"/>
      <c r="I4701" s="1092"/>
    </row>
    <row r="4702" spans="8:9">
      <c r="H4702" s="1092"/>
      <c r="I4702" s="1092"/>
    </row>
    <row r="4703" spans="8:9">
      <c r="H4703" s="1092"/>
      <c r="I4703" s="1092"/>
    </row>
    <row r="4704" spans="8:9">
      <c r="H4704" s="1092"/>
      <c r="I4704" s="1092"/>
    </row>
    <row r="4705" spans="8:9">
      <c r="H4705" s="1092"/>
      <c r="I4705" s="1092"/>
    </row>
    <row r="4706" spans="8:9">
      <c r="H4706" s="1092"/>
      <c r="I4706" s="1092"/>
    </row>
    <row r="4707" spans="8:9">
      <c r="H4707" s="1092"/>
      <c r="I4707" s="1092"/>
    </row>
    <row r="4708" spans="8:9">
      <c r="H4708" s="1092"/>
      <c r="I4708" s="1092"/>
    </row>
    <row r="4709" spans="8:9">
      <c r="H4709" s="1092"/>
      <c r="I4709" s="1092"/>
    </row>
    <row r="4710" spans="8:9">
      <c r="H4710" s="1092"/>
      <c r="I4710" s="1092"/>
    </row>
    <row r="4711" spans="8:9">
      <c r="H4711" s="1092"/>
      <c r="I4711" s="1092"/>
    </row>
    <row r="4712" spans="8:9">
      <c r="H4712" s="1092"/>
      <c r="I4712" s="1092"/>
    </row>
    <row r="4713" spans="8:9">
      <c r="H4713" s="1092"/>
      <c r="I4713" s="1092"/>
    </row>
    <row r="4714" spans="8:9">
      <c r="H4714" s="1092"/>
      <c r="I4714" s="1092"/>
    </row>
    <row r="4715" spans="8:9">
      <c r="H4715" s="1092"/>
      <c r="I4715" s="1092"/>
    </row>
    <row r="4716" spans="8:9">
      <c r="H4716" s="1092"/>
      <c r="I4716" s="1092"/>
    </row>
    <row r="4717" spans="8:9">
      <c r="H4717" s="1092"/>
      <c r="I4717" s="1092"/>
    </row>
    <row r="4718" spans="8:9">
      <c r="H4718" s="1092"/>
      <c r="I4718" s="1092"/>
    </row>
    <row r="4719" spans="8:9">
      <c r="H4719" s="1092"/>
      <c r="I4719" s="1092"/>
    </row>
    <row r="4720" spans="8:9">
      <c r="H4720" s="1092"/>
      <c r="I4720" s="1092"/>
    </row>
    <row r="4721" spans="8:9">
      <c r="H4721" s="1092"/>
      <c r="I4721" s="1092"/>
    </row>
    <row r="4722" spans="8:9">
      <c r="H4722" s="1092"/>
      <c r="I4722" s="1092"/>
    </row>
    <row r="4723" spans="8:9">
      <c r="H4723" s="1092"/>
      <c r="I4723" s="1092"/>
    </row>
    <row r="4724" spans="8:9">
      <c r="H4724" s="1092"/>
      <c r="I4724" s="1092"/>
    </row>
    <row r="4725" spans="8:9">
      <c r="H4725" s="1092"/>
      <c r="I4725" s="1092"/>
    </row>
    <row r="4726" spans="8:9">
      <c r="H4726" s="1092"/>
      <c r="I4726" s="1092"/>
    </row>
    <row r="4727" spans="8:9">
      <c r="H4727" s="1092"/>
      <c r="I4727" s="1092"/>
    </row>
    <row r="4728" spans="8:9">
      <c r="H4728" s="1092"/>
      <c r="I4728" s="1092"/>
    </row>
    <row r="4729" spans="8:9">
      <c r="H4729" s="1092"/>
      <c r="I4729" s="1092"/>
    </row>
    <row r="4730" spans="8:9">
      <c r="H4730" s="1092"/>
      <c r="I4730" s="1092"/>
    </row>
    <row r="4731" spans="8:9">
      <c r="H4731" s="1092"/>
      <c r="I4731" s="1092"/>
    </row>
    <row r="4732" spans="8:9">
      <c r="H4732" s="1092"/>
      <c r="I4732" s="1092"/>
    </row>
    <row r="4733" spans="8:9">
      <c r="H4733" s="1092"/>
      <c r="I4733" s="1092"/>
    </row>
    <row r="4734" spans="8:9">
      <c r="H4734" s="1092"/>
      <c r="I4734" s="1092"/>
    </row>
    <row r="4735" spans="8:9">
      <c r="H4735" s="1092"/>
      <c r="I4735" s="1092"/>
    </row>
    <row r="4736" spans="8:9">
      <c r="H4736" s="1092"/>
      <c r="I4736" s="1092"/>
    </row>
    <row r="4737" spans="8:9">
      <c r="H4737" s="1092"/>
      <c r="I4737" s="1092"/>
    </row>
    <row r="4738" spans="8:9">
      <c r="H4738" s="1092"/>
      <c r="I4738" s="1092"/>
    </row>
    <row r="4739" spans="8:9">
      <c r="H4739" s="1092"/>
      <c r="I4739" s="1092"/>
    </row>
    <row r="4740" spans="8:9">
      <c r="H4740" s="1092"/>
      <c r="I4740" s="1092"/>
    </row>
    <row r="4741" spans="8:9">
      <c r="H4741" s="1092"/>
      <c r="I4741" s="1092"/>
    </row>
    <row r="4742" spans="8:9">
      <c r="H4742" s="1092"/>
      <c r="I4742" s="1092"/>
    </row>
    <row r="4743" spans="8:9">
      <c r="H4743" s="1092"/>
      <c r="I4743" s="1092"/>
    </row>
    <row r="4744" spans="8:9">
      <c r="H4744" s="1092"/>
      <c r="I4744" s="1092"/>
    </row>
    <row r="4745" spans="8:9">
      <c r="H4745" s="1092"/>
      <c r="I4745" s="1092"/>
    </row>
    <row r="4746" spans="8:9">
      <c r="H4746" s="1092"/>
      <c r="I4746" s="1092"/>
    </row>
    <row r="4747" spans="8:9">
      <c r="H4747" s="1092"/>
      <c r="I4747" s="1092"/>
    </row>
    <row r="4748" spans="8:9">
      <c r="H4748" s="1092"/>
      <c r="I4748" s="1092"/>
    </row>
    <row r="4749" spans="8:9">
      <c r="H4749" s="1092"/>
      <c r="I4749" s="1092"/>
    </row>
    <row r="4750" spans="8:9">
      <c r="H4750" s="1092"/>
      <c r="I4750" s="1092"/>
    </row>
    <row r="4751" spans="8:9">
      <c r="H4751" s="1092"/>
      <c r="I4751" s="1092"/>
    </row>
    <row r="4752" spans="8:9">
      <c r="H4752" s="1092"/>
      <c r="I4752" s="1092"/>
    </row>
    <row r="4753" spans="8:9">
      <c r="H4753" s="1092"/>
      <c r="I4753" s="1092"/>
    </row>
    <row r="4754" spans="8:9">
      <c r="H4754" s="1092"/>
      <c r="I4754" s="1092"/>
    </row>
    <row r="4755" spans="8:9">
      <c r="H4755" s="1092"/>
      <c r="I4755" s="1092"/>
    </row>
    <row r="4756" spans="8:9">
      <c r="H4756" s="1092"/>
      <c r="I4756" s="1092"/>
    </row>
    <row r="4757" spans="8:9">
      <c r="H4757" s="1092"/>
      <c r="I4757" s="1092"/>
    </row>
    <row r="4758" spans="8:9">
      <c r="H4758" s="1092"/>
      <c r="I4758" s="1092"/>
    </row>
    <row r="4759" spans="8:9">
      <c r="H4759" s="1092"/>
      <c r="I4759" s="1092"/>
    </row>
    <row r="4760" spans="8:9">
      <c r="H4760" s="1092"/>
      <c r="I4760" s="1092"/>
    </row>
    <row r="4761" spans="8:9">
      <c r="H4761" s="1092"/>
      <c r="I4761" s="1092"/>
    </row>
    <row r="4762" spans="8:9">
      <c r="H4762" s="1092"/>
      <c r="I4762" s="1092"/>
    </row>
    <row r="4763" spans="8:9">
      <c r="H4763" s="1092"/>
      <c r="I4763" s="1092"/>
    </row>
    <row r="4764" spans="8:9">
      <c r="H4764" s="1092"/>
      <c r="I4764" s="1092"/>
    </row>
    <row r="4765" spans="8:9">
      <c r="H4765" s="1092"/>
      <c r="I4765" s="1092"/>
    </row>
    <row r="4766" spans="8:9">
      <c r="H4766" s="1092"/>
      <c r="I4766" s="1092"/>
    </row>
    <row r="4767" spans="8:9">
      <c r="H4767" s="1092"/>
      <c r="I4767" s="1092"/>
    </row>
    <row r="4768" spans="8:9">
      <c r="H4768" s="1092"/>
      <c r="I4768" s="1092"/>
    </row>
    <row r="4769" spans="8:9">
      <c r="H4769" s="1092"/>
      <c r="I4769" s="1092"/>
    </row>
    <row r="4770" spans="8:9">
      <c r="H4770" s="1092"/>
      <c r="I4770" s="1092"/>
    </row>
    <row r="4771" spans="8:9">
      <c r="H4771" s="1092"/>
      <c r="I4771" s="1092"/>
    </row>
    <row r="4772" spans="8:9">
      <c r="H4772" s="1092"/>
      <c r="I4772" s="1092"/>
    </row>
    <row r="4773" spans="8:9">
      <c r="H4773" s="1092"/>
      <c r="I4773" s="1092"/>
    </row>
    <row r="4774" spans="8:9">
      <c r="H4774" s="1092"/>
      <c r="I4774" s="1092"/>
    </row>
    <row r="4775" spans="8:9">
      <c r="H4775" s="1092"/>
      <c r="I4775" s="1092"/>
    </row>
    <row r="4776" spans="8:9">
      <c r="H4776" s="1092"/>
      <c r="I4776" s="1092"/>
    </row>
    <row r="4777" spans="8:9">
      <c r="H4777" s="1092"/>
      <c r="I4777" s="1092"/>
    </row>
    <row r="4778" spans="8:9">
      <c r="H4778" s="1092"/>
      <c r="I4778" s="1092"/>
    </row>
    <row r="4779" spans="8:9">
      <c r="H4779" s="1092"/>
      <c r="I4779" s="1092"/>
    </row>
    <row r="4780" spans="8:9">
      <c r="H4780" s="1092"/>
      <c r="I4780" s="1092"/>
    </row>
    <row r="4781" spans="8:9">
      <c r="H4781" s="1092"/>
      <c r="I4781" s="1092"/>
    </row>
    <row r="4782" spans="8:9">
      <c r="H4782" s="1092"/>
      <c r="I4782" s="1092"/>
    </row>
    <row r="4783" spans="8:9">
      <c r="H4783" s="1092"/>
      <c r="I4783" s="1092"/>
    </row>
    <row r="4784" spans="8:9">
      <c r="H4784" s="1092"/>
      <c r="I4784" s="1092"/>
    </row>
    <row r="4785" spans="8:9">
      <c r="H4785" s="1092"/>
      <c r="I4785" s="1092"/>
    </row>
    <row r="4786" spans="8:9">
      <c r="H4786" s="1092"/>
      <c r="I4786" s="1092"/>
    </row>
    <row r="4787" spans="8:9">
      <c r="H4787" s="1092"/>
      <c r="I4787" s="1092"/>
    </row>
    <row r="4788" spans="8:9">
      <c r="H4788" s="1092"/>
      <c r="I4788" s="1092"/>
    </row>
    <row r="4789" spans="8:9">
      <c r="H4789" s="1092"/>
      <c r="I4789" s="1092"/>
    </row>
    <row r="4790" spans="8:9">
      <c r="H4790" s="1092"/>
      <c r="I4790" s="1092"/>
    </row>
    <row r="4791" spans="8:9">
      <c r="H4791" s="1092"/>
      <c r="I4791" s="1092"/>
    </row>
    <row r="4792" spans="8:9">
      <c r="H4792" s="1092"/>
      <c r="I4792" s="1092"/>
    </row>
    <row r="4793" spans="8:9">
      <c r="H4793" s="1092"/>
      <c r="I4793" s="1092"/>
    </row>
    <row r="4794" spans="8:9">
      <c r="H4794" s="1092"/>
      <c r="I4794" s="1092"/>
    </row>
    <row r="4795" spans="8:9">
      <c r="H4795" s="1092"/>
      <c r="I4795" s="1092"/>
    </row>
    <row r="4796" spans="8:9">
      <c r="H4796" s="1092"/>
      <c r="I4796" s="1092"/>
    </row>
    <row r="4797" spans="8:9">
      <c r="H4797" s="1092"/>
      <c r="I4797" s="1092"/>
    </row>
    <row r="4798" spans="8:9">
      <c r="H4798" s="1092"/>
      <c r="I4798" s="1092"/>
    </row>
    <row r="4799" spans="8:9">
      <c r="H4799" s="1092"/>
      <c r="I4799" s="1092"/>
    </row>
    <row r="4800" spans="8:9">
      <c r="H4800" s="1092"/>
      <c r="I4800" s="1092"/>
    </row>
    <row r="4801" spans="8:9">
      <c r="H4801" s="1092"/>
      <c r="I4801" s="1092"/>
    </row>
    <row r="4802" spans="8:9">
      <c r="H4802" s="1092"/>
      <c r="I4802" s="1092"/>
    </row>
    <row r="4803" spans="8:9">
      <c r="H4803" s="1092"/>
      <c r="I4803" s="1092"/>
    </row>
    <row r="4804" spans="8:9">
      <c r="H4804" s="1092"/>
      <c r="I4804" s="1092"/>
    </row>
    <row r="4805" spans="8:9">
      <c r="H4805" s="1092"/>
      <c r="I4805" s="1092"/>
    </row>
    <row r="4806" spans="8:9">
      <c r="H4806" s="1092"/>
      <c r="I4806" s="1092"/>
    </row>
    <row r="4807" spans="8:9">
      <c r="H4807" s="1092"/>
      <c r="I4807" s="1092"/>
    </row>
    <row r="4808" spans="8:9">
      <c r="H4808" s="1092"/>
      <c r="I4808" s="1092"/>
    </row>
    <row r="4809" spans="8:9">
      <c r="H4809" s="1092"/>
      <c r="I4809" s="1092"/>
    </row>
    <row r="4810" spans="8:9">
      <c r="H4810" s="1092"/>
      <c r="I4810" s="1092"/>
    </row>
    <row r="4811" spans="8:9">
      <c r="H4811" s="1092"/>
      <c r="I4811" s="1092"/>
    </row>
    <row r="4812" spans="8:9">
      <c r="H4812" s="1092"/>
      <c r="I4812" s="1092"/>
    </row>
    <row r="4813" spans="8:9">
      <c r="H4813" s="1092"/>
      <c r="I4813" s="1092"/>
    </row>
    <row r="4814" spans="8:9">
      <c r="H4814" s="1092"/>
      <c r="I4814" s="1092"/>
    </row>
    <row r="4815" spans="8:9">
      <c r="H4815" s="1092"/>
      <c r="I4815" s="1092"/>
    </row>
    <row r="4816" spans="8:9">
      <c r="H4816" s="1092"/>
      <c r="I4816" s="1092"/>
    </row>
    <row r="4817" spans="8:9">
      <c r="H4817" s="1092"/>
      <c r="I4817" s="1092"/>
    </row>
    <row r="4818" spans="8:9">
      <c r="H4818" s="1092"/>
      <c r="I4818" s="1092"/>
    </row>
    <row r="4819" spans="8:9">
      <c r="H4819" s="1092"/>
      <c r="I4819" s="1092"/>
    </row>
    <row r="4820" spans="8:9">
      <c r="H4820" s="1092"/>
      <c r="I4820" s="1092"/>
    </row>
    <row r="4821" spans="8:9">
      <c r="H4821" s="1092"/>
      <c r="I4821" s="1092"/>
    </row>
    <row r="4822" spans="8:9">
      <c r="H4822" s="1092"/>
      <c r="I4822" s="1092"/>
    </row>
    <row r="4823" spans="8:9">
      <c r="H4823" s="1092"/>
      <c r="I4823" s="1092"/>
    </row>
    <row r="4824" spans="8:9">
      <c r="H4824" s="1092"/>
      <c r="I4824" s="1092"/>
    </row>
    <row r="4825" spans="8:9">
      <c r="H4825" s="1092"/>
      <c r="I4825" s="1092"/>
    </row>
    <row r="4826" spans="8:9">
      <c r="H4826" s="1092"/>
      <c r="I4826" s="1092"/>
    </row>
    <row r="4827" spans="8:9">
      <c r="H4827" s="1092"/>
      <c r="I4827" s="1092"/>
    </row>
    <row r="4828" spans="8:9">
      <c r="H4828" s="1092"/>
      <c r="I4828" s="1092"/>
    </row>
    <row r="4829" spans="8:9">
      <c r="H4829" s="1092"/>
      <c r="I4829" s="1092"/>
    </row>
    <row r="4830" spans="8:9">
      <c r="H4830" s="1092"/>
      <c r="I4830" s="1092"/>
    </row>
    <row r="4831" spans="8:9">
      <c r="H4831" s="1092"/>
      <c r="I4831" s="1092"/>
    </row>
    <row r="4832" spans="8:9">
      <c r="H4832" s="1092"/>
      <c r="I4832" s="1092"/>
    </row>
    <row r="4833" spans="8:9">
      <c r="H4833" s="1092"/>
      <c r="I4833" s="1092"/>
    </row>
    <row r="4834" spans="8:9">
      <c r="H4834" s="1092"/>
      <c r="I4834" s="1092"/>
    </row>
    <row r="4835" spans="8:9">
      <c r="H4835" s="1092"/>
      <c r="I4835" s="1092"/>
    </row>
    <row r="4836" spans="8:9">
      <c r="H4836" s="1092"/>
      <c r="I4836" s="1092"/>
    </row>
    <row r="4837" spans="8:9">
      <c r="H4837" s="1092"/>
      <c r="I4837" s="1092"/>
    </row>
    <row r="4838" spans="8:9">
      <c r="H4838" s="1092"/>
      <c r="I4838" s="1092"/>
    </row>
    <row r="4839" spans="8:9">
      <c r="H4839" s="1092"/>
      <c r="I4839" s="1092"/>
    </row>
    <row r="4840" spans="8:9">
      <c r="H4840" s="1092"/>
      <c r="I4840" s="1092"/>
    </row>
    <row r="4841" spans="8:9">
      <c r="H4841" s="1092"/>
      <c r="I4841" s="1092"/>
    </row>
    <row r="4842" spans="8:9">
      <c r="H4842" s="1092"/>
      <c r="I4842" s="1092"/>
    </row>
    <row r="4843" spans="8:9">
      <c r="H4843" s="1092"/>
      <c r="I4843" s="1092"/>
    </row>
    <row r="4844" spans="8:9">
      <c r="H4844" s="1092"/>
      <c r="I4844" s="1092"/>
    </row>
    <row r="4845" spans="8:9">
      <c r="H4845" s="1092"/>
      <c r="I4845" s="1092"/>
    </row>
    <row r="4846" spans="8:9">
      <c r="H4846" s="1092"/>
      <c r="I4846" s="1092"/>
    </row>
    <row r="4847" spans="8:9">
      <c r="H4847" s="1092"/>
      <c r="I4847" s="1092"/>
    </row>
    <row r="4848" spans="8:9">
      <c r="H4848" s="1092"/>
      <c r="I4848" s="1092"/>
    </row>
    <row r="4849" spans="8:9">
      <c r="H4849" s="1092"/>
      <c r="I4849" s="1092"/>
    </row>
    <row r="4850" spans="8:9">
      <c r="H4850" s="1092"/>
      <c r="I4850" s="1092"/>
    </row>
    <row r="4851" spans="8:9">
      <c r="H4851" s="1092"/>
      <c r="I4851" s="1092"/>
    </row>
    <row r="4852" spans="8:9">
      <c r="H4852" s="1092"/>
      <c r="I4852" s="1092"/>
    </row>
    <row r="4853" spans="8:9">
      <c r="H4853" s="1092"/>
      <c r="I4853" s="1092"/>
    </row>
    <row r="4854" spans="8:9">
      <c r="H4854" s="1092"/>
      <c r="I4854" s="1092"/>
    </row>
    <row r="4855" spans="8:9">
      <c r="H4855" s="1092"/>
      <c r="I4855" s="1092"/>
    </row>
    <row r="4856" spans="8:9">
      <c r="H4856" s="1092"/>
      <c r="I4856" s="1092"/>
    </row>
    <row r="4857" spans="8:9">
      <c r="H4857" s="1092"/>
      <c r="I4857" s="1092"/>
    </row>
    <row r="4858" spans="8:9">
      <c r="H4858" s="1092"/>
      <c r="I4858" s="1092"/>
    </row>
    <row r="4859" spans="8:9">
      <c r="H4859" s="1092"/>
      <c r="I4859" s="1092"/>
    </row>
    <row r="4860" spans="8:9">
      <c r="H4860" s="1092"/>
      <c r="I4860" s="1092"/>
    </row>
    <row r="4861" spans="8:9">
      <c r="H4861" s="1092"/>
      <c r="I4861" s="1092"/>
    </row>
    <row r="4862" spans="8:9">
      <c r="H4862" s="1092"/>
      <c r="I4862" s="1092"/>
    </row>
    <row r="4863" spans="8:9">
      <c r="H4863" s="1092"/>
      <c r="I4863" s="1092"/>
    </row>
    <row r="4864" spans="8:9">
      <c r="H4864" s="1092"/>
      <c r="I4864" s="1092"/>
    </row>
    <row r="4865" spans="8:9">
      <c r="H4865" s="1092"/>
      <c r="I4865" s="1092"/>
    </row>
    <row r="4866" spans="8:9">
      <c r="H4866" s="1092"/>
      <c r="I4866" s="1092"/>
    </row>
    <row r="4867" spans="8:9">
      <c r="H4867" s="1092"/>
      <c r="I4867" s="1092"/>
    </row>
    <row r="4868" spans="8:9">
      <c r="H4868" s="1092"/>
      <c r="I4868" s="1092"/>
    </row>
    <row r="4869" spans="8:9">
      <c r="H4869" s="1092"/>
      <c r="I4869" s="1092"/>
    </row>
    <row r="4870" spans="8:9">
      <c r="H4870" s="1092"/>
      <c r="I4870" s="1092"/>
    </row>
    <row r="4871" spans="8:9">
      <c r="H4871" s="1092"/>
      <c r="I4871" s="1092"/>
    </row>
    <row r="4872" spans="8:9">
      <c r="H4872" s="1092"/>
      <c r="I4872" s="1092"/>
    </row>
    <row r="4873" spans="8:9">
      <c r="H4873" s="1092"/>
      <c r="I4873" s="1092"/>
    </row>
    <row r="4874" spans="8:9">
      <c r="H4874" s="1092"/>
      <c r="I4874" s="1092"/>
    </row>
    <row r="4875" spans="8:9">
      <c r="H4875" s="1092"/>
      <c r="I4875" s="1092"/>
    </row>
    <row r="4876" spans="8:9">
      <c r="H4876" s="1092"/>
      <c r="I4876" s="1092"/>
    </row>
    <row r="4877" spans="8:9">
      <c r="H4877" s="1092"/>
      <c r="I4877" s="1092"/>
    </row>
    <row r="4878" spans="8:9">
      <c r="H4878" s="1092"/>
      <c r="I4878" s="1092"/>
    </row>
    <row r="4879" spans="8:9">
      <c r="H4879" s="1092"/>
      <c r="I4879" s="1092"/>
    </row>
    <row r="4880" spans="8:9">
      <c r="H4880" s="1092"/>
      <c r="I4880" s="1092"/>
    </row>
    <row r="4881" spans="8:9">
      <c r="H4881" s="1092"/>
      <c r="I4881" s="1092"/>
    </row>
    <row r="4882" spans="8:9">
      <c r="H4882" s="1092"/>
      <c r="I4882" s="1092"/>
    </row>
    <row r="4883" spans="8:9">
      <c r="H4883" s="1092"/>
      <c r="I4883" s="1092"/>
    </row>
    <row r="4884" spans="8:9">
      <c r="H4884" s="1092"/>
      <c r="I4884" s="1092"/>
    </row>
    <row r="4885" spans="8:9">
      <c r="H4885" s="1092"/>
      <c r="I4885" s="1092"/>
    </row>
    <row r="4886" spans="8:9">
      <c r="H4886" s="1092"/>
      <c r="I4886" s="1092"/>
    </row>
    <row r="4887" spans="8:9">
      <c r="H4887" s="1092"/>
      <c r="I4887" s="1092"/>
    </row>
    <row r="4888" spans="8:9">
      <c r="H4888" s="1092"/>
      <c r="I4888" s="1092"/>
    </row>
    <row r="4889" spans="8:9">
      <c r="H4889" s="1092"/>
      <c r="I4889" s="1092"/>
    </row>
    <row r="4890" spans="8:9">
      <c r="H4890" s="1092"/>
      <c r="I4890" s="1092"/>
    </row>
    <row r="4891" spans="8:9">
      <c r="H4891" s="1092"/>
      <c r="I4891" s="1092"/>
    </row>
    <row r="4892" spans="8:9">
      <c r="H4892" s="1092"/>
      <c r="I4892" s="1092"/>
    </row>
    <row r="4893" spans="8:9">
      <c r="H4893" s="1092"/>
      <c r="I4893" s="1092"/>
    </row>
    <row r="4894" spans="8:9">
      <c r="H4894" s="1092"/>
      <c r="I4894" s="1092"/>
    </row>
    <row r="4895" spans="8:9">
      <c r="H4895" s="1092"/>
      <c r="I4895" s="1092"/>
    </row>
    <row r="4896" spans="8:9">
      <c r="H4896" s="1092"/>
      <c r="I4896" s="1092"/>
    </row>
    <row r="4897" spans="8:9">
      <c r="H4897" s="1092"/>
      <c r="I4897" s="1092"/>
    </row>
    <row r="4898" spans="8:9">
      <c r="H4898" s="1092"/>
      <c r="I4898" s="1092"/>
    </row>
    <row r="4899" spans="8:9">
      <c r="H4899" s="1092"/>
      <c r="I4899" s="1092"/>
    </row>
    <row r="4900" spans="8:9">
      <c r="H4900" s="1092"/>
      <c r="I4900" s="1092"/>
    </row>
    <row r="4901" spans="8:9">
      <c r="H4901" s="1092"/>
      <c r="I4901" s="1092"/>
    </row>
    <row r="4902" spans="8:9">
      <c r="H4902" s="1092"/>
      <c r="I4902" s="1092"/>
    </row>
    <row r="4903" spans="8:9">
      <c r="H4903" s="1092"/>
      <c r="I4903" s="1092"/>
    </row>
    <row r="4904" spans="8:9">
      <c r="H4904" s="1092"/>
      <c r="I4904" s="1092"/>
    </row>
    <row r="4905" spans="8:9">
      <c r="H4905" s="1092"/>
      <c r="I4905" s="1092"/>
    </row>
    <row r="4906" spans="8:9">
      <c r="H4906" s="1092"/>
      <c r="I4906" s="1092"/>
    </row>
    <row r="4907" spans="8:9">
      <c r="H4907" s="1092"/>
      <c r="I4907" s="1092"/>
    </row>
    <row r="4908" spans="8:9">
      <c r="H4908" s="1092"/>
      <c r="I4908" s="1092"/>
    </row>
    <row r="4909" spans="8:9">
      <c r="H4909" s="1092"/>
      <c r="I4909" s="1092"/>
    </row>
    <row r="4910" spans="8:9">
      <c r="H4910" s="1092"/>
      <c r="I4910" s="1092"/>
    </row>
    <row r="4911" spans="8:9">
      <c r="H4911" s="1092"/>
      <c r="I4911" s="1092"/>
    </row>
    <row r="4912" spans="8:9">
      <c r="H4912" s="1092"/>
      <c r="I4912" s="1092"/>
    </row>
    <row r="4913" spans="8:9">
      <c r="H4913" s="1092"/>
      <c r="I4913" s="1092"/>
    </row>
    <row r="4914" spans="8:9">
      <c r="H4914" s="1092"/>
      <c r="I4914" s="1092"/>
    </row>
    <row r="4915" spans="8:9">
      <c r="H4915" s="1092"/>
      <c r="I4915" s="1092"/>
    </row>
    <row r="4916" spans="8:9">
      <c r="H4916" s="1092"/>
      <c r="I4916" s="1092"/>
    </row>
    <row r="4917" spans="8:9">
      <c r="H4917" s="1092"/>
      <c r="I4917" s="1092"/>
    </row>
    <row r="4918" spans="8:9">
      <c r="H4918" s="1092"/>
      <c r="I4918" s="1092"/>
    </row>
    <row r="4919" spans="8:9">
      <c r="H4919" s="1092"/>
      <c r="I4919" s="1092"/>
    </row>
    <row r="4920" spans="8:9">
      <c r="H4920" s="1092"/>
      <c r="I4920" s="1092"/>
    </row>
    <row r="4921" spans="8:9">
      <c r="H4921" s="1092"/>
      <c r="I4921" s="1092"/>
    </row>
    <row r="4922" spans="8:9">
      <c r="H4922" s="1092"/>
      <c r="I4922" s="1092"/>
    </row>
    <row r="4923" spans="8:9">
      <c r="H4923" s="1092"/>
      <c r="I4923" s="1092"/>
    </row>
    <row r="4924" spans="8:9">
      <c r="H4924" s="1092"/>
      <c r="I4924" s="1092"/>
    </row>
    <row r="4925" spans="8:9">
      <c r="H4925" s="1092"/>
      <c r="I4925" s="1092"/>
    </row>
    <row r="4926" spans="8:9">
      <c r="H4926" s="1092"/>
      <c r="I4926" s="1092"/>
    </row>
    <row r="4927" spans="8:9">
      <c r="H4927" s="1092"/>
      <c r="I4927" s="1092"/>
    </row>
    <row r="4928" spans="8:9">
      <c r="H4928" s="1092"/>
      <c r="I4928" s="1092"/>
    </row>
    <row r="4929" spans="8:9">
      <c r="H4929" s="1092"/>
      <c r="I4929" s="1092"/>
    </row>
    <row r="4930" spans="8:9">
      <c r="H4930" s="1092"/>
      <c r="I4930" s="1092"/>
    </row>
    <row r="4931" spans="8:9">
      <c r="H4931" s="1092"/>
      <c r="I4931" s="1092"/>
    </row>
    <row r="4932" spans="8:9">
      <c r="H4932" s="1092"/>
      <c r="I4932" s="1092"/>
    </row>
    <row r="4933" spans="8:9">
      <c r="H4933" s="1092"/>
      <c r="I4933" s="1092"/>
    </row>
    <row r="4934" spans="8:9">
      <c r="H4934" s="1092"/>
      <c r="I4934" s="1092"/>
    </row>
    <row r="4935" spans="8:9">
      <c r="H4935" s="1092"/>
      <c r="I4935" s="1092"/>
    </row>
    <row r="4936" spans="8:9">
      <c r="H4936" s="1092"/>
      <c r="I4936" s="1092"/>
    </row>
    <row r="4937" spans="8:9">
      <c r="H4937" s="1092"/>
      <c r="I4937" s="1092"/>
    </row>
    <row r="4938" spans="8:9">
      <c r="H4938" s="1092"/>
      <c r="I4938" s="1092"/>
    </row>
    <row r="4939" spans="8:9">
      <c r="H4939" s="1092"/>
      <c r="I4939" s="1092"/>
    </row>
    <row r="4940" spans="8:9">
      <c r="H4940" s="1092"/>
      <c r="I4940" s="1092"/>
    </row>
    <row r="4941" spans="8:9">
      <c r="H4941" s="1092"/>
      <c r="I4941" s="1092"/>
    </row>
    <row r="4942" spans="8:9">
      <c r="H4942" s="1092"/>
      <c r="I4942" s="1092"/>
    </row>
    <row r="4943" spans="8:9">
      <c r="H4943" s="1092"/>
      <c r="I4943" s="1092"/>
    </row>
    <row r="4944" spans="8:9">
      <c r="H4944" s="1092"/>
      <c r="I4944" s="1092"/>
    </row>
    <row r="4945" spans="8:9">
      <c r="H4945" s="1092"/>
      <c r="I4945" s="1092"/>
    </row>
    <row r="4946" spans="8:9">
      <c r="H4946" s="1092"/>
      <c r="I4946" s="1092"/>
    </row>
    <row r="4947" spans="8:9">
      <c r="H4947" s="1092"/>
      <c r="I4947" s="1092"/>
    </row>
    <row r="4948" spans="8:9">
      <c r="H4948" s="1092"/>
      <c r="I4948" s="1092"/>
    </row>
    <row r="4949" spans="8:9">
      <c r="H4949" s="1092"/>
      <c r="I4949" s="1092"/>
    </row>
    <row r="4950" spans="8:9">
      <c r="H4950" s="1092"/>
      <c r="I4950" s="1092"/>
    </row>
    <row r="4951" spans="8:9">
      <c r="H4951" s="1092"/>
      <c r="I4951" s="1092"/>
    </row>
    <row r="4952" spans="8:9">
      <c r="H4952" s="1092"/>
      <c r="I4952" s="1092"/>
    </row>
    <row r="4953" spans="8:9">
      <c r="H4953" s="1092"/>
      <c r="I4953" s="1092"/>
    </row>
    <row r="4954" spans="8:9">
      <c r="H4954" s="1092"/>
      <c r="I4954" s="1092"/>
    </row>
    <row r="4955" spans="8:9">
      <c r="H4955" s="1092"/>
      <c r="I4955" s="1092"/>
    </row>
    <row r="4956" spans="8:9">
      <c r="H4956" s="1092"/>
      <c r="I4956" s="1092"/>
    </row>
    <row r="4957" spans="8:9">
      <c r="H4957" s="1092"/>
      <c r="I4957" s="1092"/>
    </row>
    <row r="4958" spans="8:9">
      <c r="H4958" s="1092"/>
      <c r="I4958" s="1092"/>
    </row>
    <row r="4959" spans="8:9">
      <c r="H4959" s="1092"/>
      <c r="I4959" s="1092"/>
    </row>
    <row r="4960" spans="8:9">
      <c r="H4960" s="1092"/>
      <c r="I4960" s="1092"/>
    </row>
    <row r="4961" spans="8:9">
      <c r="H4961" s="1092"/>
      <c r="I4961" s="1092"/>
    </row>
    <row r="4962" spans="8:9">
      <c r="H4962" s="1092"/>
      <c r="I4962" s="1092"/>
    </row>
    <row r="4963" spans="8:9">
      <c r="H4963" s="1092"/>
      <c r="I4963" s="1092"/>
    </row>
    <row r="4964" spans="8:9">
      <c r="H4964" s="1092"/>
      <c r="I4964" s="1092"/>
    </row>
    <row r="4965" spans="8:9">
      <c r="H4965" s="1092"/>
      <c r="I4965" s="1092"/>
    </row>
    <row r="4966" spans="8:9">
      <c r="H4966" s="1092"/>
      <c r="I4966" s="1092"/>
    </row>
    <row r="4967" spans="8:9">
      <c r="H4967" s="1092"/>
      <c r="I4967" s="1092"/>
    </row>
    <row r="4968" spans="8:9">
      <c r="H4968" s="1092"/>
      <c r="I4968" s="1092"/>
    </row>
    <row r="4969" spans="8:9">
      <c r="H4969" s="1092"/>
      <c r="I4969" s="1092"/>
    </row>
    <row r="4970" spans="8:9">
      <c r="H4970" s="1092"/>
      <c r="I4970" s="1092"/>
    </row>
    <row r="4971" spans="8:9">
      <c r="H4971" s="1092"/>
      <c r="I4971" s="1092"/>
    </row>
    <row r="4972" spans="8:9">
      <c r="H4972" s="1092"/>
      <c r="I4972" s="1092"/>
    </row>
    <row r="4973" spans="8:9">
      <c r="H4973" s="1092"/>
      <c r="I4973" s="1092"/>
    </row>
    <row r="4974" spans="8:9">
      <c r="H4974" s="1092"/>
      <c r="I4974" s="1092"/>
    </row>
    <row r="4975" spans="8:9">
      <c r="H4975" s="1092"/>
      <c r="I4975" s="1092"/>
    </row>
    <row r="4976" spans="8:9">
      <c r="H4976" s="1092"/>
      <c r="I4976" s="1092"/>
    </row>
    <row r="4977" spans="8:9">
      <c r="H4977" s="1092"/>
      <c r="I4977" s="1092"/>
    </row>
    <row r="4978" spans="8:9">
      <c r="H4978" s="1092"/>
      <c r="I4978" s="1092"/>
    </row>
    <row r="4979" spans="8:9">
      <c r="H4979" s="1092"/>
      <c r="I4979" s="1092"/>
    </row>
    <row r="4980" spans="8:9">
      <c r="H4980" s="1092"/>
      <c r="I4980" s="1092"/>
    </row>
    <row r="4981" spans="8:9">
      <c r="H4981" s="1092"/>
      <c r="I4981" s="1092"/>
    </row>
    <row r="4982" spans="8:9">
      <c r="H4982" s="1092"/>
      <c r="I4982" s="1092"/>
    </row>
    <row r="4983" spans="8:9">
      <c r="H4983" s="1092"/>
      <c r="I4983" s="1092"/>
    </row>
    <row r="4984" spans="8:9">
      <c r="H4984" s="1092"/>
      <c r="I4984" s="1092"/>
    </row>
    <row r="4985" spans="8:9">
      <c r="H4985" s="1092"/>
      <c r="I4985" s="1092"/>
    </row>
    <row r="4986" spans="8:9">
      <c r="H4986" s="1092"/>
      <c r="I4986" s="1092"/>
    </row>
    <row r="4987" spans="8:9">
      <c r="H4987" s="1092"/>
      <c r="I4987" s="1092"/>
    </row>
    <row r="4988" spans="8:9">
      <c r="H4988" s="1092"/>
      <c r="I4988" s="1092"/>
    </row>
    <row r="4989" spans="8:9">
      <c r="H4989" s="1092"/>
      <c r="I4989" s="1092"/>
    </row>
    <row r="4990" spans="8:9">
      <c r="H4990" s="1092"/>
      <c r="I4990" s="1092"/>
    </row>
    <row r="4991" spans="8:9">
      <c r="H4991" s="1092"/>
      <c r="I4991" s="1092"/>
    </row>
    <row r="4992" spans="8:9">
      <c r="H4992" s="1092"/>
      <c r="I4992" s="1092"/>
    </row>
    <row r="4993" spans="8:9">
      <c r="H4993" s="1092"/>
      <c r="I4993" s="1092"/>
    </row>
    <row r="4994" spans="8:9">
      <c r="H4994" s="1092"/>
      <c r="I4994" s="1092"/>
    </row>
    <row r="4995" spans="8:9">
      <c r="H4995" s="1092"/>
      <c r="I4995" s="1092"/>
    </row>
    <row r="4996" spans="8:9">
      <c r="H4996" s="1092"/>
      <c r="I4996" s="1092"/>
    </row>
    <row r="4997" spans="8:9">
      <c r="H4997" s="1092"/>
      <c r="I4997" s="1092"/>
    </row>
    <row r="4998" spans="8:9">
      <c r="H4998" s="1092"/>
      <c r="I4998" s="1092"/>
    </row>
    <row r="4999" spans="8:9">
      <c r="H4999" s="1092"/>
      <c r="I4999" s="1092"/>
    </row>
    <row r="5000" spans="8:9">
      <c r="H5000" s="1092"/>
      <c r="I5000" s="1092"/>
    </row>
    <row r="5001" spans="8:9">
      <c r="H5001" s="1092"/>
      <c r="I5001" s="1092"/>
    </row>
    <row r="5002" spans="8:9">
      <c r="H5002" s="1092"/>
      <c r="I5002" s="1092"/>
    </row>
    <row r="5003" spans="8:9">
      <c r="H5003" s="1092"/>
      <c r="I5003" s="1092"/>
    </row>
    <row r="5004" spans="8:9">
      <c r="H5004" s="1092"/>
      <c r="I5004" s="1092"/>
    </row>
    <row r="5005" spans="8:9">
      <c r="H5005" s="1092"/>
      <c r="I5005" s="1092"/>
    </row>
    <row r="5006" spans="8:9">
      <c r="H5006" s="1092"/>
      <c r="I5006" s="1092"/>
    </row>
    <row r="5007" spans="8:9">
      <c r="H5007" s="1092"/>
      <c r="I5007" s="1092"/>
    </row>
    <row r="5008" spans="8:9">
      <c r="H5008" s="1092"/>
      <c r="I5008" s="1092"/>
    </row>
    <row r="5009" spans="8:9">
      <c r="H5009" s="1092"/>
      <c r="I5009" s="1092"/>
    </row>
    <row r="5010" spans="8:9">
      <c r="H5010" s="1092"/>
      <c r="I5010" s="1092"/>
    </row>
    <row r="5011" spans="8:9">
      <c r="H5011" s="1092"/>
      <c r="I5011" s="1092"/>
    </row>
    <row r="5012" spans="8:9">
      <c r="H5012" s="1092"/>
      <c r="I5012" s="1092"/>
    </row>
    <row r="5013" spans="8:9">
      <c r="H5013" s="1092"/>
      <c r="I5013" s="1092"/>
    </row>
    <row r="5014" spans="8:9">
      <c r="H5014" s="1092"/>
      <c r="I5014" s="1092"/>
    </row>
    <row r="5015" spans="8:9">
      <c r="H5015" s="1092"/>
      <c r="I5015" s="1092"/>
    </row>
    <row r="5016" spans="8:9">
      <c r="H5016" s="1092"/>
      <c r="I5016" s="1092"/>
    </row>
    <row r="5017" spans="8:9">
      <c r="H5017" s="1092"/>
      <c r="I5017" s="1092"/>
    </row>
    <row r="5018" spans="8:9">
      <c r="H5018" s="1092"/>
      <c r="I5018" s="1092"/>
    </row>
    <row r="5019" spans="8:9">
      <c r="H5019" s="1092"/>
      <c r="I5019" s="1092"/>
    </row>
    <row r="5020" spans="8:9">
      <c r="H5020" s="1092"/>
      <c r="I5020" s="1092"/>
    </row>
    <row r="5021" spans="8:9">
      <c r="H5021" s="1092"/>
      <c r="I5021" s="1092"/>
    </row>
    <row r="5022" spans="8:9">
      <c r="H5022" s="1092"/>
      <c r="I5022" s="1092"/>
    </row>
    <row r="5023" spans="8:9">
      <c r="H5023" s="1092"/>
      <c r="I5023" s="1092"/>
    </row>
    <row r="5024" spans="8:9">
      <c r="H5024" s="1092"/>
      <c r="I5024" s="1092"/>
    </row>
    <row r="5025" spans="8:9">
      <c r="H5025" s="1092"/>
      <c r="I5025" s="1092"/>
    </row>
    <row r="5026" spans="8:9">
      <c r="H5026" s="1092"/>
      <c r="I5026" s="1092"/>
    </row>
    <row r="5027" spans="8:9">
      <c r="H5027" s="1092"/>
      <c r="I5027" s="1092"/>
    </row>
    <row r="5028" spans="8:9">
      <c r="H5028" s="1092"/>
      <c r="I5028" s="1092"/>
    </row>
    <row r="5029" spans="8:9">
      <c r="H5029" s="1092"/>
      <c r="I5029" s="1092"/>
    </row>
    <row r="5030" spans="8:9">
      <c r="H5030" s="1092"/>
      <c r="I5030" s="1092"/>
    </row>
    <row r="5031" spans="8:9">
      <c r="H5031" s="1092"/>
      <c r="I5031" s="1092"/>
    </row>
    <row r="5032" spans="8:9">
      <c r="H5032" s="1092"/>
      <c r="I5032" s="1092"/>
    </row>
    <row r="5033" spans="8:9">
      <c r="H5033" s="1092"/>
      <c r="I5033" s="1092"/>
    </row>
    <row r="5034" spans="8:9">
      <c r="H5034" s="1092"/>
      <c r="I5034" s="1092"/>
    </row>
    <row r="5035" spans="8:9">
      <c r="H5035" s="1092"/>
      <c r="I5035" s="1092"/>
    </row>
    <row r="5036" spans="8:9">
      <c r="H5036" s="1092"/>
      <c r="I5036" s="1092"/>
    </row>
    <row r="5037" spans="8:9">
      <c r="H5037" s="1092"/>
      <c r="I5037" s="1092"/>
    </row>
    <row r="5038" spans="8:9">
      <c r="H5038" s="1092"/>
      <c r="I5038" s="1092"/>
    </row>
    <row r="5039" spans="8:9">
      <c r="H5039" s="1092"/>
      <c r="I5039" s="1092"/>
    </row>
    <row r="5040" spans="8:9">
      <c r="H5040" s="1092"/>
      <c r="I5040" s="1092"/>
    </row>
    <row r="5041" spans="8:9">
      <c r="H5041" s="1092"/>
      <c r="I5041" s="1092"/>
    </row>
    <row r="5042" spans="8:9">
      <c r="H5042" s="1092"/>
      <c r="I5042" s="1092"/>
    </row>
    <row r="5043" spans="8:9">
      <c r="H5043" s="1092"/>
      <c r="I5043" s="1092"/>
    </row>
    <row r="5044" spans="8:9">
      <c r="H5044" s="1092"/>
      <c r="I5044" s="1092"/>
    </row>
    <row r="5045" spans="8:9">
      <c r="H5045" s="1092"/>
      <c r="I5045" s="1092"/>
    </row>
    <row r="5046" spans="8:9">
      <c r="H5046" s="1092"/>
      <c r="I5046" s="1092"/>
    </row>
    <row r="5047" spans="8:9">
      <c r="H5047" s="1092"/>
      <c r="I5047" s="1092"/>
    </row>
    <row r="5048" spans="8:9">
      <c r="H5048" s="1092"/>
      <c r="I5048" s="1092"/>
    </row>
    <row r="5049" spans="8:9">
      <c r="H5049" s="1092"/>
      <c r="I5049" s="1092"/>
    </row>
    <row r="5050" spans="8:9">
      <c r="H5050" s="1092"/>
      <c r="I5050" s="1092"/>
    </row>
    <row r="5051" spans="8:9">
      <c r="H5051" s="1092"/>
      <c r="I5051" s="1092"/>
    </row>
    <row r="5052" spans="8:9">
      <c r="H5052" s="1092"/>
      <c r="I5052" s="1092"/>
    </row>
    <row r="5053" spans="8:9">
      <c r="H5053" s="1092"/>
      <c r="I5053" s="1092"/>
    </row>
    <row r="5054" spans="8:9">
      <c r="H5054" s="1092"/>
      <c r="I5054" s="1092"/>
    </row>
    <row r="5055" spans="8:9">
      <c r="H5055" s="1092"/>
      <c r="I5055" s="1092"/>
    </row>
    <row r="5056" spans="8:9">
      <c r="H5056" s="1092"/>
      <c r="I5056" s="1092"/>
    </row>
    <row r="5057" spans="8:9">
      <c r="H5057" s="1092"/>
      <c r="I5057" s="1092"/>
    </row>
    <row r="5058" spans="8:9">
      <c r="H5058" s="1092"/>
      <c r="I5058" s="1092"/>
    </row>
    <row r="5059" spans="8:9">
      <c r="H5059" s="1092"/>
      <c r="I5059" s="1092"/>
    </row>
    <row r="5060" spans="8:9">
      <c r="H5060" s="1092"/>
      <c r="I5060" s="1092"/>
    </row>
    <row r="5061" spans="8:9">
      <c r="H5061" s="1092"/>
      <c r="I5061" s="1092"/>
    </row>
    <row r="5062" spans="8:9">
      <c r="H5062" s="1092"/>
      <c r="I5062" s="1092"/>
    </row>
    <row r="5063" spans="8:9">
      <c r="H5063" s="1092"/>
      <c r="I5063" s="1092"/>
    </row>
    <row r="5064" spans="8:9">
      <c r="H5064" s="1092"/>
      <c r="I5064" s="1092"/>
    </row>
    <row r="5065" spans="8:9">
      <c r="H5065" s="1092"/>
      <c r="I5065" s="1092"/>
    </row>
    <row r="5066" spans="8:9">
      <c r="H5066" s="1092"/>
      <c r="I5066" s="1092"/>
    </row>
    <row r="5067" spans="8:9">
      <c r="H5067" s="1092"/>
      <c r="I5067" s="1092"/>
    </row>
    <row r="5068" spans="8:9">
      <c r="H5068" s="1092"/>
      <c r="I5068" s="1092"/>
    </row>
    <row r="5069" spans="8:9">
      <c r="H5069" s="1092"/>
      <c r="I5069" s="1092"/>
    </row>
    <row r="5070" spans="8:9">
      <c r="H5070" s="1092"/>
      <c r="I5070" s="1092"/>
    </row>
    <row r="5071" spans="8:9">
      <c r="H5071" s="1092"/>
      <c r="I5071" s="1092"/>
    </row>
    <row r="5072" spans="8:9">
      <c r="H5072" s="1092"/>
      <c r="I5072" s="1092"/>
    </row>
    <row r="5073" spans="8:9">
      <c r="H5073" s="1092"/>
      <c r="I5073" s="1092"/>
    </row>
    <row r="5074" spans="8:9">
      <c r="H5074" s="1092"/>
      <c r="I5074" s="1092"/>
    </row>
    <row r="5075" spans="8:9">
      <c r="H5075" s="1092"/>
      <c r="I5075" s="1092"/>
    </row>
    <row r="5076" spans="8:9">
      <c r="H5076" s="1092"/>
      <c r="I5076" s="1092"/>
    </row>
    <row r="5077" spans="8:9">
      <c r="H5077" s="1092"/>
      <c r="I5077" s="1092"/>
    </row>
    <row r="5078" spans="8:9">
      <c r="H5078" s="1092"/>
      <c r="I5078" s="1092"/>
    </row>
    <row r="5079" spans="8:9">
      <c r="H5079" s="1092"/>
      <c r="I5079" s="1092"/>
    </row>
    <row r="5080" spans="8:9">
      <c r="H5080" s="1092"/>
      <c r="I5080" s="1092"/>
    </row>
    <row r="5081" spans="8:9">
      <c r="H5081" s="1092"/>
      <c r="I5081" s="1092"/>
    </row>
    <row r="5082" spans="8:9">
      <c r="H5082" s="1092"/>
      <c r="I5082" s="1092"/>
    </row>
    <row r="5083" spans="8:9">
      <c r="H5083" s="1092"/>
      <c r="I5083" s="1092"/>
    </row>
    <row r="5084" spans="8:9">
      <c r="H5084" s="1092"/>
      <c r="I5084" s="1092"/>
    </row>
    <row r="5085" spans="8:9">
      <c r="H5085" s="1092"/>
      <c r="I5085" s="1092"/>
    </row>
    <row r="5086" spans="8:9">
      <c r="H5086" s="1092"/>
      <c r="I5086" s="1092"/>
    </row>
    <row r="5087" spans="8:9">
      <c r="H5087" s="1092"/>
      <c r="I5087" s="1092"/>
    </row>
    <row r="5088" spans="8:9">
      <c r="H5088" s="1092"/>
      <c r="I5088" s="1092"/>
    </row>
    <row r="5089" spans="8:9">
      <c r="H5089" s="1092"/>
      <c r="I5089" s="1092"/>
    </row>
    <row r="5090" spans="8:9">
      <c r="H5090" s="1092"/>
      <c r="I5090" s="1092"/>
    </row>
    <row r="5091" spans="8:9">
      <c r="H5091" s="1092"/>
      <c r="I5091" s="1092"/>
    </row>
    <row r="5092" spans="8:9">
      <c r="H5092" s="1092"/>
      <c r="I5092" s="1092"/>
    </row>
    <row r="5093" spans="8:9">
      <c r="H5093" s="1092"/>
      <c r="I5093" s="1092"/>
    </row>
    <row r="5094" spans="8:9">
      <c r="H5094" s="1092"/>
      <c r="I5094" s="1092"/>
    </row>
    <row r="5095" spans="8:9">
      <c r="H5095" s="1092"/>
      <c r="I5095" s="1092"/>
    </row>
    <row r="5096" spans="8:9">
      <c r="H5096" s="1092"/>
      <c r="I5096" s="1092"/>
    </row>
    <row r="5097" spans="8:9">
      <c r="H5097" s="1092"/>
      <c r="I5097" s="1092"/>
    </row>
    <row r="5098" spans="8:9">
      <c r="H5098" s="1092"/>
      <c r="I5098" s="1092"/>
    </row>
    <row r="5099" spans="8:9">
      <c r="H5099" s="1092"/>
      <c r="I5099" s="1092"/>
    </row>
    <row r="5100" spans="8:9">
      <c r="H5100" s="1092"/>
      <c r="I5100" s="1092"/>
    </row>
    <row r="5101" spans="8:9">
      <c r="H5101" s="1092"/>
      <c r="I5101" s="1092"/>
    </row>
    <row r="5102" spans="8:9">
      <c r="H5102" s="1092"/>
      <c r="I5102" s="1092"/>
    </row>
    <row r="5103" spans="8:9">
      <c r="H5103" s="1092"/>
      <c r="I5103" s="1092"/>
    </row>
    <row r="5104" spans="8:9">
      <c r="H5104" s="1092"/>
      <c r="I5104" s="1092"/>
    </row>
    <row r="5105" spans="8:9">
      <c r="H5105" s="1092"/>
      <c r="I5105" s="1092"/>
    </row>
    <row r="5106" spans="8:9">
      <c r="H5106" s="1092"/>
      <c r="I5106" s="1092"/>
    </row>
    <row r="5107" spans="8:9">
      <c r="H5107" s="1092"/>
      <c r="I5107" s="1092"/>
    </row>
    <row r="5108" spans="8:9">
      <c r="H5108" s="1092"/>
      <c r="I5108" s="1092"/>
    </row>
    <row r="5109" spans="8:9">
      <c r="H5109" s="1092"/>
      <c r="I5109" s="1092"/>
    </row>
    <row r="5110" spans="8:9">
      <c r="H5110" s="1092"/>
      <c r="I5110" s="1092"/>
    </row>
    <row r="5111" spans="8:9">
      <c r="H5111" s="1092"/>
      <c r="I5111" s="1092"/>
    </row>
    <row r="5112" spans="8:9">
      <c r="H5112" s="1092"/>
      <c r="I5112" s="1092"/>
    </row>
    <row r="5113" spans="8:9">
      <c r="H5113" s="1092"/>
      <c r="I5113" s="1092"/>
    </row>
    <row r="5114" spans="8:9">
      <c r="H5114" s="1092"/>
      <c r="I5114" s="1092"/>
    </row>
    <row r="5115" spans="8:9">
      <c r="H5115" s="1092"/>
      <c r="I5115" s="1092"/>
    </row>
    <row r="5116" spans="8:9">
      <c r="H5116" s="1092"/>
      <c r="I5116" s="1092"/>
    </row>
    <row r="5117" spans="8:9">
      <c r="H5117" s="1092"/>
      <c r="I5117" s="1092"/>
    </row>
    <row r="5118" spans="8:9">
      <c r="H5118" s="1092"/>
      <c r="I5118" s="1092"/>
    </row>
    <row r="5119" spans="8:9">
      <c r="H5119" s="1092"/>
      <c r="I5119" s="1092"/>
    </row>
    <row r="5120" spans="8:9">
      <c r="H5120" s="1092"/>
      <c r="I5120" s="1092"/>
    </row>
    <row r="5121" spans="8:9">
      <c r="H5121" s="1092"/>
      <c r="I5121" s="1092"/>
    </row>
    <row r="5122" spans="8:9">
      <c r="H5122" s="1092"/>
      <c r="I5122" s="1092"/>
    </row>
    <row r="5123" spans="8:9">
      <c r="H5123" s="1092"/>
      <c r="I5123" s="1092"/>
    </row>
    <row r="5124" spans="8:9">
      <c r="H5124" s="1092"/>
      <c r="I5124" s="1092"/>
    </row>
    <row r="5125" spans="8:9">
      <c r="H5125" s="1092"/>
      <c r="I5125" s="1092"/>
    </row>
    <row r="5126" spans="8:9">
      <c r="H5126" s="1092"/>
      <c r="I5126" s="1092"/>
    </row>
    <row r="5127" spans="8:9">
      <c r="H5127" s="1092"/>
      <c r="I5127" s="1092"/>
    </row>
    <row r="5128" spans="8:9">
      <c r="H5128" s="1092"/>
      <c r="I5128" s="1092"/>
    </row>
    <row r="5129" spans="8:9">
      <c r="H5129" s="1092"/>
      <c r="I5129" s="1092"/>
    </row>
    <row r="5130" spans="8:9">
      <c r="H5130" s="1092"/>
      <c r="I5130" s="1092"/>
    </row>
    <row r="5131" spans="8:9">
      <c r="H5131" s="1092"/>
      <c r="I5131" s="1092"/>
    </row>
    <row r="5132" spans="8:9">
      <c r="H5132" s="1092"/>
      <c r="I5132" s="1092"/>
    </row>
    <row r="5133" spans="8:9">
      <c r="H5133" s="1092"/>
      <c r="I5133" s="1092"/>
    </row>
    <row r="5134" spans="8:9">
      <c r="H5134" s="1092"/>
      <c r="I5134" s="1092"/>
    </row>
    <row r="5135" spans="8:9">
      <c r="H5135" s="1092"/>
      <c r="I5135" s="1092"/>
    </row>
    <row r="5136" spans="8:9">
      <c r="H5136" s="1092"/>
      <c r="I5136" s="1092"/>
    </row>
    <row r="5137" spans="8:9">
      <c r="H5137" s="1092"/>
      <c r="I5137" s="1092"/>
    </row>
    <row r="5138" spans="8:9">
      <c r="H5138" s="1092"/>
      <c r="I5138" s="1092"/>
    </row>
    <row r="5139" spans="8:9">
      <c r="H5139" s="1092"/>
      <c r="I5139" s="1092"/>
    </row>
    <row r="5140" spans="8:9">
      <c r="H5140" s="1092"/>
      <c r="I5140" s="1092"/>
    </row>
    <row r="5141" spans="8:9">
      <c r="H5141" s="1092"/>
      <c r="I5141" s="1092"/>
    </row>
    <row r="5142" spans="8:9">
      <c r="H5142" s="1092"/>
      <c r="I5142" s="1092"/>
    </row>
    <row r="5143" spans="8:9">
      <c r="H5143" s="1092"/>
      <c r="I5143" s="1092"/>
    </row>
    <row r="5144" spans="8:9">
      <c r="H5144" s="1092"/>
      <c r="I5144" s="1092"/>
    </row>
    <row r="5145" spans="8:9">
      <c r="H5145" s="1092"/>
      <c r="I5145" s="1092"/>
    </row>
    <row r="5146" spans="8:9">
      <c r="H5146" s="1092"/>
      <c r="I5146" s="1092"/>
    </row>
    <row r="5147" spans="8:9">
      <c r="H5147" s="1092"/>
      <c r="I5147" s="1092"/>
    </row>
    <row r="5148" spans="8:9">
      <c r="H5148" s="1092"/>
      <c r="I5148" s="1092"/>
    </row>
    <row r="5149" spans="8:9">
      <c r="H5149" s="1092"/>
      <c r="I5149" s="1092"/>
    </row>
    <row r="5150" spans="8:9">
      <c r="H5150" s="1092"/>
      <c r="I5150" s="1092"/>
    </row>
    <row r="5151" spans="8:9">
      <c r="H5151" s="1092"/>
      <c r="I5151" s="1092"/>
    </row>
    <row r="5152" spans="8:9">
      <c r="H5152" s="1092"/>
      <c r="I5152" s="1092"/>
    </row>
    <row r="5153" spans="8:9">
      <c r="H5153" s="1092"/>
      <c r="I5153" s="1092"/>
    </row>
    <row r="5154" spans="8:9">
      <c r="H5154" s="1092"/>
      <c r="I5154" s="1092"/>
    </row>
    <row r="5155" spans="8:9">
      <c r="H5155" s="1092"/>
      <c r="I5155" s="1092"/>
    </row>
    <row r="5156" spans="8:9">
      <c r="H5156" s="1092"/>
      <c r="I5156" s="1092"/>
    </row>
    <row r="5157" spans="8:9">
      <c r="H5157" s="1092"/>
      <c r="I5157" s="1092"/>
    </row>
    <row r="5158" spans="8:9">
      <c r="H5158" s="1092"/>
      <c r="I5158" s="1092"/>
    </row>
    <row r="5159" spans="8:9">
      <c r="H5159" s="1092"/>
      <c r="I5159" s="1092"/>
    </row>
    <row r="5160" spans="8:9">
      <c r="H5160" s="1092"/>
      <c r="I5160" s="1092"/>
    </row>
    <row r="5161" spans="8:9">
      <c r="H5161" s="1092"/>
      <c r="I5161" s="1092"/>
    </row>
    <row r="5162" spans="8:9">
      <c r="H5162" s="1092"/>
      <c r="I5162" s="1092"/>
    </row>
    <row r="5163" spans="8:9">
      <c r="H5163" s="1092"/>
      <c r="I5163" s="1092"/>
    </row>
    <row r="5164" spans="8:9">
      <c r="H5164" s="1092"/>
      <c r="I5164" s="1092"/>
    </row>
    <row r="5165" spans="8:9">
      <c r="H5165" s="1092"/>
      <c r="I5165" s="1092"/>
    </row>
    <row r="5166" spans="8:9">
      <c r="H5166" s="1092"/>
      <c r="I5166" s="1092"/>
    </row>
    <row r="5167" spans="8:9">
      <c r="H5167" s="1092"/>
      <c r="I5167" s="1092"/>
    </row>
    <row r="5168" spans="8:9">
      <c r="H5168" s="1092"/>
      <c r="I5168" s="1092"/>
    </row>
    <row r="5169" spans="8:9">
      <c r="H5169" s="1092"/>
      <c r="I5169" s="1092"/>
    </row>
    <row r="5170" spans="8:9">
      <c r="H5170" s="1092"/>
      <c r="I5170" s="1092"/>
    </row>
    <row r="5171" spans="8:9">
      <c r="H5171" s="1092"/>
      <c r="I5171" s="1092"/>
    </row>
    <row r="5172" spans="8:9">
      <c r="H5172" s="1092"/>
      <c r="I5172" s="1092"/>
    </row>
    <row r="5173" spans="8:9">
      <c r="H5173" s="1092"/>
      <c r="I5173" s="1092"/>
    </row>
    <row r="5174" spans="8:9">
      <c r="H5174" s="1092"/>
      <c r="I5174" s="1092"/>
    </row>
    <row r="5175" spans="8:9">
      <c r="H5175" s="1092"/>
      <c r="I5175" s="1092"/>
    </row>
    <row r="5176" spans="8:9">
      <c r="H5176" s="1092"/>
      <c r="I5176" s="1092"/>
    </row>
    <row r="5177" spans="8:9">
      <c r="H5177" s="1092"/>
      <c r="I5177" s="1092"/>
    </row>
    <row r="5178" spans="8:9">
      <c r="H5178" s="1092"/>
      <c r="I5178" s="1092"/>
    </row>
    <row r="5179" spans="8:9">
      <c r="H5179" s="1092"/>
      <c r="I5179" s="1092"/>
    </row>
    <row r="5180" spans="8:9">
      <c r="H5180" s="1092"/>
      <c r="I5180" s="1092"/>
    </row>
    <row r="5181" spans="8:9">
      <c r="H5181" s="1092"/>
      <c r="I5181" s="1092"/>
    </row>
    <row r="5182" spans="8:9">
      <c r="H5182" s="1092"/>
      <c r="I5182" s="1092"/>
    </row>
    <row r="5183" spans="8:9">
      <c r="H5183" s="1092"/>
      <c r="I5183" s="1092"/>
    </row>
    <row r="5184" spans="8:9">
      <c r="H5184" s="1092"/>
      <c r="I5184" s="1092"/>
    </row>
    <row r="5185" spans="8:9">
      <c r="H5185" s="1092"/>
      <c r="I5185" s="1092"/>
    </row>
    <row r="5186" spans="8:9">
      <c r="H5186" s="1092"/>
      <c r="I5186" s="1092"/>
    </row>
    <row r="5187" spans="8:9">
      <c r="H5187" s="1092"/>
      <c r="I5187" s="1092"/>
    </row>
    <row r="5188" spans="8:9">
      <c r="H5188" s="1092"/>
      <c r="I5188" s="1092"/>
    </row>
    <row r="5189" spans="8:9">
      <c r="H5189" s="1092"/>
      <c r="I5189" s="1092"/>
    </row>
    <row r="5190" spans="8:9">
      <c r="H5190" s="1092"/>
      <c r="I5190" s="1092"/>
    </row>
    <row r="5191" spans="8:9">
      <c r="H5191" s="1092"/>
      <c r="I5191" s="1092"/>
    </row>
    <row r="5192" spans="8:9">
      <c r="H5192" s="1092"/>
      <c r="I5192" s="1092"/>
    </row>
    <row r="5193" spans="8:9">
      <c r="H5193" s="1092"/>
      <c r="I5193" s="1092"/>
    </row>
    <row r="5194" spans="8:9">
      <c r="H5194" s="1092"/>
      <c r="I5194" s="1092"/>
    </row>
    <row r="5195" spans="8:9">
      <c r="H5195" s="1092"/>
      <c r="I5195" s="1092"/>
    </row>
    <row r="5196" spans="8:9">
      <c r="H5196" s="1092"/>
      <c r="I5196" s="1092"/>
    </row>
    <row r="5197" spans="8:9">
      <c r="H5197" s="1092"/>
      <c r="I5197" s="1092"/>
    </row>
    <row r="5198" spans="8:9">
      <c r="H5198" s="1092"/>
      <c r="I5198" s="1092"/>
    </row>
    <row r="5199" spans="8:9">
      <c r="H5199" s="1092"/>
      <c r="I5199" s="1092"/>
    </row>
    <row r="5200" spans="8:9">
      <c r="H5200" s="1092"/>
      <c r="I5200" s="1092"/>
    </row>
    <row r="5201" spans="8:9">
      <c r="H5201" s="1092"/>
      <c r="I5201" s="1092"/>
    </row>
    <row r="5202" spans="8:9">
      <c r="H5202" s="1092"/>
      <c r="I5202" s="1092"/>
    </row>
    <row r="5203" spans="8:9">
      <c r="H5203" s="1092"/>
      <c r="I5203" s="1092"/>
    </row>
    <row r="5204" spans="8:9">
      <c r="H5204" s="1092"/>
      <c r="I5204" s="1092"/>
    </row>
    <row r="5205" spans="8:9">
      <c r="H5205" s="1092"/>
      <c r="I5205" s="1092"/>
    </row>
    <row r="5206" spans="8:9">
      <c r="H5206" s="1092"/>
      <c r="I5206" s="1092"/>
    </row>
    <row r="5207" spans="8:9">
      <c r="H5207" s="1092"/>
      <c r="I5207" s="1092"/>
    </row>
    <row r="5208" spans="8:9">
      <c r="H5208" s="1092"/>
      <c r="I5208" s="1092"/>
    </row>
    <row r="5209" spans="8:9">
      <c r="H5209" s="1092"/>
      <c r="I5209" s="1092"/>
    </row>
    <row r="5210" spans="8:9">
      <c r="H5210" s="1092"/>
      <c r="I5210" s="1092"/>
    </row>
    <row r="5211" spans="8:9">
      <c r="H5211" s="1092"/>
      <c r="I5211" s="1092"/>
    </row>
    <row r="5212" spans="8:9">
      <c r="H5212" s="1092"/>
      <c r="I5212" s="1092"/>
    </row>
    <row r="5213" spans="8:9">
      <c r="H5213" s="1092"/>
      <c r="I5213" s="1092"/>
    </row>
    <row r="5214" spans="8:9">
      <c r="H5214" s="1092"/>
      <c r="I5214" s="1092"/>
    </row>
    <row r="5215" spans="8:9">
      <c r="H5215" s="1092"/>
      <c r="I5215" s="1092"/>
    </row>
    <row r="5216" spans="8:9">
      <c r="H5216" s="1092"/>
      <c r="I5216" s="1092"/>
    </row>
    <row r="5217" spans="8:9">
      <c r="H5217" s="1092"/>
      <c r="I5217" s="1092"/>
    </row>
    <row r="5218" spans="8:9">
      <c r="H5218" s="1092"/>
      <c r="I5218" s="1092"/>
    </row>
    <row r="5219" spans="8:9">
      <c r="H5219" s="1092"/>
      <c r="I5219" s="1092"/>
    </row>
    <row r="5220" spans="8:9">
      <c r="H5220" s="1092"/>
      <c r="I5220" s="1092"/>
    </row>
    <row r="5221" spans="8:9">
      <c r="H5221" s="1092"/>
      <c r="I5221" s="1092"/>
    </row>
    <row r="5222" spans="8:9">
      <c r="H5222" s="1092"/>
      <c r="I5222" s="1092"/>
    </row>
    <row r="5223" spans="8:9">
      <c r="H5223" s="1092"/>
      <c r="I5223" s="1092"/>
    </row>
    <row r="5224" spans="8:9">
      <c r="H5224" s="1092"/>
      <c r="I5224" s="1092"/>
    </row>
    <row r="5225" spans="8:9">
      <c r="H5225" s="1092"/>
      <c r="I5225" s="1092"/>
    </row>
    <row r="5226" spans="8:9">
      <c r="H5226" s="1092"/>
      <c r="I5226" s="1092"/>
    </row>
    <row r="5227" spans="8:9">
      <c r="H5227" s="1092"/>
      <c r="I5227" s="1092"/>
    </row>
    <row r="5228" spans="8:9">
      <c r="H5228" s="1092"/>
      <c r="I5228" s="1092"/>
    </row>
    <row r="5229" spans="8:9">
      <c r="H5229" s="1092"/>
      <c r="I5229" s="1092"/>
    </row>
    <row r="5230" spans="8:9">
      <c r="H5230" s="1092"/>
      <c r="I5230" s="1092"/>
    </row>
    <row r="5231" spans="8:9">
      <c r="H5231" s="1092"/>
      <c r="I5231" s="1092"/>
    </row>
    <row r="5232" spans="8:9">
      <c r="H5232" s="1092"/>
      <c r="I5232" s="1092"/>
    </row>
    <row r="5233" spans="8:9">
      <c r="H5233" s="1092"/>
      <c r="I5233" s="1092"/>
    </row>
    <row r="5234" spans="8:9">
      <c r="H5234" s="1092"/>
      <c r="I5234" s="1092"/>
    </row>
    <row r="5235" spans="8:9">
      <c r="H5235" s="1092"/>
      <c r="I5235" s="1092"/>
    </row>
    <row r="5236" spans="8:9">
      <c r="H5236" s="1092"/>
      <c r="I5236" s="1092"/>
    </row>
    <row r="5237" spans="8:9">
      <c r="H5237" s="1092"/>
      <c r="I5237" s="1092"/>
    </row>
    <row r="5238" spans="8:9">
      <c r="H5238" s="1092"/>
      <c r="I5238" s="1092"/>
    </row>
    <row r="5239" spans="8:9">
      <c r="H5239" s="1092"/>
      <c r="I5239" s="1092"/>
    </row>
    <row r="5240" spans="8:9">
      <c r="H5240" s="1092"/>
      <c r="I5240" s="1092"/>
    </row>
    <row r="5241" spans="8:9">
      <c r="H5241" s="1092"/>
      <c r="I5241" s="1092"/>
    </row>
    <row r="5242" spans="8:9">
      <c r="H5242" s="1092"/>
      <c r="I5242" s="1092"/>
    </row>
    <row r="5243" spans="8:9">
      <c r="H5243" s="1092"/>
      <c r="I5243" s="1092"/>
    </row>
    <row r="5244" spans="8:9">
      <c r="H5244" s="1092"/>
      <c r="I5244" s="1092"/>
    </row>
    <row r="5245" spans="8:9">
      <c r="H5245" s="1092"/>
      <c r="I5245" s="1092"/>
    </row>
    <row r="5246" spans="8:9">
      <c r="H5246" s="1092"/>
      <c r="I5246" s="1092"/>
    </row>
    <row r="5247" spans="8:9">
      <c r="H5247" s="1092"/>
      <c r="I5247" s="1092"/>
    </row>
    <row r="5248" spans="8:9">
      <c r="H5248" s="1092"/>
      <c r="I5248" s="1092"/>
    </row>
    <row r="5249" spans="8:9">
      <c r="H5249" s="1092"/>
      <c r="I5249" s="1092"/>
    </row>
    <row r="5250" spans="8:9">
      <c r="H5250" s="1092"/>
      <c r="I5250" s="1092"/>
    </row>
    <row r="5251" spans="8:9">
      <c r="H5251" s="1092"/>
      <c r="I5251" s="1092"/>
    </row>
    <row r="5252" spans="8:9">
      <c r="H5252" s="1092"/>
      <c r="I5252" s="1092"/>
    </row>
    <row r="5253" spans="8:9">
      <c r="H5253" s="1092"/>
      <c r="I5253" s="1092"/>
    </row>
    <row r="5254" spans="8:9">
      <c r="H5254" s="1092"/>
      <c r="I5254" s="1092"/>
    </row>
    <row r="5255" spans="8:9">
      <c r="H5255" s="1092"/>
      <c r="I5255" s="1092"/>
    </row>
    <row r="5256" spans="8:9">
      <c r="H5256" s="1092"/>
      <c r="I5256" s="1092"/>
    </row>
    <row r="5257" spans="8:9">
      <c r="H5257" s="1092"/>
      <c r="I5257" s="1092"/>
    </row>
    <row r="5258" spans="8:9">
      <c r="H5258" s="1092"/>
      <c r="I5258" s="1092"/>
    </row>
    <row r="5259" spans="8:9">
      <c r="H5259" s="1092"/>
      <c r="I5259" s="1092"/>
    </row>
    <row r="5260" spans="8:9">
      <c r="H5260" s="1092"/>
      <c r="I5260" s="1092"/>
    </row>
    <row r="5261" spans="8:9">
      <c r="H5261" s="1092"/>
      <c r="I5261" s="1092"/>
    </row>
    <row r="5262" spans="8:9">
      <c r="H5262" s="1092"/>
      <c r="I5262" s="1092"/>
    </row>
    <row r="5263" spans="8:9">
      <c r="H5263" s="1092"/>
      <c r="I5263" s="1092"/>
    </row>
    <row r="5264" spans="8:9">
      <c r="H5264" s="1092"/>
      <c r="I5264" s="1092"/>
    </row>
    <row r="5265" spans="8:9">
      <c r="H5265" s="1092"/>
      <c r="I5265" s="1092"/>
    </row>
    <row r="5266" spans="8:9">
      <c r="H5266" s="1092"/>
      <c r="I5266" s="1092"/>
    </row>
    <row r="5267" spans="8:9">
      <c r="H5267" s="1092"/>
      <c r="I5267" s="1092"/>
    </row>
    <row r="5268" spans="8:9">
      <c r="H5268" s="1092"/>
      <c r="I5268" s="1092"/>
    </row>
    <row r="5269" spans="8:9">
      <c r="H5269" s="1092"/>
      <c r="I5269" s="1092"/>
    </row>
    <row r="5270" spans="8:9">
      <c r="H5270" s="1092"/>
      <c r="I5270" s="1092"/>
    </row>
    <row r="5271" spans="8:9">
      <c r="H5271" s="1092"/>
      <c r="I5271" s="1092"/>
    </row>
    <row r="5272" spans="8:9">
      <c r="H5272" s="1092"/>
      <c r="I5272" s="1092"/>
    </row>
    <row r="5273" spans="8:9">
      <c r="H5273" s="1092"/>
      <c r="I5273" s="1092"/>
    </row>
    <row r="5274" spans="8:9">
      <c r="H5274" s="1092"/>
      <c r="I5274" s="1092"/>
    </row>
    <row r="5275" spans="8:9">
      <c r="H5275" s="1092"/>
      <c r="I5275" s="1092"/>
    </row>
    <row r="5276" spans="8:9">
      <c r="H5276" s="1092"/>
      <c r="I5276" s="1092"/>
    </row>
    <row r="5277" spans="8:9">
      <c r="H5277" s="1092"/>
      <c r="I5277" s="1092"/>
    </row>
    <row r="5278" spans="8:9">
      <c r="H5278" s="1092"/>
      <c r="I5278" s="1092"/>
    </row>
    <row r="5279" spans="8:9">
      <c r="H5279" s="1092"/>
      <c r="I5279" s="1092"/>
    </row>
    <row r="5280" spans="8:9">
      <c r="H5280" s="1092"/>
      <c r="I5280" s="1092"/>
    </row>
    <row r="5281" spans="8:9">
      <c r="H5281" s="1092"/>
      <c r="I5281" s="1092"/>
    </row>
    <row r="5282" spans="8:9">
      <c r="H5282" s="1092"/>
      <c r="I5282" s="1092"/>
    </row>
    <row r="5283" spans="8:9">
      <c r="H5283" s="1092"/>
      <c r="I5283" s="1092"/>
    </row>
    <row r="5284" spans="8:9">
      <c r="H5284" s="1092"/>
      <c r="I5284" s="1092"/>
    </row>
    <row r="5285" spans="8:9">
      <c r="H5285" s="1092"/>
      <c r="I5285" s="1092"/>
    </row>
    <row r="5286" spans="8:9">
      <c r="H5286" s="1092"/>
      <c r="I5286" s="1092"/>
    </row>
    <row r="5287" spans="8:9">
      <c r="H5287" s="1092"/>
      <c r="I5287" s="1092"/>
    </row>
    <row r="5288" spans="8:9">
      <c r="H5288" s="1092"/>
      <c r="I5288" s="1092"/>
    </row>
    <row r="5289" spans="8:9">
      <c r="H5289" s="1092"/>
      <c r="I5289" s="1092"/>
    </row>
    <row r="5290" spans="8:9">
      <c r="H5290" s="1092"/>
      <c r="I5290" s="1092"/>
    </row>
    <row r="5291" spans="8:9">
      <c r="H5291" s="1092"/>
      <c r="I5291" s="1092"/>
    </row>
    <row r="5292" spans="8:9">
      <c r="H5292" s="1092"/>
      <c r="I5292" s="1092"/>
    </row>
    <row r="5293" spans="8:9">
      <c r="H5293" s="1092"/>
      <c r="I5293" s="1092"/>
    </row>
    <row r="5294" spans="8:9">
      <c r="H5294" s="1092"/>
      <c r="I5294" s="1092"/>
    </row>
    <row r="5295" spans="8:9">
      <c r="H5295" s="1092"/>
      <c r="I5295" s="1092"/>
    </row>
    <row r="5296" spans="8:9">
      <c r="H5296" s="1092"/>
      <c r="I5296" s="1092"/>
    </row>
    <row r="5297" spans="8:9">
      <c r="H5297" s="1092"/>
      <c r="I5297" s="1092"/>
    </row>
    <row r="5298" spans="8:9">
      <c r="H5298" s="1092"/>
      <c r="I5298" s="1092"/>
    </row>
    <row r="5299" spans="8:9">
      <c r="H5299" s="1092"/>
      <c r="I5299" s="1092"/>
    </row>
    <row r="5300" spans="8:9">
      <c r="H5300" s="1092"/>
      <c r="I5300" s="1092"/>
    </row>
    <row r="5301" spans="8:9">
      <c r="H5301" s="1092"/>
      <c r="I5301" s="1092"/>
    </row>
    <row r="5302" spans="8:9">
      <c r="H5302" s="1092"/>
      <c r="I5302" s="1092"/>
    </row>
    <row r="5303" spans="8:9">
      <c r="H5303" s="1092"/>
      <c r="I5303" s="1092"/>
    </row>
    <row r="5304" spans="8:9">
      <c r="H5304" s="1092"/>
      <c r="I5304" s="1092"/>
    </row>
    <row r="5305" spans="8:9">
      <c r="H5305" s="1092"/>
      <c r="I5305" s="1092"/>
    </row>
    <row r="5306" spans="8:9">
      <c r="H5306" s="1092"/>
      <c r="I5306" s="1092"/>
    </row>
    <row r="5307" spans="8:9">
      <c r="H5307" s="1092"/>
      <c r="I5307" s="1092"/>
    </row>
    <row r="5308" spans="8:9">
      <c r="H5308" s="1092"/>
      <c r="I5308" s="1092"/>
    </row>
    <row r="5309" spans="8:9">
      <c r="H5309" s="1092"/>
      <c r="I5309" s="1092"/>
    </row>
    <row r="5310" spans="8:9">
      <c r="H5310" s="1092"/>
      <c r="I5310" s="1092"/>
    </row>
    <row r="5311" spans="8:9">
      <c r="H5311" s="1092"/>
      <c r="I5311" s="1092"/>
    </row>
    <row r="5312" spans="8:9">
      <c r="H5312" s="1092"/>
      <c r="I5312" s="1092"/>
    </row>
    <row r="5313" spans="8:9">
      <c r="H5313" s="1092"/>
      <c r="I5313" s="1092"/>
    </row>
    <row r="5314" spans="8:9">
      <c r="H5314" s="1092"/>
      <c r="I5314" s="1092"/>
    </row>
    <row r="5315" spans="8:9">
      <c r="H5315" s="1092"/>
      <c r="I5315" s="1092"/>
    </row>
    <row r="5316" spans="8:9">
      <c r="H5316" s="1092"/>
      <c r="I5316" s="1092"/>
    </row>
    <row r="5317" spans="8:9">
      <c r="H5317" s="1092"/>
      <c r="I5317" s="1092"/>
    </row>
    <row r="5318" spans="8:9">
      <c r="H5318" s="1092"/>
      <c r="I5318" s="1092"/>
    </row>
    <row r="5319" spans="8:9">
      <c r="H5319" s="1092"/>
      <c r="I5319" s="1092"/>
    </row>
    <row r="5320" spans="8:9">
      <c r="H5320" s="1092"/>
      <c r="I5320" s="1092"/>
    </row>
    <row r="5321" spans="8:9">
      <c r="H5321" s="1092"/>
      <c r="I5321" s="1092"/>
    </row>
    <row r="5322" spans="8:9">
      <c r="H5322" s="1092"/>
      <c r="I5322" s="1092"/>
    </row>
    <row r="5323" spans="8:9">
      <c r="H5323" s="1092"/>
      <c r="I5323" s="1092"/>
    </row>
    <row r="5324" spans="8:9">
      <c r="H5324" s="1092"/>
      <c r="I5324" s="1092"/>
    </row>
    <row r="5325" spans="8:9">
      <c r="H5325" s="1092"/>
      <c r="I5325" s="1092"/>
    </row>
    <row r="5326" spans="8:9">
      <c r="H5326" s="1092"/>
      <c r="I5326" s="1092"/>
    </row>
    <row r="5327" spans="8:9">
      <c r="H5327" s="1092"/>
      <c r="I5327" s="1092"/>
    </row>
    <row r="5328" spans="8:9">
      <c r="H5328" s="1092"/>
      <c r="I5328" s="1092"/>
    </row>
    <row r="5329" spans="8:9">
      <c r="H5329" s="1092"/>
      <c r="I5329" s="1092"/>
    </row>
    <row r="5330" spans="8:9">
      <c r="H5330" s="1092"/>
      <c r="I5330" s="1092"/>
    </row>
    <row r="5331" spans="8:9">
      <c r="H5331" s="1092"/>
      <c r="I5331" s="1092"/>
    </row>
    <row r="5332" spans="8:9">
      <c r="H5332" s="1092"/>
      <c r="I5332" s="1092"/>
    </row>
    <row r="5333" spans="8:9">
      <c r="H5333" s="1092"/>
      <c r="I5333" s="1092"/>
    </row>
    <row r="5334" spans="8:9">
      <c r="H5334" s="1092"/>
      <c r="I5334" s="1092"/>
    </row>
    <row r="5335" spans="8:9">
      <c r="H5335" s="1092"/>
      <c r="I5335" s="1092"/>
    </row>
    <row r="5336" spans="8:9">
      <c r="H5336" s="1092"/>
      <c r="I5336" s="1092"/>
    </row>
    <row r="5337" spans="8:9">
      <c r="H5337" s="1092"/>
      <c r="I5337" s="1092"/>
    </row>
    <row r="5338" spans="8:9">
      <c r="H5338" s="1092"/>
      <c r="I5338" s="1092"/>
    </row>
    <row r="5339" spans="8:9">
      <c r="H5339" s="1092"/>
      <c r="I5339" s="1092"/>
    </row>
    <row r="5340" spans="8:9">
      <c r="H5340" s="1092"/>
      <c r="I5340" s="1092"/>
    </row>
    <row r="5341" spans="8:9">
      <c r="H5341" s="1092"/>
      <c r="I5341" s="1092"/>
    </row>
    <row r="5342" spans="8:9">
      <c r="H5342" s="1092"/>
      <c r="I5342" s="1092"/>
    </row>
    <row r="5343" spans="8:9">
      <c r="H5343" s="1092"/>
      <c r="I5343" s="1092"/>
    </row>
    <row r="5344" spans="8:9">
      <c r="H5344" s="1092"/>
      <c r="I5344" s="1092"/>
    </row>
    <row r="5345" spans="8:9">
      <c r="H5345" s="1092"/>
      <c r="I5345" s="1092"/>
    </row>
    <row r="5346" spans="8:9">
      <c r="H5346" s="1092"/>
      <c r="I5346" s="1092"/>
    </row>
    <row r="5347" spans="8:9">
      <c r="H5347" s="1092"/>
      <c r="I5347" s="1092"/>
    </row>
    <row r="5348" spans="8:9">
      <c r="H5348" s="1092"/>
      <c r="I5348" s="1092"/>
    </row>
    <row r="5349" spans="8:9">
      <c r="H5349" s="1092"/>
      <c r="I5349" s="1092"/>
    </row>
    <row r="5350" spans="8:9">
      <c r="H5350" s="1092"/>
      <c r="I5350" s="1092"/>
    </row>
    <row r="5351" spans="8:9">
      <c r="H5351" s="1092"/>
      <c r="I5351" s="1092"/>
    </row>
    <row r="5352" spans="8:9">
      <c r="H5352" s="1092"/>
      <c r="I5352" s="1092"/>
    </row>
    <row r="5353" spans="8:9">
      <c r="H5353" s="1092"/>
      <c r="I5353" s="1092"/>
    </row>
    <row r="5354" spans="8:9">
      <c r="H5354" s="1092"/>
      <c r="I5354" s="1092"/>
    </row>
    <row r="5355" spans="8:9">
      <c r="H5355" s="1092"/>
      <c r="I5355" s="1092"/>
    </row>
    <row r="5356" spans="8:9">
      <c r="H5356" s="1092"/>
      <c r="I5356" s="1092"/>
    </row>
    <row r="5357" spans="8:9">
      <c r="H5357" s="1092"/>
      <c r="I5357" s="1092"/>
    </row>
    <row r="5358" spans="8:9">
      <c r="H5358" s="1092"/>
      <c r="I5358" s="1092"/>
    </row>
    <row r="5359" spans="8:9">
      <c r="H5359" s="1092"/>
      <c r="I5359" s="1092"/>
    </row>
    <row r="5360" spans="8:9">
      <c r="H5360" s="1092"/>
      <c r="I5360" s="1092"/>
    </row>
    <row r="5361" spans="8:9">
      <c r="H5361" s="1092"/>
      <c r="I5361" s="1092"/>
    </row>
    <row r="5362" spans="8:9">
      <c r="H5362" s="1092"/>
      <c r="I5362" s="1092"/>
    </row>
    <row r="5363" spans="8:9">
      <c r="H5363" s="1092"/>
      <c r="I5363" s="1092"/>
    </row>
    <row r="5364" spans="8:9">
      <c r="H5364" s="1092"/>
      <c r="I5364" s="1092"/>
    </row>
    <row r="5365" spans="8:9">
      <c r="H5365" s="1092"/>
      <c r="I5365" s="1092"/>
    </row>
    <row r="5366" spans="8:9">
      <c r="H5366" s="1092"/>
      <c r="I5366" s="1092"/>
    </row>
    <row r="5367" spans="8:9">
      <c r="H5367" s="1092"/>
      <c r="I5367" s="1092"/>
    </row>
    <row r="5368" spans="8:9">
      <c r="H5368" s="1092"/>
      <c r="I5368" s="1092"/>
    </row>
    <row r="5369" spans="8:9">
      <c r="H5369" s="1092"/>
      <c r="I5369" s="1092"/>
    </row>
    <row r="5370" spans="8:9">
      <c r="H5370" s="1092"/>
      <c r="I5370" s="1092"/>
    </row>
    <row r="5371" spans="8:9">
      <c r="H5371" s="1092"/>
      <c r="I5371" s="1092"/>
    </row>
    <row r="5372" spans="8:9">
      <c r="H5372" s="1092"/>
      <c r="I5372" s="1092"/>
    </row>
    <row r="5373" spans="8:9">
      <c r="H5373" s="1092"/>
      <c r="I5373" s="1092"/>
    </row>
    <row r="5374" spans="8:9">
      <c r="H5374" s="1092"/>
      <c r="I5374" s="1092"/>
    </row>
    <row r="5375" spans="8:9">
      <c r="H5375" s="1092"/>
      <c r="I5375" s="1092"/>
    </row>
    <row r="5376" spans="8:9">
      <c r="H5376" s="1092"/>
      <c r="I5376" s="1092"/>
    </row>
    <row r="5377" spans="8:9">
      <c r="H5377" s="1092"/>
      <c r="I5377" s="1092"/>
    </row>
    <row r="5378" spans="8:9">
      <c r="H5378" s="1092"/>
      <c r="I5378" s="1092"/>
    </row>
    <row r="5379" spans="8:9">
      <c r="H5379" s="1092"/>
      <c r="I5379" s="1092"/>
    </row>
    <row r="5380" spans="8:9">
      <c r="H5380" s="1092"/>
      <c r="I5380" s="1092"/>
    </row>
    <row r="5381" spans="8:9">
      <c r="H5381" s="1092"/>
      <c r="I5381" s="1092"/>
    </row>
    <row r="5382" spans="8:9">
      <c r="H5382" s="1092"/>
      <c r="I5382" s="1092"/>
    </row>
    <row r="5383" spans="8:9">
      <c r="H5383" s="1092"/>
      <c r="I5383" s="1092"/>
    </row>
    <row r="5384" spans="8:9">
      <c r="H5384" s="1092"/>
      <c r="I5384" s="1092"/>
    </row>
    <row r="5385" spans="8:9">
      <c r="H5385" s="1092"/>
      <c r="I5385" s="1092"/>
    </row>
    <row r="5386" spans="8:9">
      <c r="H5386" s="1092"/>
      <c r="I5386" s="1092"/>
    </row>
    <row r="5387" spans="8:9">
      <c r="H5387" s="1092"/>
      <c r="I5387" s="1092"/>
    </row>
    <row r="5388" spans="8:9">
      <c r="H5388" s="1092"/>
      <c r="I5388" s="1092"/>
    </row>
    <row r="5389" spans="8:9">
      <c r="H5389" s="1092"/>
      <c r="I5389" s="1092"/>
    </row>
    <row r="5390" spans="8:9">
      <c r="H5390" s="1092"/>
      <c r="I5390" s="1092"/>
    </row>
    <row r="5391" spans="8:9">
      <c r="H5391" s="1092"/>
      <c r="I5391" s="1092"/>
    </row>
    <row r="5392" spans="8:9">
      <c r="H5392" s="1092"/>
      <c r="I5392" s="1092"/>
    </row>
    <row r="5393" spans="8:9">
      <c r="H5393" s="1092"/>
      <c r="I5393" s="1092"/>
    </row>
    <row r="5394" spans="8:9">
      <c r="H5394" s="1092"/>
      <c r="I5394" s="1092"/>
    </row>
    <row r="5395" spans="8:9">
      <c r="H5395" s="1092"/>
      <c r="I5395" s="1092"/>
    </row>
    <row r="5396" spans="8:9">
      <c r="H5396" s="1092"/>
      <c r="I5396" s="1092"/>
    </row>
    <row r="5397" spans="8:9">
      <c r="H5397" s="1092"/>
      <c r="I5397" s="1092"/>
    </row>
    <row r="5398" spans="8:9">
      <c r="H5398" s="1092"/>
      <c r="I5398" s="1092"/>
    </row>
    <row r="5399" spans="8:9">
      <c r="H5399" s="1092"/>
      <c r="I5399" s="1092"/>
    </row>
    <row r="5400" spans="8:9">
      <c r="H5400" s="1092"/>
      <c r="I5400" s="1092"/>
    </row>
    <row r="5401" spans="8:9">
      <c r="H5401" s="1092"/>
      <c r="I5401" s="1092"/>
    </row>
    <row r="5402" spans="8:9">
      <c r="H5402" s="1092"/>
      <c r="I5402" s="1092"/>
    </row>
    <row r="5403" spans="8:9">
      <c r="H5403" s="1092"/>
      <c r="I5403" s="1092"/>
    </row>
    <row r="5404" spans="8:9">
      <c r="H5404" s="1092"/>
      <c r="I5404" s="1092"/>
    </row>
    <row r="5405" spans="8:9">
      <c r="H5405" s="1092"/>
      <c r="I5405" s="1092"/>
    </row>
    <row r="5406" spans="8:9">
      <c r="H5406" s="1092"/>
      <c r="I5406" s="1092"/>
    </row>
    <row r="5407" spans="8:9">
      <c r="H5407" s="1092"/>
      <c r="I5407" s="1092"/>
    </row>
    <row r="5408" spans="8:9">
      <c r="H5408" s="1092"/>
      <c r="I5408" s="1092"/>
    </row>
    <row r="5409" spans="8:9">
      <c r="H5409" s="1092"/>
      <c r="I5409" s="1092"/>
    </row>
    <row r="5410" spans="8:9">
      <c r="H5410" s="1092"/>
      <c r="I5410" s="1092"/>
    </row>
    <row r="5411" spans="8:9">
      <c r="H5411" s="1092"/>
      <c r="I5411" s="1092"/>
    </row>
    <row r="5412" spans="8:9">
      <c r="H5412" s="1092"/>
      <c r="I5412" s="1092"/>
    </row>
    <row r="5413" spans="8:9">
      <c r="H5413" s="1092"/>
      <c r="I5413" s="1092"/>
    </row>
    <row r="5414" spans="8:9">
      <c r="H5414" s="1092"/>
      <c r="I5414" s="1092"/>
    </row>
    <row r="5415" spans="8:9">
      <c r="H5415" s="1092"/>
      <c r="I5415" s="1092"/>
    </row>
    <row r="5416" spans="8:9">
      <c r="H5416" s="1092"/>
      <c r="I5416" s="1092"/>
    </row>
    <row r="5417" spans="8:9">
      <c r="H5417" s="1092"/>
      <c r="I5417" s="1092"/>
    </row>
    <row r="5418" spans="8:9">
      <c r="H5418" s="1092"/>
      <c r="I5418" s="1092"/>
    </row>
    <row r="5419" spans="8:9">
      <c r="H5419" s="1092"/>
      <c r="I5419" s="1092"/>
    </row>
    <row r="5420" spans="8:9">
      <c r="H5420" s="1092"/>
      <c r="I5420" s="1092"/>
    </row>
    <row r="5421" spans="8:9">
      <c r="H5421" s="1092"/>
      <c r="I5421" s="1092"/>
    </row>
    <row r="5422" spans="8:9">
      <c r="H5422" s="1092"/>
      <c r="I5422" s="1092"/>
    </row>
    <row r="5423" spans="8:9">
      <c r="H5423" s="1092"/>
      <c r="I5423" s="1092"/>
    </row>
    <row r="5424" spans="8:9">
      <c r="H5424" s="1092"/>
      <c r="I5424" s="1092"/>
    </row>
    <row r="5425" spans="8:9">
      <c r="H5425" s="1092"/>
      <c r="I5425" s="1092"/>
    </row>
    <row r="5426" spans="8:9">
      <c r="H5426" s="1092"/>
      <c r="I5426" s="1092"/>
    </row>
    <row r="5427" spans="8:9">
      <c r="H5427" s="1092"/>
      <c r="I5427" s="1092"/>
    </row>
    <row r="5428" spans="8:9">
      <c r="H5428" s="1092"/>
      <c r="I5428" s="1092"/>
    </row>
    <row r="5429" spans="8:9">
      <c r="H5429" s="1092"/>
      <c r="I5429" s="1092"/>
    </row>
    <row r="5430" spans="8:9">
      <c r="H5430" s="1092"/>
      <c r="I5430" s="1092"/>
    </row>
    <row r="5431" spans="8:9">
      <c r="H5431" s="1092"/>
      <c r="I5431" s="1092"/>
    </row>
    <row r="5432" spans="8:9">
      <c r="H5432" s="1092"/>
      <c r="I5432" s="1092"/>
    </row>
    <row r="5433" spans="8:9">
      <c r="H5433" s="1092"/>
      <c r="I5433" s="1092"/>
    </row>
    <row r="5434" spans="8:9">
      <c r="H5434" s="1092"/>
      <c r="I5434" s="1092"/>
    </row>
    <row r="5435" spans="8:9">
      <c r="H5435" s="1092"/>
      <c r="I5435" s="1092"/>
    </row>
    <row r="5436" spans="8:9">
      <c r="H5436" s="1092"/>
      <c r="I5436" s="1092"/>
    </row>
    <row r="5437" spans="8:9">
      <c r="H5437" s="1092"/>
      <c r="I5437" s="1092"/>
    </row>
    <row r="5438" spans="8:9">
      <c r="H5438" s="1092"/>
      <c r="I5438" s="1092"/>
    </row>
    <row r="5439" spans="8:9">
      <c r="H5439" s="1092"/>
      <c r="I5439" s="1092"/>
    </row>
    <row r="5440" spans="8:9">
      <c r="H5440" s="1092"/>
      <c r="I5440" s="1092"/>
    </row>
    <row r="5441" spans="8:9">
      <c r="H5441" s="1092"/>
      <c r="I5441" s="1092"/>
    </row>
    <row r="5442" spans="8:9">
      <c r="H5442" s="1092"/>
      <c r="I5442" s="1092"/>
    </row>
    <row r="5443" spans="8:9">
      <c r="H5443" s="1092"/>
      <c r="I5443" s="1092"/>
    </row>
    <row r="5444" spans="8:9">
      <c r="H5444" s="1092"/>
      <c r="I5444" s="1092"/>
    </row>
    <row r="5445" spans="8:9">
      <c r="H5445" s="1092"/>
      <c r="I5445" s="1092"/>
    </row>
    <row r="5446" spans="8:9">
      <c r="H5446" s="1092"/>
      <c r="I5446" s="1092"/>
    </row>
    <row r="5447" spans="8:9">
      <c r="H5447" s="1092"/>
      <c r="I5447" s="1092"/>
    </row>
    <row r="5448" spans="8:9">
      <c r="H5448" s="1092"/>
      <c r="I5448" s="1092"/>
    </row>
    <row r="5449" spans="8:9">
      <c r="H5449" s="1092"/>
      <c r="I5449" s="1092"/>
    </row>
    <row r="5450" spans="8:9">
      <c r="H5450" s="1092"/>
      <c r="I5450" s="1092"/>
    </row>
    <row r="5451" spans="8:9">
      <c r="H5451" s="1092"/>
      <c r="I5451" s="1092"/>
    </row>
    <row r="5452" spans="8:9">
      <c r="H5452" s="1092"/>
      <c r="I5452" s="1092"/>
    </row>
    <row r="5453" spans="8:9">
      <c r="H5453" s="1092"/>
      <c r="I5453" s="1092"/>
    </row>
    <row r="5454" spans="8:9">
      <c r="H5454" s="1092"/>
      <c r="I5454" s="1092"/>
    </row>
    <row r="5455" spans="8:9">
      <c r="H5455" s="1092"/>
      <c r="I5455" s="1092"/>
    </row>
    <row r="5456" spans="8:9">
      <c r="H5456" s="1092"/>
      <c r="I5456" s="1092"/>
    </row>
    <row r="5457" spans="8:9">
      <c r="H5457" s="1092"/>
      <c r="I5457" s="1092"/>
    </row>
    <row r="5458" spans="8:9">
      <c r="H5458" s="1092"/>
      <c r="I5458" s="1092"/>
    </row>
    <row r="5459" spans="8:9">
      <c r="H5459" s="1092"/>
      <c r="I5459" s="1092"/>
    </row>
    <row r="5460" spans="8:9">
      <c r="H5460" s="1092"/>
      <c r="I5460" s="1092"/>
    </row>
    <row r="5461" spans="8:9">
      <c r="H5461" s="1092"/>
      <c r="I5461" s="1092"/>
    </row>
    <row r="5462" spans="8:9">
      <c r="H5462" s="1092"/>
      <c r="I5462" s="1092"/>
    </row>
    <row r="5463" spans="8:9">
      <c r="H5463" s="1092"/>
      <c r="I5463" s="1092"/>
    </row>
    <row r="5464" spans="8:9">
      <c r="H5464" s="1092"/>
      <c r="I5464" s="1092"/>
    </row>
    <row r="5465" spans="8:9">
      <c r="H5465" s="1092"/>
      <c r="I5465" s="1092"/>
    </row>
    <row r="5466" spans="8:9">
      <c r="H5466" s="1092"/>
      <c r="I5466" s="1092"/>
    </row>
    <row r="5467" spans="8:9">
      <c r="H5467" s="1092"/>
      <c r="I5467" s="1092"/>
    </row>
    <row r="5468" spans="8:9">
      <c r="H5468" s="1092"/>
      <c r="I5468" s="1092"/>
    </row>
    <row r="5469" spans="8:9">
      <c r="H5469" s="1092"/>
      <c r="I5469" s="1092"/>
    </row>
    <row r="5470" spans="8:9">
      <c r="H5470" s="1092"/>
      <c r="I5470" s="1092"/>
    </row>
    <row r="5471" spans="8:9">
      <c r="H5471" s="1092"/>
      <c r="I5471" s="1092"/>
    </row>
    <row r="5472" spans="8:9">
      <c r="H5472" s="1092"/>
      <c r="I5472" s="1092"/>
    </row>
    <row r="5473" spans="8:9">
      <c r="H5473" s="1092"/>
      <c r="I5473" s="1092"/>
    </row>
    <row r="5474" spans="8:9">
      <c r="H5474" s="1092"/>
      <c r="I5474" s="1092"/>
    </row>
    <row r="5475" spans="8:9">
      <c r="H5475" s="1092"/>
      <c r="I5475" s="1092"/>
    </row>
    <row r="5476" spans="8:9">
      <c r="H5476" s="1092"/>
      <c r="I5476" s="1092"/>
    </row>
    <row r="5477" spans="8:9">
      <c r="H5477" s="1092"/>
      <c r="I5477" s="1092"/>
    </row>
    <row r="5478" spans="8:9">
      <c r="H5478" s="1092"/>
      <c r="I5478" s="1092"/>
    </row>
    <row r="5479" spans="8:9">
      <c r="H5479" s="1092"/>
      <c r="I5479" s="1092"/>
    </row>
    <row r="5480" spans="8:9">
      <c r="H5480" s="1092"/>
      <c r="I5480" s="1092"/>
    </row>
    <row r="5481" spans="8:9">
      <c r="H5481" s="1092"/>
      <c r="I5481" s="1092"/>
    </row>
    <row r="5482" spans="8:9">
      <c r="H5482" s="1092"/>
      <c r="I5482" s="1092"/>
    </row>
    <row r="5483" spans="8:9">
      <c r="H5483" s="1092"/>
      <c r="I5483" s="1092"/>
    </row>
    <row r="5484" spans="8:9">
      <c r="H5484" s="1092"/>
      <c r="I5484" s="1092"/>
    </row>
    <row r="5485" spans="8:9">
      <c r="H5485" s="1092"/>
      <c r="I5485" s="1092"/>
    </row>
    <row r="5486" spans="8:9">
      <c r="H5486" s="1092"/>
      <c r="I5486" s="1092"/>
    </row>
    <row r="5487" spans="8:9">
      <c r="H5487" s="1092"/>
      <c r="I5487" s="1092"/>
    </row>
    <row r="5488" spans="8:9">
      <c r="H5488" s="1092"/>
      <c r="I5488" s="1092"/>
    </row>
    <row r="5489" spans="8:9">
      <c r="H5489" s="1092"/>
      <c r="I5489" s="1092"/>
    </row>
    <row r="5490" spans="8:9">
      <c r="H5490" s="1092"/>
      <c r="I5490" s="1092"/>
    </row>
    <row r="5491" spans="8:9">
      <c r="H5491" s="1092"/>
      <c r="I5491" s="1092"/>
    </row>
    <row r="5492" spans="8:9">
      <c r="H5492" s="1092"/>
      <c r="I5492" s="1092"/>
    </row>
    <row r="5493" spans="8:9">
      <c r="H5493" s="1092"/>
      <c r="I5493" s="1092"/>
    </row>
    <row r="5494" spans="8:9">
      <c r="H5494" s="1092"/>
      <c r="I5494" s="1092"/>
    </row>
    <row r="5495" spans="8:9">
      <c r="H5495" s="1092"/>
      <c r="I5495" s="1092"/>
    </row>
    <row r="5496" spans="8:9">
      <c r="H5496" s="1092"/>
      <c r="I5496" s="1092"/>
    </row>
    <row r="5497" spans="8:9">
      <c r="H5497" s="1092"/>
      <c r="I5497" s="1092"/>
    </row>
    <row r="5498" spans="8:9">
      <c r="H5498" s="1092"/>
      <c r="I5498" s="1092"/>
    </row>
    <row r="5499" spans="8:9">
      <c r="H5499" s="1092"/>
      <c r="I5499" s="1092"/>
    </row>
    <row r="5500" spans="8:9">
      <c r="H5500" s="1092"/>
      <c r="I5500" s="1092"/>
    </row>
    <row r="5501" spans="8:9">
      <c r="H5501" s="1092"/>
      <c r="I5501" s="1092"/>
    </row>
    <row r="5502" spans="8:9">
      <c r="H5502" s="1092"/>
      <c r="I5502" s="1092"/>
    </row>
    <row r="5503" spans="8:9">
      <c r="H5503" s="1092"/>
      <c r="I5503" s="1092"/>
    </row>
    <row r="5504" spans="8:9">
      <c r="H5504" s="1092"/>
      <c r="I5504" s="1092"/>
    </row>
    <row r="5505" spans="8:9">
      <c r="H5505" s="1092"/>
      <c r="I5505" s="1092"/>
    </row>
    <row r="5506" spans="8:9">
      <c r="H5506" s="1092"/>
      <c r="I5506" s="1092"/>
    </row>
    <row r="5507" spans="8:9">
      <c r="H5507" s="1092"/>
      <c r="I5507" s="1092"/>
    </row>
    <row r="5508" spans="8:9">
      <c r="H5508" s="1092"/>
      <c r="I5508" s="1092"/>
    </row>
    <row r="5509" spans="8:9">
      <c r="H5509" s="1092"/>
      <c r="I5509" s="1092"/>
    </row>
    <row r="5510" spans="8:9">
      <c r="H5510" s="1092"/>
      <c r="I5510" s="1092"/>
    </row>
    <row r="5511" spans="8:9">
      <c r="H5511" s="1092"/>
      <c r="I5511" s="1092"/>
    </row>
    <row r="5512" spans="8:9">
      <c r="H5512" s="1092"/>
      <c r="I5512" s="1092"/>
    </row>
    <row r="5513" spans="8:9">
      <c r="H5513" s="1092"/>
      <c r="I5513" s="1092"/>
    </row>
    <row r="5514" spans="8:9">
      <c r="H5514" s="1092"/>
      <c r="I5514" s="1092"/>
    </row>
    <row r="5515" spans="8:9">
      <c r="H5515" s="1092"/>
      <c r="I5515" s="1092"/>
    </row>
    <row r="5516" spans="8:9">
      <c r="H5516" s="1092"/>
      <c r="I5516" s="1092"/>
    </row>
    <row r="5517" spans="8:9">
      <c r="H5517" s="1092"/>
      <c r="I5517" s="1092"/>
    </row>
    <row r="5518" spans="8:9">
      <c r="H5518" s="1092"/>
      <c r="I5518" s="1092"/>
    </row>
    <row r="5519" spans="8:9">
      <c r="H5519" s="1092"/>
      <c r="I5519" s="1092"/>
    </row>
    <row r="5520" spans="8:9">
      <c r="H5520" s="1092"/>
      <c r="I5520" s="1092"/>
    </row>
    <row r="5521" spans="8:9">
      <c r="H5521" s="1092"/>
      <c r="I5521" s="1092"/>
    </row>
    <row r="5522" spans="8:9">
      <c r="H5522" s="1092"/>
      <c r="I5522" s="1092"/>
    </row>
    <row r="5523" spans="8:9">
      <c r="H5523" s="1092"/>
      <c r="I5523" s="1092"/>
    </row>
    <row r="5524" spans="8:9">
      <c r="H5524" s="1092"/>
      <c r="I5524" s="1092"/>
    </row>
    <row r="5525" spans="8:9">
      <c r="H5525" s="1092"/>
      <c r="I5525" s="1092"/>
    </row>
    <row r="5526" spans="8:9">
      <c r="H5526" s="1092"/>
      <c r="I5526" s="1092"/>
    </row>
    <row r="5527" spans="8:9">
      <c r="H5527" s="1092"/>
      <c r="I5527" s="1092"/>
    </row>
    <row r="5528" spans="8:9">
      <c r="H5528" s="1092"/>
      <c r="I5528" s="1092"/>
    </row>
    <row r="5529" spans="8:9">
      <c r="H5529" s="1092"/>
      <c r="I5529" s="1092"/>
    </row>
    <row r="5530" spans="8:9">
      <c r="H5530" s="1092"/>
      <c r="I5530" s="1092"/>
    </row>
    <row r="5531" spans="8:9">
      <c r="H5531" s="1092"/>
      <c r="I5531" s="1092"/>
    </row>
    <row r="5532" spans="8:9">
      <c r="H5532" s="1092"/>
      <c r="I5532" s="1092"/>
    </row>
    <row r="5533" spans="8:9">
      <c r="H5533" s="1092"/>
      <c r="I5533" s="1092"/>
    </row>
    <row r="5534" spans="8:9">
      <c r="H5534" s="1092"/>
      <c r="I5534" s="1092"/>
    </row>
    <row r="5535" spans="8:9">
      <c r="H5535" s="1092"/>
      <c r="I5535" s="1092"/>
    </row>
    <row r="5536" spans="8:9">
      <c r="H5536" s="1092"/>
      <c r="I5536" s="1092"/>
    </row>
    <row r="5537" spans="8:9">
      <c r="H5537" s="1092"/>
      <c r="I5537" s="1092"/>
    </row>
    <row r="5538" spans="8:9">
      <c r="H5538" s="1092"/>
      <c r="I5538" s="1092"/>
    </row>
    <row r="5539" spans="8:9">
      <c r="H5539" s="1092"/>
      <c r="I5539" s="1092"/>
    </row>
    <row r="5540" spans="8:9">
      <c r="H5540" s="1092"/>
      <c r="I5540" s="1092"/>
    </row>
    <row r="5541" spans="8:9">
      <c r="H5541" s="1092"/>
      <c r="I5541" s="1092"/>
    </row>
    <row r="5542" spans="8:9">
      <c r="H5542" s="1092"/>
      <c r="I5542" s="1092"/>
    </row>
    <row r="5543" spans="8:9">
      <c r="H5543" s="1092"/>
      <c r="I5543" s="1092"/>
    </row>
    <row r="5544" spans="8:9">
      <c r="H5544" s="1092"/>
      <c r="I5544" s="1092"/>
    </row>
    <row r="5545" spans="8:9">
      <c r="H5545" s="1092"/>
      <c r="I5545" s="1092"/>
    </row>
    <row r="5546" spans="8:9">
      <c r="H5546" s="1092"/>
      <c r="I5546" s="1092"/>
    </row>
    <row r="5547" spans="8:9">
      <c r="H5547" s="1092"/>
      <c r="I5547" s="1092"/>
    </row>
    <row r="5548" spans="8:9">
      <c r="H5548" s="1092"/>
      <c r="I5548" s="1092"/>
    </row>
    <row r="5549" spans="8:9">
      <c r="H5549" s="1092"/>
      <c r="I5549" s="1092"/>
    </row>
    <row r="5550" spans="8:9">
      <c r="H5550" s="1092"/>
      <c r="I5550" s="1092"/>
    </row>
    <row r="5551" spans="8:9">
      <c r="H5551" s="1092"/>
      <c r="I5551" s="1092"/>
    </row>
    <row r="5552" spans="8:9">
      <c r="H5552" s="1092"/>
      <c r="I5552" s="1092"/>
    </row>
    <row r="5553" spans="8:9">
      <c r="H5553" s="1092"/>
      <c r="I5553" s="1092"/>
    </row>
    <row r="5554" spans="8:9">
      <c r="H5554" s="1092"/>
      <c r="I5554" s="1092"/>
    </row>
    <row r="5555" spans="8:9">
      <c r="H5555" s="1092"/>
      <c r="I5555" s="1092"/>
    </row>
    <row r="5556" spans="8:9">
      <c r="H5556" s="1092"/>
      <c r="I5556" s="1092"/>
    </row>
    <row r="5557" spans="8:9">
      <c r="H5557" s="1092"/>
      <c r="I5557" s="1092"/>
    </row>
    <row r="5558" spans="8:9">
      <c r="H5558" s="1092"/>
      <c r="I5558" s="1092"/>
    </row>
    <row r="5559" spans="8:9">
      <c r="H5559" s="1092"/>
      <c r="I5559" s="1092"/>
    </row>
    <row r="5560" spans="8:9">
      <c r="H5560" s="1092"/>
      <c r="I5560" s="1092"/>
    </row>
    <row r="5561" spans="8:9">
      <c r="H5561" s="1092"/>
      <c r="I5561" s="1092"/>
    </row>
    <row r="5562" spans="8:9">
      <c r="H5562" s="1092"/>
      <c r="I5562" s="1092"/>
    </row>
    <row r="5563" spans="8:9">
      <c r="H5563" s="1092"/>
      <c r="I5563" s="1092"/>
    </row>
    <row r="5564" spans="8:9">
      <c r="H5564" s="1092"/>
      <c r="I5564" s="1092"/>
    </row>
    <row r="5565" spans="8:9">
      <c r="H5565" s="1092"/>
      <c r="I5565" s="1092"/>
    </row>
    <row r="5566" spans="8:9">
      <c r="H5566" s="1092"/>
      <c r="I5566" s="1092"/>
    </row>
    <row r="5567" spans="8:9">
      <c r="H5567" s="1092"/>
      <c r="I5567" s="1092"/>
    </row>
    <row r="5568" spans="8:9">
      <c r="H5568" s="1092"/>
      <c r="I5568" s="1092"/>
    </row>
    <row r="5569" spans="8:9">
      <c r="H5569" s="1092"/>
      <c r="I5569" s="1092"/>
    </row>
    <row r="5570" spans="8:9">
      <c r="H5570" s="1092"/>
      <c r="I5570" s="1092"/>
    </row>
    <row r="5571" spans="8:9">
      <c r="H5571" s="1092"/>
      <c r="I5571" s="1092"/>
    </row>
    <row r="5572" spans="8:9">
      <c r="H5572" s="1092"/>
      <c r="I5572" s="1092"/>
    </row>
    <row r="5573" spans="8:9">
      <c r="H5573" s="1092"/>
      <c r="I5573" s="1092"/>
    </row>
    <row r="5574" spans="8:9">
      <c r="H5574" s="1092"/>
      <c r="I5574" s="1092"/>
    </row>
    <row r="5575" spans="8:9">
      <c r="H5575" s="1092"/>
      <c r="I5575" s="1092"/>
    </row>
    <row r="5576" spans="8:9">
      <c r="H5576" s="1092"/>
      <c r="I5576" s="1092"/>
    </row>
    <row r="5577" spans="8:9">
      <c r="H5577" s="1092"/>
      <c r="I5577" s="1092"/>
    </row>
    <row r="5578" spans="8:9">
      <c r="H5578" s="1092"/>
      <c r="I5578" s="1092"/>
    </row>
    <row r="5579" spans="8:9">
      <c r="H5579" s="1092"/>
      <c r="I5579" s="1092"/>
    </row>
    <row r="5580" spans="8:9">
      <c r="H5580" s="1092"/>
      <c r="I5580" s="1092"/>
    </row>
    <row r="5581" spans="8:9">
      <c r="H5581" s="1092"/>
      <c r="I5581" s="1092"/>
    </row>
    <row r="5582" spans="8:9">
      <c r="H5582" s="1092"/>
      <c r="I5582" s="1092"/>
    </row>
    <row r="5583" spans="8:9">
      <c r="H5583" s="1092"/>
      <c r="I5583" s="1092"/>
    </row>
    <row r="5584" spans="8:9">
      <c r="H5584" s="1092"/>
      <c r="I5584" s="1092"/>
    </row>
    <row r="5585" spans="8:9">
      <c r="H5585" s="1092"/>
      <c r="I5585" s="1092"/>
    </row>
    <row r="5586" spans="8:9">
      <c r="H5586" s="1092"/>
      <c r="I5586" s="1092"/>
    </row>
    <row r="5587" spans="8:9">
      <c r="H5587" s="1092"/>
      <c r="I5587" s="1092"/>
    </row>
    <row r="5588" spans="8:9">
      <c r="H5588" s="1092"/>
      <c r="I5588" s="1092"/>
    </row>
    <row r="5589" spans="8:9">
      <c r="H5589" s="1092"/>
      <c r="I5589" s="1092"/>
    </row>
    <row r="5590" spans="8:9">
      <c r="H5590" s="1092"/>
      <c r="I5590" s="1092"/>
    </row>
    <row r="5591" spans="8:9">
      <c r="H5591" s="1092"/>
      <c r="I5591" s="1092"/>
    </row>
    <row r="5592" spans="8:9">
      <c r="H5592" s="1092"/>
      <c r="I5592" s="1092"/>
    </row>
    <row r="5593" spans="8:9">
      <c r="H5593" s="1092"/>
      <c r="I5593" s="1092"/>
    </row>
    <row r="5594" spans="8:9">
      <c r="H5594" s="1092"/>
      <c r="I5594" s="1092"/>
    </row>
    <row r="5595" spans="8:9">
      <c r="H5595" s="1092"/>
      <c r="I5595" s="1092"/>
    </row>
    <row r="5596" spans="8:9">
      <c r="H5596" s="1092"/>
      <c r="I5596" s="1092"/>
    </row>
    <row r="5597" spans="8:9">
      <c r="H5597" s="1092"/>
      <c r="I5597" s="1092"/>
    </row>
    <row r="5598" spans="8:9">
      <c r="H5598" s="1092"/>
      <c r="I5598" s="1092"/>
    </row>
    <row r="5599" spans="8:9">
      <c r="H5599" s="1092"/>
      <c r="I5599" s="1092"/>
    </row>
    <row r="5600" spans="8:9">
      <c r="H5600" s="1092"/>
      <c r="I5600" s="1092"/>
    </row>
    <row r="5601" spans="8:9">
      <c r="H5601" s="1092"/>
      <c r="I5601" s="1092"/>
    </row>
    <row r="5602" spans="8:9">
      <c r="H5602" s="1092"/>
      <c r="I5602" s="1092"/>
    </row>
    <row r="5603" spans="8:9">
      <c r="H5603" s="1092"/>
      <c r="I5603" s="1092"/>
    </row>
    <row r="5604" spans="8:9">
      <c r="H5604" s="1092"/>
      <c r="I5604" s="1092"/>
    </row>
    <row r="5605" spans="8:9">
      <c r="H5605" s="1092"/>
      <c r="I5605" s="1092"/>
    </row>
    <row r="5606" spans="8:9">
      <c r="H5606" s="1092"/>
      <c r="I5606" s="1092"/>
    </row>
    <row r="5607" spans="8:9">
      <c r="H5607" s="1092"/>
      <c r="I5607" s="1092"/>
    </row>
    <row r="5608" spans="8:9">
      <c r="H5608" s="1092"/>
      <c r="I5608" s="1092"/>
    </row>
    <row r="5609" spans="8:9">
      <c r="H5609" s="1092"/>
      <c r="I5609" s="1092"/>
    </row>
    <row r="5610" spans="8:9">
      <c r="H5610" s="1092"/>
      <c r="I5610" s="1092"/>
    </row>
    <row r="5611" spans="8:9">
      <c r="H5611" s="1092"/>
      <c r="I5611" s="1092"/>
    </row>
    <row r="5612" spans="8:9">
      <c r="H5612" s="1092"/>
      <c r="I5612" s="1092"/>
    </row>
    <row r="5613" spans="8:9">
      <c r="H5613" s="1092"/>
      <c r="I5613" s="1092"/>
    </row>
    <row r="5614" spans="8:9">
      <c r="H5614" s="1092"/>
      <c r="I5614" s="1092"/>
    </row>
    <row r="5615" spans="8:9">
      <c r="H5615" s="1092"/>
      <c r="I5615" s="1092"/>
    </row>
    <row r="5616" spans="8:9">
      <c r="H5616" s="1092"/>
      <c r="I5616" s="1092"/>
    </row>
    <row r="5617" spans="8:9">
      <c r="H5617" s="1092"/>
      <c r="I5617" s="1092"/>
    </row>
    <row r="5618" spans="8:9">
      <c r="H5618" s="1092"/>
      <c r="I5618" s="1092"/>
    </row>
    <row r="5619" spans="8:9">
      <c r="H5619" s="1092"/>
      <c r="I5619" s="1092"/>
    </row>
    <row r="5620" spans="8:9">
      <c r="H5620" s="1092"/>
      <c r="I5620" s="1092"/>
    </row>
    <row r="5621" spans="8:9">
      <c r="H5621" s="1092"/>
      <c r="I5621" s="1092"/>
    </row>
    <row r="5622" spans="8:9">
      <c r="H5622" s="1092"/>
      <c r="I5622" s="1092"/>
    </row>
    <row r="5623" spans="8:9">
      <c r="H5623" s="1092"/>
      <c r="I5623" s="1092"/>
    </row>
    <row r="5624" spans="8:9">
      <c r="H5624" s="1092"/>
      <c r="I5624" s="1092"/>
    </row>
    <row r="5625" spans="8:9">
      <c r="H5625" s="1092"/>
      <c r="I5625" s="1092"/>
    </row>
    <row r="5626" spans="8:9">
      <c r="H5626" s="1092"/>
      <c r="I5626" s="1092"/>
    </row>
    <row r="5627" spans="8:9">
      <c r="H5627" s="1092"/>
      <c r="I5627" s="1092"/>
    </row>
    <row r="5628" spans="8:9">
      <c r="H5628" s="1092"/>
      <c r="I5628" s="1092"/>
    </row>
    <row r="5629" spans="8:9">
      <c r="H5629" s="1092"/>
      <c r="I5629" s="1092"/>
    </row>
    <row r="5630" spans="8:9">
      <c r="H5630" s="1092"/>
      <c r="I5630" s="1092"/>
    </row>
    <row r="5631" spans="8:9">
      <c r="H5631" s="1092"/>
      <c r="I5631" s="1092"/>
    </row>
    <row r="5632" spans="8:9">
      <c r="H5632" s="1092"/>
      <c r="I5632" s="1092"/>
    </row>
    <row r="5633" spans="8:9">
      <c r="H5633" s="1092"/>
      <c r="I5633" s="1092"/>
    </row>
    <row r="5634" spans="8:9">
      <c r="H5634" s="1092"/>
      <c r="I5634" s="1092"/>
    </row>
    <row r="5635" spans="8:9">
      <c r="H5635" s="1092"/>
      <c r="I5635" s="1092"/>
    </row>
    <row r="5636" spans="8:9">
      <c r="H5636" s="1092"/>
      <c r="I5636" s="1092"/>
    </row>
    <row r="5637" spans="8:9">
      <c r="H5637" s="1092"/>
      <c r="I5637" s="1092"/>
    </row>
    <row r="5638" spans="8:9">
      <c r="H5638" s="1092"/>
      <c r="I5638" s="1092"/>
    </row>
    <row r="5639" spans="8:9">
      <c r="H5639" s="1092"/>
      <c r="I5639" s="1092"/>
    </row>
    <row r="5640" spans="8:9">
      <c r="H5640" s="1092"/>
      <c r="I5640" s="1092"/>
    </row>
    <row r="5641" spans="8:9">
      <c r="H5641" s="1092"/>
      <c r="I5641" s="1092"/>
    </row>
    <row r="5642" spans="8:9">
      <c r="H5642" s="1092"/>
      <c r="I5642" s="1092"/>
    </row>
    <row r="5643" spans="8:9">
      <c r="H5643" s="1092"/>
      <c r="I5643" s="1092"/>
    </row>
    <row r="5644" spans="8:9">
      <c r="H5644" s="1092"/>
      <c r="I5644" s="1092"/>
    </row>
    <row r="5645" spans="8:9">
      <c r="H5645" s="1092"/>
      <c r="I5645" s="1092"/>
    </row>
    <row r="5646" spans="8:9">
      <c r="H5646" s="1092"/>
      <c r="I5646" s="1092"/>
    </row>
    <row r="5647" spans="8:9">
      <c r="H5647" s="1092"/>
      <c r="I5647" s="1092"/>
    </row>
    <row r="5648" spans="8:9">
      <c r="H5648" s="1092"/>
      <c r="I5648" s="1092"/>
    </row>
    <row r="5649" spans="8:9">
      <c r="H5649" s="1092"/>
      <c r="I5649" s="1092"/>
    </row>
    <row r="5650" spans="8:9">
      <c r="H5650" s="1092"/>
      <c r="I5650" s="1092"/>
    </row>
    <row r="5651" spans="8:9">
      <c r="H5651" s="1092"/>
      <c r="I5651" s="1092"/>
    </row>
    <row r="5652" spans="8:9">
      <c r="H5652" s="1092"/>
      <c r="I5652" s="1092"/>
    </row>
    <row r="5653" spans="8:9">
      <c r="H5653" s="1092"/>
      <c r="I5653" s="1092"/>
    </row>
    <row r="5654" spans="8:9">
      <c r="H5654" s="1092"/>
      <c r="I5654" s="1092"/>
    </row>
    <row r="5655" spans="8:9">
      <c r="H5655" s="1092"/>
      <c r="I5655" s="1092"/>
    </row>
    <row r="5656" spans="8:9">
      <c r="H5656" s="1092"/>
      <c r="I5656" s="1092"/>
    </row>
    <row r="5657" spans="8:9">
      <c r="H5657" s="1092"/>
      <c r="I5657" s="1092"/>
    </row>
    <row r="5658" spans="8:9">
      <c r="H5658" s="1092"/>
      <c r="I5658" s="1092"/>
    </row>
    <row r="5659" spans="8:9">
      <c r="H5659" s="1092"/>
      <c r="I5659" s="1092"/>
    </row>
    <row r="5660" spans="8:9">
      <c r="H5660" s="1092"/>
      <c r="I5660" s="1092"/>
    </row>
    <row r="5661" spans="8:9">
      <c r="H5661" s="1092"/>
      <c r="I5661" s="1092"/>
    </row>
    <row r="5662" spans="8:9">
      <c r="H5662" s="1092"/>
      <c r="I5662" s="1092"/>
    </row>
    <row r="5663" spans="8:9">
      <c r="H5663" s="1092"/>
      <c r="I5663" s="1092"/>
    </row>
    <row r="5664" spans="8:9">
      <c r="H5664" s="1092"/>
      <c r="I5664" s="1092"/>
    </row>
    <row r="5665" spans="8:9">
      <c r="H5665" s="1092"/>
      <c r="I5665" s="1092"/>
    </row>
    <row r="5666" spans="8:9">
      <c r="H5666" s="1092"/>
      <c r="I5666" s="1092"/>
    </row>
    <row r="5667" spans="8:9">
      <c r="H5667" s="1092"/>
      <c r="I5667" s="1092"/>
    </row>
    <row r="5668" spans="8:9">
      <c r="H5668" s="1092"/>
      <c r="I5668" s="1092"/>
    </row>
    <row r="5669" spans="8:9">
      <c r="H5669" s="1092"/>
      <c r="I5669" s="1092"/>
    </row>
    <row r="5670" spans="8:9">
      <c r="H5670" s="1092"/>
      <c r="I5670" s="1092"/>
    </row>
    <row r="5671" spans="8:9">
      <c r="H5671" s="1092"/>
      <c r="I5671" s="1092"/>
    </row>
    <row r="5672" spans="8:9">
      <c r="H5672" s="1092"/>
      <c r="I5672" s="1092"/>
    </row>
    <row r="5673" spans="8:9">
      <c r="H5673" s="1092"/>
      <c r="I5673" s="1092"/>
    </row>
    <row r="5674" spans="8:9">
      <c r="H5674" s="1092"/>
      <c r="I5674" s="1092"/>
    </row>
    <row r="5675" spans="8:9">
      <c r="H5675" s="1092"/>
      <c r="I5675" s="1092"/>
    </row>
    <row r="5676" spans="8:9">
      <c r="H5676" s="1092"/>
      <c r="I5676" s="1092"/>
    </row>
    <row r="5677" spans="8:9">
      <c r="H5677" s="1092"/>
      <c r="I5677" s="1092"/>
    </row>
    <row r="5678" spans="8:9">
      <c r="H5678" s="1092"/>
      <c r="I5678" s="1092"/>
    </row>
    <row r="5679" spans="8:9">
      <c r="H5679" s="1092"/>
      <c r="I5679" s="1092"/>
    </row>
    <row r="5680" spans="8:9">
      <c r="H5680" s="1092"/>
      <c r="I5680" s="1092"/>
    </row>
    <row r="5681" spans="8:9">
      <c r="H5681" s="1092"/>
      <c r="I5681" s="1092"/>
    </row>
    <row r="5682" spans="8:9">
      <c r="H5682" s="1092"/>
      <c r="I5682" s="1092"/>
    </row>
    <row r="5683" spans="8:9">
      <c r="H5683" s="1092"/>
      <c r="I5683" s="1092"/>
    </row>
    <row r="5684" spans="8:9">
      <c r="H5684" s="1092"/>
      <c r="I5684" s="1092"/>
    </row>
    <row r="5685" spans="8:9">
      <c r="H5685" s="1092"/>
      <c r="I5685" s="1092"/>
    </row>
    <row r="5686" spans="8:9">
      <c r="H5686" s="1092"/>
      <c r="I5686" s="1092"/>
    </row>
    <row r="5687" spans="8:9">
      <c r="H5687" s="1092"/>
      <c r="I5687" s="1092"/>
    </row>
    <row r="5688" spans="8:9">
      <c r="H5688" s="1092"/>
      <c r="I5688" s="1092"/>
    </row>
    <row r="5689" spans="8:9">
      <c r="H5689" s="1092"/>
      <c r="I5689" s="1092"/>
    </row>
    <row r="5690" spans="8:9">
      <c r="H5690" s="1092"/>
      <c r="I5690" s="1092"/>
    </row>
    <row r="5691" spans="8:9">
      <c r="H5691" s="1092"/>
      <c r="I5691" s="1092"/>
    </row>
    <row r="5692" spans="8:9">
      <c r="H5692" s="1092"/>
      <c r="I5692" s="1092"/>
    </row>
    <row r="5693" spans="8:9">
      <c r="H5693" s="1092"/>
      <c r="I5693" s="1092"/>
    </row>
    <row r="5694" spans="8:9">
      <c r="H5694" s="1092"/>
      <c r="I5694" s="1092"/>
    </row>
    <row r="5695" spans="8:9">
      <c r="H5695" s="1092"/>
      <c r="I5695" s="1092"/>
    </row>
    <row r="5696" spans="8:9">
      <c r="H5696" s="1092"/>
      <c r="I5696" s="1092"/>
    </row>
    <row r="5697" spans="8:9">
      <c r="H5697" s="1092"/>
      <c r="I5697" s="1092"/>
    </row>
    <row r="5698" spans="8:9">
      <c r="H5698" s="1092"/>
      <c r="I5698" s="1092"/>
    </row>
    <row r="5699" spans="8:9">
      <c r="H5699" s="1092"/>
      <c r="I5699" s="1092"/>
    </row>
    <row r="5700" spans="8:9">
      <c r="H5700" s="1092"/>
      <c r="I5700" s="1092"/>
    </row>
    <row r="5701" spans="8:9">
      <c r="H5701" s="1092"/>
      <c r="I5701" s="1092"/>
    </row>
    <row r="5702" spans="8:9">
      <c r="H5702" s="1092"/>
      <c r="I5702" s="1092"/>
    </row>
    <row r="5703" spans="8:9">
      <c r="H5703" s="1092"/>
      <c r="I5703" s="1092"/>
    </row>
    <row r="5704" spans="8:9">
      <c r="H5704" s="1092"/>
      <c r="I5704" s="1092"/>
    </row>
    <row r="5705" spans="8:9">
      <c r="H5705" s="1092"/>
      <c r="I5705" s="1092"/>
    </row>
    <row r="5706" spans="8:9">
      <c r="H5706" s="1092"/>
      <c r="I5706" s="1092"/>
    </row>
    <row r="5707" spans="8:9">
      <c r="H5707" s="1092"/>
      <c r="I5707" s="1092"/>
    </row>
    <row r="5708" spans="8:9">
      <c r="H5708" s="1092"/>
      <c r="I5708" s="1092"/>
    </row>
    <row r="5709" spans="8:9">
      <c r="H5709" s="1092"/>
      <c r="I5709" s="1092"/>
    </row>
    <row r="5710" spans="8:9">
      <c r="H5710" s="1092"/>
      <c r="I5710" s="1092"/>
    </row>
    <row r="5711" spans="8:9">
      <c r="H5711" s="1092"/>
      <c r="I5711" s="1092"/>
    </row>
    <row r="5712" spans="8:9">
      <c r="H5712" s="1092"/>
      <c r="I5712" s="1092"/>
    </row>
    <row r="5713" spans="8:9">
      <c r="H5713" s="1092"/>
      <c r="I5713" s="1092"/>
    </row>
    <row r="5714" spans="8:9">
      <c r="H5714" s="1092"/>
      <c r="I5714" s="1092"/>
    </row>
    <row r="5715" spans="8:9">
      <c r="H5715" s="1092"/>
      <c r="I5715" s="1092"/>
    </row>
    <row r="5716" spans="8:9">
      <c r="H5716" s="1092"/>
      <c r="I5716" s="1092"/>
    </row>
    <row r="5717" spans="8:9">
      <c r="H5717" s="1092"/>
      <c r="I5717" s="1092"/>
    </row>
    <row r="5718" spans="8:9">
      <c r="H5718" s="1092"/>
      <c r="I5718" s="1092"/>
    </row>
    <row r="5719" spans="8:9">
      <c r="H5719" s="1092"/>
      <c r="I5719" s="1092"/>
    </row>
    <row r="5720" spans="8:9">
      <c r="H5720" s="1092"/>
      <c r="I5720" s="1092"/>
    </row>
    <row r="5721" spans="8:9">
      <c r="H5721" s="1092"/>
      <c r="I5721" s="1092"/>
    </row>
    <row r="5722" spans="8:9">
      <c r="H5722" s="1092"/>
      <c r="I5722" s="1092"/>
    </row>
    <row r="5723" spans="8:9">
      <c r="H5723" s="1092"/>
      <c r="I5723" s="1092"/>
    </row>
    <row r="5724" spans="8:9">
      <c r="H5724" s="1092"/>
      <c r="I5724" s="1092"/>
    </row>
    <row r="5725" spans="8:9">
      <c r="H5725" s="1092"/>
      <c r="I5725" s="1092"/>
    </row>
    <row r="5726" spans="8:9">
      <c r="H5726" s="1092"/>
      <c r="I5726" s="1092"/>
    </row>
    <row r="5727" spans="8:9">
      <c r="H5727" s="1092"/>
      <c r="I5727" s="1092"/>
    </row>
    <row r="5728" spans="8:9">
      <c r="H5728" s="1092"/>
      <c r="I5728" s="1092"/>
    </row>
    <row r="5729" spans="8:9">
      <c r="H5729" s="1092"/>
      <c r="I5729" s="1092"/>
    </row>
    <row r="5730" spans="8:9">
      <c r="H5730" s="1092"/>
      <c r="I5730" s="1092"/>
    </row>
    <row r="5731" spans="8:9">
      <c r="H5731" s="1092"/>
      <c r="I5731" s="1092"/>
    </row>
    <row r="5732" spans="8:9">
      <c r="H5732" s="1092"/>
      <c r="I5732" s="1092"/>
    </row>
    <row r="5733" spans="8:9">
      <c r="H5733" s="1092"/>
      <c r="I5733" s="1092"/>
    </row>
    <row r="5734" spans="8:9">
      <c r="H5734" s="1092"/>
      <c r="I5734" s="1092"/>
    </row>
    <row r="5735" spans="8:9">
      <c r="H5735" s="1092"/>
      <c r="I5735" s="1092"/>
    </row>
    <row r="5736" spans="8:9">
      <c r="H5736" s="1092"/>
      <c r="I5736" s="1092"/>
    </row>
    <row r="5737" spans="8:9">
      <c r="H5737" s="1092"/>
      <c r="I5737" s="1092"/>
    </row>
    <row r="5738" spans="8:9">
      <c r="H5738" s="1092"/>
      <c r="I5738" s="1092"/>
    </row>
    <row r="5739" spans="8:9">
      <c r="H5739" s="1092"/>
      <c r="I5739" s="1092"/>
    </row>
    <row r="5740" spans="8:9">
      <c r="H5740" s="1092"/>
      <c r="I5740" s="1092"/>
    </row>
    <row r="5741" spans="8:9">
      <c r="H5741" s="1092"/>
      <c r="I5741" s="1092"/>
    </row>
    <row r="5742" spans="8:9">
      <c r="H5742" s="1092"/>
      <c r="I5742" s="1092"/>
    </row>
    <row r="5743" spans="8:9">
      <c r="H5743" s="1092"/>
      <c r="I5743" s="1092"/>
    </row>
    <row r="5744" spans="8:9">
      <c r="H5744" s="1092"/>
      <c r="I5744" s="1092"/>
    </row>
    <row r="5745" spans="8:9">
      <c r="H5745" s="1092"/>
      <c r="I5745" s="1092"/>
    </row>
    <row r="5746" spans="8:9">
      <c r="H5746" s="1092"/>
      <c r="I5746" s="1092"/>
    </row>
    <row r="5747" spans="8:9">
      <c r="H5747" s="1092"/>
      <c r="I5747" s="1092"/>
    </row>
    <row r="5748" spans="8:9">
      <c r="H5748" s="1092"/>
      <c r="I5748" s="1092"/>
    </row>
    <row r="5749" spans="8:9">
      <c r="H5749" s="1092"/>
      <c r="I5749" s="1092"/>
    </row>
    <row r="5750" spans="8:9">
      <c r="H5750" s="1092"/>
      <c r="I5750" s="1092"/>
    </row>
    <row r="5751" spans="8:9">
      <c r="H5751" s="1092"/>
      <c r="I5751" s="1092"/>
    </row>
    <row r="5752" spans="8:9">
      <c r="H5752" s="1092"/>
      <c r="I5752" s="1092"/>
    </row>
    <row r="5753" spans="8:9">
      <c r="H5753" s="1092"/>
      <c r="I5753" s="1092"/>
    </row>
    <row r="5754" spans="8:9">
      <c r="H5754" s="1092"/>
      <c r="I5754" s="1092"/>
    </row>
    <row r="5755" spans="8:9">
      <c r="H5755" s="1092"/>
      <c r="I5755" s="1092"/>
    </row>
    <row r="5756" spans="8:9">
      <c r="H5756" s="1092"/>
      <c r="I5756" s="1092"/>
    </row>
    <row r="5757" spans="8:9">
      <c r="H5757" s="1092"/>
      <c r="I5757" s="1092"/>
    </row>
    <row r="5758" spans="8:9">
      <c r="H5758" s="1092"/>
      <c r="I5758" s="1092"/>
    </row>
    <row r="5759" spans="8:9">
      <c r="H5759" s="1092"/>
      <c r="I5759" s="1092"/>
    </row>
    <row r="5760" spans="8:9">
      <c r="H5760" s="1092"/>
      <c r="I5760" s="1092"/>
    </row>
    <row r="5761" spans="8:9">
      <c r="H5761" s="1092"/>
      <c r="I5761" s="1092"/>
    </row>
    <row r="5762" spans="8:9">
      <c r="H5762" s="1092"/>
      <c r="I5762" s="1092"/>
    </row>
    <row r="5763" spans="8:9">
      <c r="H5763" s="1092"/>
      <c r="I5763" s="1092"/>
    </row>
    <row r="5764" spans="8:9">
      <c r="H5764" s="1092"/>
      <c r="I5764" s="1092"/>
    </row>
    <row r="5765" spans="8:9">
      <c r="H5765" s="1092"/>
      <c r="I5765" s="1092"/>
    </row>
    <row r="5766" spans="8:9">
      <c r="H5766" s="1092"/>
      <c r="I5766" s="1092"/>
    </row>
    <row r="5767" spans="8:9">
      <c r="H5767" s="1092"/>
      <c r="I5767" s="1092"/>
    </row>
    <row r="5768" spans="8:9">
      <c r="H5768" s="1092"/>
      <c r="I5768" s="1092"/>
    </row>
    <row r="5769" spans="8:9">
      <c r="H5769" s="1092"/>
      <c r="I5769" s="1092"/>
    </row>
    <row r="5770" spans="8:9">
      <c r="H5770" s="1092"/>
      <c r="I5770" s="1092"/>
    </row>
    <row r="5771" spans="8:9">
      <c r="H5771" s="1092"/>
      <c r="I5771" s="1092"/>
    </row>
    <row r="5772" spans="8:9">
      <c r="H5772" s="1092"/>
      <c r="I5772" s="1092"/>
    </row>
    <row r="5773" spans="8:9">
      <c r="H5773" s="1092"/>
      <c r="I5773" s="1092"/>
    </row>
    <row r="5774" spans="8:9">
      <c r="H5774" s="1092"/>
      <c r="I5774" s="1092"/>
    </row>
    <row r="5775" spans="8:9">
      <c r="H5775" s="1092"/>
      <c r="I5775" s="1092"/>
    </row>
    <row r="5776" spans="8:9">
      <c r="H5776" s="1092"/>
      <c r="I5776" s="1092"/>
    </row>
    <row r="5777" spans="8:9">
      <c r="H5777" s="1092"/>
      <c r="I5777" s="1092"/>
    </row>
    <row r="5778" spans="8:9">
      <c r="H5778" s="1092"/>
      <c r="I5778" s="1092"/>
    </row>
    <row r="5779" spans="8:9">
      <c r="H5779" s="1092"/>
      <c r="I5779" s="1092"/>
    </row>
    <row r="5780" spans="8:9">
      <c r="H5780" s="1092"/>
      <c r="I5780" s="1092"/>
    </row>
    <row r="5781" spans="8:9">
      <c r="H5781" s="1092"/>
      <c r="I5781" s="1092"/>
    </row>
    <row r="5782" spans="8:9">
      <c r="H5782" s="1092"/>
      <c r="I5782" s="1092"/>
    </row>
    <row r="5783" spans="8:9">
      <c r="H5783" s="1092"/>
      <c r="I5783" s="1092"/>
    </row>
    <row r="5784" spans="8:9">
      <c r="H5784" s="1092"/>
      <c r="I5784" s="1092"/>
    </row>
    <row r="5785" spans="8:9">
      <c r="H5785" s="1092"/>
      <c r="I5785" s="1092"/>
    </row>
    <row r="5786" spans="8:9">
      <c r="H5786" s="1092"/>
      <c r="I5786" s="1092"/>
    </row>
    <row r="5787" spans="8:9">
      <c r="H5787" s="1092"/>
      <c r="I5787" s="1092"/>
    </row>
    <row r="5788" spans="8:9">
      <c r="H5788" s="1092"/>
      <c r="I5788" s="1092"/>
    </row>
    <row r="5789" spans="8:9">
      <c r="H5789" s="1092"/>
      <c r="I5789" s="1092"/>
    </row>
    <row r="5790" spans="8:9">
      <c r="H5790" s="1092"/>
      <c r="I5790" s="1092"/>
    </row>
    <row r="5791" spans="8:9">
      <c r="H5791" s="1092"/>
      <c r="I5791" s="1092"/>
    </row>
    <row r="5792" spans="8:9">
      <c r="H5792" s="1092"/>
      <c r="I5792" s="1092"/>
    </row>
    <row r="5793" spans="8:9">
      <c r="H5793" s="1092"/>
      <c r="I5793" s="1092"/>
    </row>
    <row r="5794" spans="8:9">
      <c r="H5794" s="1092"/>
      <c r="I5794" s="1092"/>
    </row>
    <row r="5795" spans="8:9">
      <c r="H5795" s="1092"/>
      <c r="I5795" s="1092"/>
    </row>
    <row r="5796" spans="8:9">
      <c r="H5796" s="1092"/>
      <c r="I5796" s="1092"/>
    </row>
    <row r="5797" spans="8:9">
      <c r="H5797" s="1092"/>
      <c r="I5797" s="1092"/>
    </row>
    <row r="5798" spans="8:9">
      <c r="H5798" s="1092"/>
      <c r="I5798" s="1092"/>
    </row>
    <row r="5799" spans="8:9">
      <c r="H5799" s="1092"/>
      <c r="I5799" s="1092"/>
    </row>
    <row r="5800" spans="8:9">
      <c r="H5800" s="1092"/>
      <c r="I5800" s="1092"/>
    </row>
    <row r="5801" spans="8:9">
      <c r="H5801" s="1092"/>
      <c r="I5801" s="1092"/>
    </row>
    <row r="5802" spans="8:9">
      <c r="H5802" s="1092"/>
      <c r="I5802" s="1092"/>
    </row>
    <row r="5803" spans="8:9">
      <c r="H5803" s="1092"/>
      <c r="I5803" s="1092"/>
    </row>
    <row r="5804" spans="8:9">
      <c r="H5804" s="1092"/>
      <c r="I5804" s="1092"/>
    </row>
    <row r="5805" spans="8:9">
      <c r="H5805" s="1092"/>
      <c r="I5805" s="1092"/>
    </row>
    <row r="5806" spans="8:9">
      <c r="H5806" s="1092"/>
      <c r="I5806" s="1092"/>
    </row>
    <row r="5807" spans="8:9">
      <c r="H5807" s="1092"/>
      <c r="I5807" s="1092"/>
    </row>
    <row r="5808" spans="8:9">
      <c r="H5808" s="1092"/>
      <c r="I5808" s="1092"/>
    </row>
    <row r="5809" spans="8:9">
      <c r="H5809" s="1092"/>
      <c r="I5809" s="1092"/>
    </row>
    <row r="5810" spans="8:9">
      <c r="H5810" s="1092"/>
      <c r="I5810" s="1092"/>
    </row>
    <row r="5811" spans="8:9">
      <c r="H5811" s="1092"/>
      <c r="I5811" s="1092"/>
    </row>
    <row r="5812" spans="8:9">
      <c r="H5812" s="1092"/>
      <c r="I5812" s="1092"/>
    </row>
    <row r="5813" spans="8:9">
      <c r="H5813" s="1092"/>
      <c r="I5813" s="1092"/>
    </row>
    <row r="5814" spans="8:9">
      <c r="H5814" s="1092"/>
      <c r="I5814" s="1092"/>
    </row>
    <row r="5815" spans="8:9">
      <c r="H5815" s="1092"/>
      <c r="I5815" s="1092"/>
    </row>
    <row r="5816" spans="8:9">
      <c r="H5816" s="1092"/>
      <c r="I5816" s="1092"/>
    </row>
    <row r="5817" spans="8:9">
      <c r="H5817" s="1092"/>
      <c r="I5817" s="1092"/>
    </row>
    <row r="5818" spans="8:9">
      <c r="H5818" s="1092"/>
      <c r="I5818" s="1092"/>
    </row>
    <row r="5819" spans="8:9">
      <c r="H5819" s="1092"/>
      <c r="I5819" s="1092"/>
    </row>
    <row r="5820" spans="8:9">
      <c r="H5820" s="1092"/>
      <c r="I5820" s="1092"/>
    </row>
    <row r="5821" spans="8:9">
      <c r="H5821" s="1092"/>
      <c r="I5821" s="1092"/>
    </row>
    <row r="5822" spans="8:9">
      <c r="H5822" s="1092"/>
      <c r="I5822" s="1092"/>
    </row>
    <row r="5823" spans="8:9">
      <c r="H5823" s="1092"/>
      <c r="I5823" s="1092"/>
    </row>
    <row r="5824" spans="8:9">
      <c r="H5824" s="1092"/>
      <c r="I5824" s="1092"/>
    </row>
    <row r="5825" spans="8:9">
      <c r="H5825" s="1092"/>
      <c r="I5825" s="1092"/>
    </row>
    <row r="5826" spans="8:9">
      <c r="H5826" s="1092"/>
      <c r="I5826" s="1092"/>
    </row>
    <row r="5827" spans="8:9">
      <c r="H5827" s="1092"/>
      <c r="I5827" s="1092"/>
    </row>
    <row r="5828" spans="8:9">
      <c r="H5828" s="1092"/>
      <c r="I5828" s="1092"/>
    </row>
    <row r="5829" spans="8:9">
      <c r="H5829" s="1092"/>
      <c r="I5829" s="1092"/>
    </row>
    <row r="5830" spans="8:9">
      <c r="H5830" s="1092"/>
      <c r="I5830" s="1092"/>
    </row>
    <row r="5831" spans="8:9">
      <c r="H5831" s="1092"/>
      <c r="I5831" s="1092"/>
    </row>
    <row r="5832" spans="8:9">
      <c r="H5832" s="1092"/>
      <c r="I5832" s="1092"/>
    </row>
    <row r="5833" spans="8:9">
      <c r="H5833" s="1092"/>
      <c r="I5833" s="1092"/>
    </row>
    <row r="5834" spans="8:9">
      <c r="H5834" s="1092"/>
      <c r="I5834" s="1092"/>
    </row>
    <row r="5835" spans="8:9">
      <c r="H5835" s="1092"/>
      <c r="I5835" s="1092"/>
    </row>
    <row r="5836" spans="8:9">
      <c r="H5836" s="1092"/>
      <c r="I5836" s="1092"/>
    </row>
    <row r="5837" spans="8:9">
      <c r="H5837" s="1092"/>
      <c r="I5837" s="1092"/>
    </row>
    <row r="5838" spans="8:9">
      <c r="H5838" s="1092"/>
      <c r="I5838" s="1092"/>
    </row>
    <row r="5839" spans="8:9">
      <c r="H5839" s="1092"/>
      <c r="I5839" s="1092"/>
    </row>
    <row r="5840" spans="8:9">
      <c r="H5840" s="1092"/>
      <c r="I5840" s="1092"/>
    </row>
    <row r="5841" spans="8:9">
      <c r="H5841" s="1092"/>
      <c r="I5841" s="1092"/>
    </row>
    <row r="5842" spans="8:9">
      <c r="H5842" s="1092"/>
      <c r="I5842" s="1092"/>
    </row>
    <row r="5843" spans="8:9">
      <c r="H5843" s="1092"/>
      <c r="I5843" s="1092"/>
    </row>
    <row r="5844" spans="8:9">
      <c r="H5844" s="1092"/>
      <c r="I5844" s="1092"/>
    </row>
    <row r="5845" spans="8:9">
      <c r="H5845" s="1092"/>
      <c r="I5845" s="1092"/>
    </row>
    <row r="5846" spans="8:9">
      <c r="H5846" s="1092"/>
      <c r="I5846" s="1092"/>
    </row>
    <row r="5847" spans="8:9">
      <c r="H5847" s="1092"/>
      <c r="I5847" s="1092"/>
    </row>
    <row r="5848" spans="8:9">
      <c r="H5848" s="1092"/>
      <c r="I5848" s="1092"/>
    </row>
    <row r="5849" spans="8:9">
      <c r="H5849" s="1092"/>
      <c r="I5849" s="1092"/>
    </row>
    <row r="5850" spans="8:9">
      <c r="H5850" s="1092"/>
      <c r="I5850" s="1092"/>
    </row>
    <row r="5851" spans="8:9">
      <c r="H5851" s="1092"/>
      <c r="I5851" s="1092"/>
    </row>
    <row r="5852" spans="8:9">
      <c r="H5852" s="1092"/>
      <c r="I5852" s="1092"/>
    </row>
    <row r="5853" spans="8:9">
      <c r="H5853" s="1092"/>
      <c r="I5853" s="1092"/>
    </row>
    <row r="5854" spans="8:9">
      <c r="H5854" s="1092"/>
      <c r="I5854" s="1092"/>
    </row>
    <row r="5855" spans="8:9">
      <c r="H5855" s="1092"/>
      <c r="I5855" s="1092"/>
    </row>
    <row r="5856" spans="8:9">
      <c r="H5856" s="1092"/>
      <c r="I5856" s="1092"/>
    </row>
    <row r="5857" spans="8:9">
      <c r="H5857" s="1092"/>
      <c r="I5857" s="1092"/>
    </row>
    <row r="5858" spans="8:9">
      <c r="H5858" s="1092"/>
      <c r="I5858" s="1092"/>
    </row>
    <row r="5859" spans="8:9">
      <c r="H5859" s="1092"/>
      <c r="I5859" s="1092"/>
    </row>
    <row r="5860" spans="8:9">
      <c r="H5860" s="1092"/>
      <c r="I5860" s="1092"/>
    </row>
    <row r="5861" spans="8:9">
      <c r="H5861" s="1092"/>
      <c r="I5861" s="1092"/>
    </row>
    <row r="5862" spans="8:9">
      <c r="H5862" s="1092"/>
      <c r="I5862" s="1092"/>
    </row>
    <row r="5863" spans="8:9">
      <c r="H5863" s="1092"/>
      <c r="I5863" s="1092"/>
    </row>
    <row r="5864" spans="8:9">
      <c r="H5864" s="1092"/>
      <c r="I5864" s="1092"/>
    </row>
    <row r="5865" spans="8:9">
      <c r="H5865" s="1092"/>
      <c r="I5865" s="1092"/>
    </row>
    <row r="5866" spans="8:9">
      <c r="H5866" s="1092"/>
      <c r="I5866" s="1092"/>
    </row>
    <row r="5867" spans="8:9">
      <c r="H5867" s="1092"/>
      <c r="I5867" s="1092"/>
    </row>
    <row r="5868" spans="8:9">
      <c r="H5868" s="1092"/>
      <c r="I5868" s="1092"/>
    </row>
    <row r="5869" spans="8:9">
      <c r="H5869" s="1092"/>
      <c r="I5869" s="1092"/>
    </row>
    <row r="5870" spans="8:9">
      <c r="H5870" s="1092"/>
      <c r="I5870" s="1092"/>
    </row>
    <row r="5871" spans="8:9">
      <c r="H5871" s="1092"/>
      <c r="I5871" s="1092"/>
    </row>
    <row r="5872" spans="8:9">
      <c r="H5872" s="1092"/>
      <c r="I5872" s="1092"/>
    </row>
    <row r="5873" spans="8:9">
      <c r="H5873" s="1092"/>
      <c r="I5873" s="1092"/>
    </row>
    <row r="5874" spans="8:9">
      <c r="H5874" s="1092"/>
      <c r="I5874" s="1092"/>
    </row>
    <row r="5875" spans="8:9">
      <c r="H5875" s="1092"/>
      <c r="I5875" s="1092"/>
    </row>
    <row r="5876" spans="8:9">
      <c r="H5876" s="1092"/>
      <c r="I5876" s="1092"/>
    </row>
    <row r="5877" spans="8:9">
      <c r="H5877" s="1092"/>
      <c r="I5877" s="1092"/>
    </row>
    <row r="5878" spans="8:9">
      <c r="H5878" s="1092"/>
      <c r="I5878" s="1092"/>
    </row>
    <row r="5879" spans="8:9">
      <c r="H5879" s="1092"/>
      <c r="I5879" s="1092"/>
    </row>
    <row r="5880" spans="8:9">
      <c r="H5880" s="1092"/>
      <c r="I5880" s="1092"/>
    </row>
    <row r="5881" spans="8:9">
      <c r="H5881" s="1092"/>
      <c r="I5881" s="1092"/>
    </row>
    <row r="5882" spans="8:9">
      <c r="H5882" s="1092"/>
      <c r="I5882" s="1092"/>
    </row>
    <row r="5883" spans="8:9">
      <c r="H5883" s="1092"/>
      <c r="I5883" s="1092"/>
    </row>
    <row r="5884" spans="8:9">
      <c r="H5884" s="1092"/>
      <c r="I5884" s="1092"/>
    </row>
    <row r="5885" spans="8:9">
      <c r="H5885" s="1092"/>
      <c r="I5885" s="1092"/>
    </row>
    <row r="5886" spans="8:9">
      <c r="H5886" s="1092"/>
      <c r="I5886" s="1092"/>
    </row>
    <row r="5887" spans="8:9">
      <c r="H5887" s="1092"/>
      <c r="I5887" s="1092"/>
    </row>
    <row r="5888" spans="8:9">
      <c r="H5888" s="1092"/>
      <c r="I5888" s="1092"/>
    </row>
    <row r="5889" spans="8:9">
      <c r="H5889" s="1092"/>
      <c r="I5889" s="1092"/>
    </row>
    <row r="5890" spans="8:9">
      <c r="H5890" s="1092"/>
      <c r="I5890" s="1092"/>
    </row>
    <row r="5891" spans="8:9">
      <c r="H5891" s="1092"/>
      <c r="I5891" s="1092"/>
    </row>
    <row r="5892" spans="8:9">
      <c r="H5892" s="1092"/>
      <c r="I5892" s="1092"/>
    </row>
    <row r="5893" spans="8:9">
      <c r="H5893" s="1092"/>
      <c r="I5893" s="1092"/>
    </row>
    <row r="5894" spans="8:9">
      <c r="H5894" s="1092"/>
      <c r="I5894" s="1092"/>
    </row>
    <row r="5895" spans="8:9">
      <c r="H5895" s="1092"/>
      <c r="I5895" s="1092"/>
    </row>
    <row r="5896" spans="8:9">
      <c r="H5896" s="1092"/>
      <c r="I5896" s="1092"/>
    </row>
    <row r="5897" spans="8:9">
      <c r="H5897" s="1092"/>
      <c r="I5897" s="1092"/>
    </row>
    <row r="5898" spans="8:9">
      <c r="H5898" s="1092"/>
      <c r="I5898" s="1092"/>
    </row>
    <row r="5899" spans="8:9">
      <c r="H5899" s="1092"/>
      <c r="I5899" s="1092"/>
    </row>
    <row r="5900" spans="8:9">
      <c r="H5900" s="1092"/>
      <c r="I5900" s="1092"/>
    </row>
    <row r="5901" spans="8:9">
      <c r="H5901" s="1092"/>
      <c r="I5901" s="1092"/>
    </row>
    <row r="5902" spans="8:9">
      <c r="H5902" s="1092"/>
      <c r="I5902" s="1092"/>
    </row>
    <row r="5903" spans="8:9">
      <c r="H5903" s="1092"/>
      <c r="I5903" s="1092"/>
    </row>
    <row r="5904" spans="8:9">
      <c r="H5904" s="1092"/>
      <c r="I5904" s="1092"/>
    </row>
    <row r="5905" spans="8:9">
      <c r="H5905" s="1092"/>
      <c r="I5905" s="1092"/>
    </row>
    <row r="5906" spans="8:9">
      <c r="H5906" s="1092"/>
      <c r="I5906" s="1092"/>
    </row>
    <row r="5907" spans="8:9">
      <c r="H5907" s="1092"/>
      <c r="I5907" s="1092"/>
    </row>
    <row r="5908" spans="8:9">
      <c r="H5908" s="1092"/>
      <c r="I5908" s="1092"/>
    </row>
    <row r="5909" spans="8:9">
      <c r="H5909" s="1092"/>
      <c r="I5909" s="1092"/>
    </row>
    <row r="5910" spans="8:9">
      <c r="H5910" s="1092"/>
      <c r="I5910" s="1092"/>
    </row>
    <row r="5911" spans="8:9">
      <c r="H5911" s="1092"/>
      <c r="I5911" s="1092"/>
    </row>
    <row r="5912" spans="8:9">
      <c r="H5912" s="1092"/>
      <c r="I5912" s="1092"/>
    </row>
    <row r="5913" spans="8:9">
      <c r="H5913" s="1092"/>
      <c r="I5913" s="1092"/>
    </row>
    <row r="5914" spans="8:9">
      <c r="H5914" s="1092"/>
      <c r="I5914" s="1092"/>
    </row>
    <row r="5915" spans="8:9">
      <c r="H5915" s="1092"/>
      <c r="I5915" s="1092"/>
    </row>
    <row r="5916" spans="8:9">
      <c r="H5916" s="1092"/>
      <c r="I5916" s="1092"/>
    </row>
    <row r="5917" spans="8:9">
      <c r="H5917" s="1092"/>
      <c r="I5917" s="1092"/>
    </row>
    <row r="5918" spans="8:9">
      <c r="H5918" s="1092"/>
      <c r="I5918" s="1092"/>
    </row>
    <row r="5919" spans="8:9">
      <c r="H5919" s="1092"/>
      <c r="I5919" s="1092"/>
    </row>
    <row r="5920" spans="8:9">
      <c r="H5920" s="1092"/>
      <c r="I5920" s="1092"/>
    </row>
    <row r="5921" spans="8:9">
      <c r="H5921" s="1092"/>
      <c r="I5921" s="1092"/>
    </row>
    <row r="5922" spans="8:9">
      <c r="H5922" s="1092"/>
      <c r="I5922" s="1092"/>
    </row>
    <row r="5923" spans="8:9">
      <c r="H5923" s="1092"/>
      <c r="I5923" s="1092"/>
    </row>
    <row r="5924" spans="8:9">
      <c r="H5924" s="1092"/>
      <c r="I5924" s="1092"/>
    </row>
    <row r="5925" spans="8:9">
      <c r="H5925" s="1092"/>
      <c r="I5925" s="1092"/>
    </row>
    <row r="5926" spans="8:9">
      <c r="H5926" s="1092"/>
      <c r="I5926" s="1092"/>
    </row>
    <row r="5927" spans="8:9">
      <c r="H5927" s="1092"/>
      <c r="I5927" s="1092"/>
    </row>
    <row r="5928" spans="8:9">
      <c r="H5928" s="1092"/>
      <c r="I5928" s="1092"/>
    </row>
    <row r="5929" spans="8:9">
      <c r="H5929" s="1092"/>
      <c r="I5929" s="1092"/>
    </row>
    <row r="5930" spans="8:9">
      <c r="H5930" s="1092"/>
      <c r="I5930" s="1092"/>
    </row>
    <row r="5931" spans="8:9">
      <c r="H5931" s="1092"/>
      <c r="I5931" s="1092"/>
    </row>
    <row r="5932" spans="8:9">
      <c r="H5932" s="1092"/>
      <c r="I5932" s="1092"/>
    </row>
    <row r="5933" spans="8:9">
      <c r="H5933" s="1092"/>
      <c r="I5933" s="1092"/>
    </row>
    <row r="5934" spans="8:9">
      <c r="H5934" s="1092"/>
      <c r="I5934" s="1092"/>
    </row>
    <row r="5935" spans="8:9">
      <c r="H5935" s="1092"/>
      <c r="I5935" s="1092"/>
    </row>
    <row r="5936" spans="8:9">
      <c r="H5936" s="1092"/>
      <c r="I5936" s="1092"/>
    </row>
    <row r="5937" spans="8:9">
      <c r="H5937" s="1092"/>
      <c r="I5937" s="1092"/>
    </row>
    <row r="5938" spans="8:9">
      <c r="H5938" s="1092"/>
      <c r="I5938" s="1092"/>
    </row>
    <row r="5939" spans="8:9">
      <c r="H5939" s="1092"/>
      <c r="I5939" s="1092"/>
    </row>
    <row r="5940" spans="8:9">
      <c r="H5940" s="1092"/>
      <c r="I5940" s="1092"/>
    </row>
    <row r="5941" spans="8:9">
      <c r="H5941" s="1092"/>
      <c r="I5941" s="1092"/>
    </row>
    <row r="5942" spans="8:9">
      <c r="H5942" s="1092"/>
      <c r="I5942" s="1092"/>
    </row>
    <row r="5943" spans="8:9">
      <c r="H5943" s="1092"/>
      <c r="I5943" s="1092"/>
    </row>
    <row r="5944" spans="8:9">
      <c r="H5944" s="1092"/>
      <c r="I5944" s="1092"/>
    </row>
    <row r="5945" spans="8:9">
      <c r="H5945" s="1092"/>
      <c r="I5945" s="1092"/>
    </row>
    <row r="5946" spans="8:9">
      <c r="H5946" s="1092"/>
      <c r="I5946" s="1092"/>
    </row>
    <row r="5947" spans="8:9">
      <c r="H5947" s="1092"/>
      <c r="I5947" s="1092"/>
    </row>
    <row r="5948" spans="8:9">
      <c r="H5948" s="1092"/>
      <c r="I5948" s="1092"/>
    </row>
    <row r="5949" spans="8:9">
      <c r="H5949" s="1092"/>
      <c r="I5949" s="1092"/>
    </row>
    <row r="5950" spans="8:9">
      <c r="H5950" s="1092"/>
      <c r="I5950" s="1092"/>
    </row>
    <row r="5951" spans="8:9">
      <c r="H5951" s="1092"/>
      <c r="I5951" s="1092"/>
    </row>
    <row r="5952" spans="8:9">
      <c r="H5952" s="1092"/>
      <c r="I5952" s="1092"/>
    </row>
    <row r="5953" spans="8:9">
      <c r="H5953" s="1092"/>
      <c r="I5953" s="1092"/>
    </row>
    <row r="5954" spans="8:9">
      <c r="H5954" s="1092"/>
      <c r="I5954" s="1092"/>
    </row>
    <row r="5955" spans="8:9">
      <c r="H5955" s="1092"/>
      <c r="I5955" s="1092"/>
    </row>
    <row r="5956" spans="8:9">
      <c r="H5956" s="1092"/>
      <c r="I5956" s="1092"/>
    </row>
    <row r="5957" spans="8:9">
      <c r="H5957" s="1092"/>
      <c r="I5957" s="1092"/>
    </row>
    <row r="5958" spans="8:9">
      <c r="H5958" s="1092"/>
      <c r="I5958" s="1092"/>
    </row>
    <row r="5959" spans="8:9">
      <c r="H5959" s="1092"/>
      <c r="I5959" s="1092"/>
    </row>
    <row r="5960" spans="8:9">
      <c r="H5960" s="1092"/>
      <c r="I5960" s="1092"/>
    </row>
    <row r="5961" spans="8:9">
      <c r="H5961" s="1092"/>
      <c r="I5961" s="1092"/>
    </row>
    <row r="5962" spans="8:9">
      <c r="H5962" s="1092"/>
      <c r="I5962" s="1092"/>
    </row>
    <row r="5963" spans="8:9">
      <c r="H5963" s="1092"/>
      <c r="I5963" s="1092"/>
    </row>
    <row r="5964" spans="8:9">
      <c r="H5964" s="1092"/>
      <c r="I5964" s="1092"/>
    </row>
    <row r="5965" spans="8:9">
      <c r="H5965" s="1092"/>
      <c r="I5965" s="1092"/>
    </row>
    <row r="5966" spans="8:9">
      <c r="H5966" s="1092"/>
      <c r="I5966" s="1092"/>
    </row>
    <row r="5967" spans="8:9">
      <c r="H5967" s="1092"/>
      <c r="I5967" s="1092"/>
    </row>
    <row r="5968" spans="8:9">
      <c r="H5968" s="1092"/>
      <c r="I5968" s="1092"/>
    </row>
    <row r="5969" spans="8:9">
      <c r="H5969" s="1092"/>
      <c r="I5969" s="1092"/>
    </row>
    <row r="5970" spans="8:9">
      <c r="H5970" s="1092"/>
      <c r="I5970" s="1092"/>
    </row>
    <row r="5971" spans="8:9">
      <c r="H5971" s="1092"/>
      <c r="I5971" s="1092"/>
    </row>
    <row r="5972" spans="8:9">
      <c r="H5972" s="1092"/>
      <c r="I5972" s="1092"/>
    </row>
    <row r="5973" spans="8:9">
      <c r="H5973" s="1092"/>
      <c r="I5973" s="1092"/>
    </row>
    <row r="5974" spans="8:9">
      <c r="H5974" s="1092"/>
      <c r="I5974" s="1092"/>
    </row>
    <row r="5975" spans="8:9">
      <c r="H5975" s="1092"/>
      <c r="I5975" s="1092"/>
    </row>
    <row r="5976" spans="8:9">
      <c r="H5976" s="1092"/>
      <c r="I5976" s="1092"/>
    </row>
    <row r="5977" spans="8:9">
      <c r="H5977" s="1092"/>
      <c r="I5977" s="1092"/>
    </row>
    <row r="5978" spans="8:9">
      <c r="H5978" s="1092"/>
      <c r="I5978" s="1092"/>
    </row>
    <row r="5979" spans="8:9">
      <c r="H5979" s="1092"/>
      <c r="I5979" s="1092"/>
    </row>
    <row r="5980" spans="8:9">
      <c r="H5980" s="1092"/>
      <c r="I5980" s="1092"/>
    </row>
    <row r="5981" spans="8:9">
      <c r="H5981" s="1092"/>
      <c r="I5981" s="1092"/>
    </row>
    <row r="5982" spans="8:9">
      <c r="H5982" s="1092"/>
      <c r="I5982" s="1092"/>
    </row>
    <row r="5983" spans="8:9">
      <c r="H5983" s="1092"/>
      <c r="I5983" s="1092"/>
    </row>
    <row r="5984" spans="8:9">
      <c r="H5984" s="1092"/>
      <c r="I5984" s="1092"/>
    </row>
    <row r="5985" spans="8:9">
      <c r="H5985" s="1092"/>
      <c r="I5985" s="1092"/>
    </row>
    <row r="5986" spans="8:9">
      <c r="H5986" s="1092"/>
      <c r="I5986" s="1092"/>
    </row>
    <row r="5987" spans="8:9">
      <c r="H5987" s="1092"/>
      <c r="I5987" s="1092"/>
    </row>
    <row r="5988" spans="8:9">
      <c r="H5988" s="1092"/>
      <c r="I5988" s="1092"/>
    </row>
    <row r="5989" spans="8:9">
      <c r="H5989" s="1092"/>
      <c r="I5989" s="1092"/>
    </row>
    <row r="5990" spans="8:9">
      <c r="H5990" s="1092"/>
      <c r="I5990" s="1092"/>
    </row>
    <row r="5991" spans="8:9">
      <c r="H5991" s="1092"/>
      <c r="I5991" s="1092"/>
    </row>
    <row r="5992" spans="8:9">
      <c r="H5992" s="1092"/>
      <c r="I5992" s="1092"/>
    </row>
    <row r="5993" spans="8:9">
      <c r="H5993" s="1092"/>
      <c r="I5993" s="1092"/>
    </row>
    <row r="5994" spans="8:9">
      <c r="H5994" s="1092"/>
      <c r="I5994" s="1092"/>
    </row>
    <row r="5995" spans="8:9">
      <c r="H5995" s="1092"/>
      <c r="I5995" s="1092"/>
    </row>
    <row r="5996" spans="8:9">
      <c r="H5996" s="1092"/>
      <c r="I5996" s="1092"/>
    </row>
    <row r="5997" spans="8:9">
      <c r="H5997" s="1092"/>
      <c r="I5997" s="1092"/>
    </row>
    <row r="5998" spans="8:9">
      <c r="H5998" s="1092"/>
      <c r="I5998" s="1092"/>
    </row>
    <row r="5999" spans="8:9">
      <c r="H5999" s="1092"/>
      <c r="I5999" s="1092"/>
    </row>
    <row r="6000" spans="8:9">
      <c r="H6000" s="1092"/>
      <c r="I6000" s="1092"/>
    </row>
    <row r="6001" spans="8:9">
      <c r="H6001" s="1092"/>
      <c r="I6001" s="1092"/>
    </row>
    <row r="6002" spans="8:9">
      <c r="H6002" s="1092"/>
      <c r="I6002" s="1092"/>
    </row>
    <row r="6003" spans="8:9">
      <c r="H6003" s="1092"/>
      <c r="I6003" s="1092"/>
    </row>
    <row r="6004" spans="8:9">
      <c r="H6004" s="1092"/>
      <c r="I6004" s="1092"/>
    </row>
    <row r="6005" spans="8:9">
      <c r="H6005" s="1092"/>
      <c r="I6005" s="1092"/>
    </row>
    <row r="6006" spans="8:9">
      <c r="H6006" s="1092"/>
      <c r="I6006" s="1092"/>
    </row>
    <row r="6007" spans="8:9">
      <c r="H6007" s="1092"/>
      <c r="I6007" s="1092"/>
    </row>
    <row r="6008" spans="8:9">
      <c r="H6008" s="1092"/>
      <c r="I6008" s="1092"/>
    </row>
    <row r="6009" spans="8:9">
      <c r="H6009" s="1092"/>
      <c r="I6009" s="1092"/>
    </row>
    <row r="6010" spans="8:9">
      <c r="H6010" s="1092"/>
      <c r="I6010" s="1092"/>
    </row>
    <row r="6011" spans="8:9">
      <c r="H6011" s="1092"/>
      <c r="I6011" s="1092"/>
    </row>
    <row r="6012" spans="8:9">
      <c r="H6012" s="1092"/>
      <c r="I6012" s="1092"/>
    </row>
    <row r="6013" spans="8:9">
      <c r="H6013" s="1092"/>
      <c r="I6013" s="1092"/>
    </row>
    <row r="6014" spans="8:9">
      <c r="H6014" s="1092"/>
      <c r="I6014" s="1092"/>
    </row>
    <row r="6015" spans="8:9">
      <c r="H6015" s="1092"/>
      <c r="I6015" s="1092"/>
    </row>
    <row r="6016" spans="8:9">
      <c r="H6016" s="1092"/>
      <c r="I6016" s="1092"/>
    </row>
    <row r="6017" spans="8:9">
      <c r="H6017" s="1092"/>
      <c r="I6017" s="1092"/>
    </row>
    <row r="6018" spans="8:9">
      <c r="H6018" s="1092"/>
      <c r="I6018" s="1092"/>
    </row>
    <row r="6019" spans="8:9">
      <c r="H6019" s="1092"/>
      <c r="I6019" s="1092"/>
    </row>
    <row r="6020" spans="8:9">
      <c r="H6020" s="1092"/>
      <c r="I6020" s="1092"/>
    </row>
    <row r="6021" spans="8:9">
      <c r="H6021" s="1092"/>
      <c r="I6021" s="1092"/>
    </row>
    <row r="6022" spans="8:9">
      <c r="H6022" s="1092"/>
      <c r="I6022" s="1092"/>
    </row>
    <row r="6023" spans="8:9">
      <c r="H6023" s="1092"/>
      <c r="I6023" s="1092"/>
    </row>
    <row r="6024" spans="8:9">
      <c r="H6024" s="1092"/>
      <c r="I6024" s="1092"/>
    </row>
    <row r="6025" spans="8:9">
      <c r="H6025" s="1092"/>
      <c r="I6025" s="1092"/>
    </row>
    <row r="6026" spans="8:9">
      <c r="H6026" s="1092"/>
      <c r="I6026" s="1092"/>
    </row>
    <row r="6027" spans="8:9">
      <c r="H6027" s="1092"/>
      <c r="I6027" s="1092"/>
    </row>
    <row r="6028" spans="8:9">
      <c r="H6028" s="1092"/>
      <c r="I6028" s="1092"/>
    </row>
    <row r="6029" spans="8:9">
      <c r="H6029" s="1092"/>
      <c r="I6029" s="1092"/>
    </row>
    <row r="6030" spans="8:9">
      <c r="H6030" s="1092"/>
      <c r="I6030" s="1092"/>
    </row>
    <row r="6031" spans="8:9">
      <c r="H6031" s="1092"/>
      <c r="I6031" s="1092"/>
    </row>
    <row r="6032" spans="8:9">
      <c r="H6032" s="1092"/>
      <c r="I6032" s="1092"/>
    </row>
    <row r="6033" spans="8:9">
      <c r="H6033" s="1092"/>
      <c r="I6033" s="1092"/>
    </row>
    <row r="6034" spans="8:9">
      <c r="H6034" s="1092"/>
      <c r="I6034" s="1092"/>
    </row>
    <row r="6035" spans="8:9">
      <c r="H6035" s="1092"/>
      <c r="I6035" s="1092"/>
    </row>
    <row r="6036" spans="8:9">
      <c r="H6036" s="1092"/>
      <c r="I6036" s="1092"/>
    </row>
    <row r="6037" spans="8:9">
      <c r="H6037" s="1092"/>
      <c r="I6037" s="1092"/>
    </row>
    <row r="6038" spans="8:9">
      <c r="H6038" s="1092"/>
      <c r="I6038" s="1092"/>
    </row>
    <row r="6039" spans="8:9">
      <c r="H6039" s="1092"/>
      <c r="I6039" s="1092"/>
    </row>
    <row r="6040" spans="8:9">
      <c r="H6040" s="1092"/>
      <c r="I6040" s="1092"/>
    </row>
    <row r="6041" spans="8:9">
      <c r="H6041" s="1092"/>
      <c r="I6041" s="1092"/>
    </row>
    <row r="6042" spans="8:9">
      <c r="H6042" s="1092"/>
      <c r="I6042" s="1092"/>
    </row>
    <row r="6043" spans="8:9">
      <c r="H6043" s="1092"/>
      <c r="I6043" s="1092"/>
    </row>
    <row r="6044" spans="8:9">
      <c r="H6044" s="1092"/>
      <c r="I6044" s="1092"/>
    </row>
    <row r="6045" spans="8:9">
      <c r="H6045" s="1092"/>
      <c r="I6045" s="1092"/>
    </row>
    <row r="6046" spans="8:9">
      <c r="H6046" s="1092"/>
      <c r="I6046" s="1092"/>
    </row>
    <row r="6047" spans="8:9">
      <c r="H6047" s="1092"/>
      <c r="I6047" s="1092"/>
    </row>
    <row r="6048" spans="8:9">
      <c r="H6048" s="1092"/>
      <c r="I6048" s="1092"/>
    </row>
    <row r="6049" spans="8:9">
      <c r="H6049" s="1092"/>
      <c r="I6049" s="1092"/>
    </row>
    <row r="6050" spans="8:9">
      <c r="H6050" s="1092"/>
      <c r="I6050" s="1092"/>
    </row>
    <row r="6051" spans="8:9">
      <c r="H6051" s="1092"/>
      <c r="I6051" s="1092"/>
    </row>
    <row r="6052" spans="8:9">
      <c r="H6052" s="1092"/>
      <c r="I6052" s="1092"/>
    </row>
    <row r="6053" spans="8:9">
      <c r="H6053" s="1092"/>
      <c r="I6053" s="1092"/>
    </row>
    <row r="6054" spans="8:9">
      <c r="H6054" s="1092"/>
      <c r="I6054" s="1092"/>
    </row>
    <row r="6055" spans="8:9">
      <c r="H6055" s="1092"/>
      <c r="I6055" s="1092"/>
    </row>
    <row r="6056" spans="8:9">
      <c r="H6056" s="1092"/>
      <c r="I6056" s="1092"/>
    </row>
    <row r="6057" spans="8:9">
      <c r="H6057" s="1092"/>
      <c r="I6057" s="1092"/>
    </row>
    <row r="6058" spans="8:9">
      <c r="H6058" s="1092"/>
      <c r="I6058" s="1092"/>
    </row>
    <row r="6059" spans="8:9">
      <c r="H6059" s="1092"/>
      <c r="I6059" s="1092"/>
    </row>
    <row r="6060" spans="8:9">
      <c r="H6060" s="1092"/>
      <c r="I6060" s="1092"/>
    </row>
    <row r="6061" spans="8:9">
      <c r="H6061" s="1092"/>
      <c r="I6061" s="1092"/>
    </row>
    <row r="6062" spans="8:9">
      <c r="H6062" s="1092"/>
      <c r="I6062" s="1092"/>
    </row>
    <row r="6063" spans="8:9">
      <c r="H6063" s="1092"/>
      <c r="I6063" s="1092"/>
    </row>
    <row r="6064" spans="8:9">
      <c r="H6064" s="1092"/>
      <c r="I6064" s="1092"/>
    </row>
    <row r="6065" spans="8:9">
      <c r="H6065" s="1092"/>
      <c r="I6065" s="1092"/>
    </row>
    <row r="6066" spans="8:9">
      <c r="H6066" s="1092"/>
      <c r="I6066" s="1092"/>
    </row>
    <row r="6067" spans="8:9">
      <c r="H6067" s="1092"/>
      <c r="I6067" s="1092"/>
    </row>
    <row r="6068" spans="8:9">
      <c r="H6068" s="1092"/>
      <c r="I6068" s="1092"/>
    </row>
    <row r="6069" spans="8:9">
      <c r="H6069" s="1092"/>
      <c r="I6069" s="1092"/>
    </row>
    <row r="6070" spans="8:9">
      <c r="H6070" s="1092"/>
      <c r="I6070" s="1092"/>
    </row>
    <row r="6071" spans="8:9">
      <c r="H6071" s="1092"/>
      <c r="I6071" s="1092"/>
    </row>
    <row r="6072" spans="8:9">
      <c r="H6072" s="1092"/>
      <c r="I6072" s="1092"/>
    </row>
    <row r="6073" spans="8:9">
      <c r="H6073" s="1092"/>
      <c r="I6073" s="1092"/>
    </row>
    <row r="6074" spans="8:9">
      <c r="H6074" s="1092"/>
      <c r="I6074" s="1092"/>
    </row>
    <row r="6075" spans="8:9">
      <c r="H6075" s="1092"/>
      <c r="I6075" s="1092"/>
    </row>
    <row r="6076" spans="8:9">
      <c r="H6076" s="1092"/>
      <c r="I6076" s="1092"/>
    </row>
    <row r="6077" spans="8:9">
      <c r="H6077" s="1092"/>
      <c r="I6077" s="1092"/>
    </row>
    <row r="6078" spans="8:9">
      <c r="H6078" s="1092"/>
      <c r="I6078" s="1092"/>
    </row>
    <row r="6079" spans="8:9">
      <c r="H6079" s="1092"/>
      <c r="I6079" s="1092"/>
    </row>
    <row r="6080" spans="8:9">
      <c r="H6080" s="1092"/>
      <c r="I6080" s="1092"/>
    </row>
    <row r="6081" spans="8:9">
      <c r="H6081" s="1092"/>
      <c r="I6081" s="1092"/>
    </row>
    <row r="6082" spans="8:9">
      <c r="H6082" s="1092"/>
      <c r="I6082" s="1092"/>
    </row>
    <row r="6083" spans="8:9">
      <c r="H6083" s="1092"/>
      <c r="I6083" s="1092"/>
    </row>
    <row r="6084" spans="8:9">
      <c r="H6084" s="1092"/>
      <c r="I6084" s="1092"/>
    </row>
    <row r="6085" spans="8:9">
      <c r="H6085" s="1092"/>
      <c r="I6085" s="1092"/>
    </row>
    <row r="6086" spans="8:9">
      <c r="H6086" s="1092"/>
      <c r="I6086" s="1092"/>
    </row>
    <row r="6087" spans="8:9">
      <c r="H6087" s="1092"/>
      <c r="I6087" s="1092"/>
    </row>
    <row r="6088" spans="8:9">
      <c r="H6088" s="1092"/>
      <c r="I6088" s="1092"/>
    </row>
    <row r="6089" spans="8:9">
      <c r="H6089" s="1092"/>
      <c r="I6089" s="1092"/>
    </row>
    <row r="6090" spans="8:9">
      <c r="H6090" s="1092"/>
      <c r="I6090" s="1092"/>
    </row>
    <row r="6091" spans="8:9">
      <c r="H6091" s="1092"/>
      <c r="I6091" s="1092"/>
    </row>
    <row r="6092" spans="8:9">
      <c r="H6092" s="1092"/>
      <c r="I6092" s="1092"/>
    </row>
    <row r="6093" spans="8:9">
      <c r="H6093" s="1092"/>
      <c r="I6093" s="1092"/>
    </row>
    <row r="6094" spans="8:9">
      <c r="H6094" s="1092"/>
      <c r="I6094" s="1092"/>
    </row>
    <row r="6095" spans="8:9">
      <c r="H6095" s="1092"/>
      <c r="I6095" s="1092"/>
    </row>
    <row r="6096" spans="8:9">
      <c r="H6096" s="1092"/>
      <c r="I6096" s="1092"/>
    </row>
    <row r="6097" spans="8:9">
      <c r="H6097" s="1092"/>
      <c r="I6097" s="1092"/>
    </row>
    <row r="6098" spans="8:9">
      <c r="H6098" s="1092"/>
      <c r="I6098" s="1092"/>
    </row>
    <row r="6099" spans="8:9">
      <c r="H6099" s="1092"/>
      <c r="I6099" s="1092"/>
    </row>
    <row r="6100" spans="8:9">
      <c r="H6100" s="1092"/>
      <c r="I6100" s="1092"/>
    </row>
    <row r="6101" spans="8:9">
      <c r="H6101" s="1092"/>
      <c r="I6101" s="1092"/>
    </row>
    <row r="6102" spans="8:9">
      <c r="H6102" s="1092"/>
      <c r="I6102" s="1092"/>
    </row>
    <row r="6103" spans="8:9">
      <c r="H6103" s="1092"/>
      <c r="I6103" s="1092"/>
    </row>
    <row r="6104" spans="8:9">
      <c r="H6104" s="1092"/>
      <c r="I6104" s="1092"/>
    </row>
    <row r="6105" spans="8:9">
      <c r="H6105" s="1092"/>
      <c r="I6105" s="1092"/>
    </row>
    <row r="6106" spans="8:9">
      <c r="H6106" s="1092"/>
      <c r="I6106" s="1092"/>
    </row>
    <row r="6107" spans="8:9">
      <c r="H6107" s="1092"/>
      <c r="I6107" s="1092"/>
    </row>
    <row r="6108" spans="8:9">
      <c r="H6108" s="1092"/>
      <c r="I6108" s="1092"/>
    </row>
    <row r="6109" spans="8:9">
      <c r="H6109" s="1092"/>
      <c r="I6109" s="1092"/>
    </row>
    <row r="6110" spans="8:9">
      <c r="H6110" s="1092"/>
      <c r="I6110" s="1092"/>
    </row>
    <row r="6111" spans="8:9">
      <c r="H6111" s="1092"/>
      <c r="I6111" s="1092"/>
    </row>
    <row r="6112" spans="8:9">
      <c r="H6112" s="1092"/>
      <c r="I6112" s="1092"/>
    </row>
    <row r="6113" spans="8:9">
      <c r="H6113" s="1092"/>
      <c r="I6113" s="1092"/>
    </row>
    <row r="6114" spans="8:9">
      <c r="H6114" s="1092"/>
      <c r="I6114" s="1092"/>
    </row>
    <row r="6115" spans="8:9">
      <c r="H6115" s="1092"/>
      <c r="I6115" s="1092"/>
    </row>
    <row r="6116" spans="8:9">
      <c r="H6116" s="1092"/>
      <c r="I6116" s="1092"/>
    </row>
    <row r="6117" spans="8:9">
      <c r="H6117" s="1092"/>
      <c r="I6117" s="1092"/>
    </row>
    <row r="6118" spans="8:9">
      <c r="H6118" s="1092"/>
      <c r="I6118" s="1092"/>
    </row>
    <row r="6119" spans="8:9">
      <c r="H6119" s="1092"/>
      <c r="I6119" s="1092"/>
    </row>
    <row r="6120" spans="8:9">
      <c r="H6120" s="1092"/>
      <c r="I6120" s="1092"/>
    </row>
    <row r="6121" spans="8:9">
      <c r="H6121" s="1092"/>
      <c r="I6121" s="1092"/>
    </row>
    <row r="6122" spans="8:9">
      <c r="H6122" s="1092"/>
      <c r="I6122" s="1092"/>
    </row>
    <row r="6123" spans="8:9">
      <c r="H6123" s="1092"/>
      <c r="I6123" s="1092"/>
    </row>
    <row r="6124" spans="8:9">
      <c r="H6124" s="1092"/>
      <c r="I6124" s="1092"/>
    </row>
    <row r="6125" spans="8:9">
      <c r="H6125" s="1092"/>
      <c r="I6125" s="1092"/>
    </row>
    <row r="6126" spans="8:9">
      <c r="H6126" s="1092"/>
      <c r="I6126" s="1092"/>
    </row>
    <row r="6127" spans="8:9">
      <c r="H6127" s="1092"/>
      <c r="I6127" s="1092"/>
    </row>
    <row r="6128" spans="8:9">
      <c r="H6128" s="1092"/>
      <c r="I6128" s="1092"/>
    </row>
    <row r="6129" spans="8:9">
      <c r="H6129" s="1092"/>
      <c r="I6129" s="1092"/>
    </row>
    <row r="6130" spans="8:9">
      <c r="H6130" s="1092"/>
      <c r="I6130" s="1092"/>
    </row>
    <row r="6131" spans="8:9">
      <c r="H6131" s="1092"/>
      <c r="I6131" s="1092"/>
    </row>
    <row r="6132" spans="8:9">
      <c r="H6132" s="1092"/>
      <c r="I6132" s="1092"/>
    </row>
    <row r="6133" spans="8:9">
      <c r="H6133" s="1092"/>
      <c r="I6133" s="1092"/>
    </row>
    <row r="6134" spans="8:9">
      <c r="H6134" s="1092"/>
      <c r="I6134" s="1092"/>
    </row>
    <row r="6135" spans="8:9">
      <c r="H6135" s="1092"/>
      <c r="I6135" s="1092"/>
    </row>
    <row r="6136" spans="8:9">
      <c r="H6136" s="1092"/>
      <c r="I6136" s="1092"/>
    </row>
    <row r="6137" spans="8:9">
      <c r="H6137" s="1092"/>
      <c r="I6137" s="1092"/>
    </row>
    <row r="6138" spans="8:9">
      <c r="H6138" s="1092"/>
      <c r="I6138" s="1092"/>
    </row>
    <row r="6139" spans="8:9">
      <c r="H6139" s="1092"/>
      <c r="I6139" s="1092"/>
    </row>
    <row r="6140" spans="8:9">
      <c r="H6140" s="1092"/>
      <c r="I6140" s="1092"/>
    </row>
    <row r="6141" spans="8:9">
      <c r="H6141" s="1092"/>
      <c r="I6141" s="1092"/>
    </row>
    <row r="6142" spans="8:9">
      <c r="H6142" s="1092"/>
      <c r="I6142" s="1092"/>
    </row>
    <row r="6143" spans="8:9">
      <c r="H6143" s="1092"/>
      <c r="I6143" s="1092"/>
    </row>
    <row r="6144" spans="8:9">
      <c r="H6144" s="1092"/>
      <c r="I6144" s="1092"/>
    </row>
    <row r="6145" spans="8:9">
      <c r="H6145" s="1092"/>
      <c r="I6145" s="1092"/>
    </row>
    <row r="6146" spans="8:9">
      <c r="H6146" s="1092"/>
      <c r="I6146" s="1092"/>
    </row>
    <row r="6147" spans="8:9">
      <c r="H6147" s="1092"/>
      <c r="I6147" s="1092"/>
    </row>
    <row r="6148" spans="8:9">
      <c r="H6148" s="1092"/>
      <c r="I6148" s="1092"/>
    </row>
    <row r="6149" spans="8:9">
      <c r="H6149" s="1092"/>
      <c r="I6149" s="1092"/>
    </row>
    <row r="6150" spans="8:9">
      <c r="H6150" s="1092"/>
      <c r="I6150" s="1092"/>
    </row>
    <row r="6151" spans="8:9">
      <c r="H6151" s="1092"/>
      <c r="I6151" s="1092"/>
    </row>
    <row r="6152" spans="8:9">
      <c r="H6152" s="1092"/>
      <c r="I6152" s="1092"/>
    </row>
    <row r="6153" spans="8:9">
      <c r="H6153" s="1092"/>
      <c r="I6153" s="1092"/>
    </row>
    <row r="6154" spans="8:9">
      <c r="H6154" s="1092"/>
      <c r="I6154" s="1092"/>
    </row>
    <row r="6155" spans="8:9">
      <c r="H6155" s="1092"/>
      <c r="I6155" s="1092"/>
    </row>
    <row r="6156" spans="8:9">
      <c r="H6156" s="1092"/>
      <c r="I6156" s="1092"/>
    </row>
    <row r="6157" spans="8:9">
      <c r="H6157" s="1092"/>
      <c r="I6157" s="1092"/>
    </row>
    <row r="6158" spans="8:9">
      <c r="H6158" s="1092"/>
      <c r="I6158" s="1092"/>
    </row>
    <row r="6159" spans="8:9">
      <c r="H6159" s="1092"/>
      <c r="I6159" s="1092"/>
    </row>
    <row r="6160" spans="8:9">
      <c r="H6160" s="1092"/>
      <c r="I6160" s="1092"/>
    </row>
    <row r="6161" spans="8:9">
      <c r="H6161" s="1092"/>
      <c r="I6161" s="1092"/>
    </row>
    <row r="6162" spans="8:9">
      <c r="H6162" s="1092"/>
      <c r="I6162" s="1092"/>
    </row>
    <row r="6163" spans="8:9">
      <c r="H6163" s="1092"/>
      <c r="I6163" s="1092"/>
    </row>
    <row r="6164" spans="8:9">
      <c r="H6164" s="1092"/>
      <c r="I6164" s="1092"/>
    </row>
    <row r="6165" spans="8:9">
      <c r="H6165" s="1092"/>
      <c r="I6165" s="1092"/>
    </row>
    <row r="6166" spans="8:9">
      <c r="H6166" s="1092"/>
      <c r="I6166" s="1092"/>
    </row>
    <row r="6167" spans="8:9">
      <c r="H6167" s="1092"/>
      <c r="I6167" s="1092"/>
    </row>
    <row r="6168" spans="8:9">
      <c r="H6168" s="1092"/>
      <c r="I6168" s="1092"/>
    </row>
    <row r="6169" spans="8:9">
      <c r="H6169" s="1092"/>
      <c r="I6169" s="1092"/>
    </row>
    <row r="6170" spans="8:9">
      <c r="H6170" s="1092"/>
      <c r="I6170" s="1092"/>
    </row>
    <row r="6171" spans="8:9">
      <c r="H6171" s="1092"/>
      <c r="I6171" s="1092"/>
    </row>
    <row r="6172" spans="8:9">
      <c r="H6172" s="1092"/>
      <c r="I6172" s="1092"/>
    </row>
    <row r="6173" spans="8:9">
      <c r="H6173" s="1092"/>
      <c r="I6173" s="1092"/>
    </row>
    <row r="6174" spans="8:9">
      <c r="H6174" s="1092"/>
      <c r="I6174" s="1092"/>
    </row>
    <row r="6175" spans="8:9">
      <c r="H6175" s="1092"/>
      <c r="I6175" s="1092"/>
    </row>
    <row r="6176" spans="8:9">
      <c r="H6176" s="1092"/>
      <c r="I6176" s="1092"/>
    </row>
    <row r="6177" spans="8:9">
      <c r="H6177" s="1092"/>
      <c r="I6177" s="1092"/>
    </row>
    <row r="6178" spans="8:9">
      <c r="H6178" s="1092"/>
      <c r="I6178" s="1092"/>
    </row>
    <row r="6179" spans="8:9">
      <c r="H6179" s="1092"/>
      <c r="I6179" s="1092"/>
    </row>
    <row r="6180" spans="8:9">
      <c r="H6180" s="1092"/>
      <c r="I6180" s="1092"/>
    </row>
    <row r="6181" spans="8:9">
      <c r="H6181" s="1092"/>
      <c r="I6181" s="1092"/>
    </row>
    <row r="6182" spans="8:9">
      <c r="H6182" s="1092"/>
      <c r="I6182" s="1092"/>
    </row>
    <row r="6183" spans="8:9">
      <c r="H6183" s="1092"/>
      <c r="I6183" s="1092"/>
    </row>
    <row r="6184" spans="8:9">
      <c r="H6184" s="1092"/>
      <c r="I6184" s="1092"/>
    </row>
    <row r="6185" spans="8:9">
      <c r="H6185" s="1092"/>
      <c r="I6185" s="1092"/>
    </row>
    <row r="6186" spans="8:9">
      <c r="H6186" s="1092"/>
      <c r="I6186" s="1092"/>
    </row>
    <row r="6187" spans="8:9">
      <c r="H6187" s="1092"/>
      <c r="I6187" s="1092"/>
    </row>
    <row r="6188" spans="8:9">
      <c r="H6188" s="1092"/>
      <c r="I6188" s="1092"/>
    </row>
    <row r="6189" spans="8:9">
      <c r="H6189" s="1092"/>
      <c r="I6189" s="1092"/>
    </row>
    <row r="6190" spans="8:9">
      <c r="H6190" s="1092"/>
      <c r="I6190" s="1092"/>
    </row>
    <row r="6191" spans="8:9">
      <c r="H6191" s="1092"/>
      <c r="I6191" s="1092"/>
    </row>
    <row r="6192" spans="8:9">
      <c r="H6192" s="1092"/>
      <c r="I6192" s="1092"/>
    </row>
    <row r="6193" spans="8:9">
      <c r="H6193" s="1092"/>
      <c r="I6193" s="1092"/>
    </row>
    <row r="6194" spans="8:9">
      <c r="H6194" s="1092"/>
      <c r="I6194" s="1092"/>
    </row>
    <row r="6195" spans="8:9">
      <c r="H6195" s="1092"/>
      <c r="I6195" s="1092"/>
    </row>
    <row r="6196" spans="8:9">
      <c r="H6196" s="1092"/>
      <c r="I6196" s="1092"/>
    </row>
    <row r="6197" spans="8:9">
      <c r="H6197" s="1092"/>
      <c r="I6197" s="1092"/>
    </row>
    <row r="6198" spans="8:9">
      <c r="H6198" s="1092"/>
      <c r="I6198" s="1092"/>
    </row>
    <row r="6199" spans="8:9">
      <c r="H6199" s="1092"/>
      <c r="I6199" s="1092"/>
    </row>
    <row r="6200" spans="8:9">
      <c r="H6200" s="1092"/>
      <c r="I6200" s="1092"/>
    </row>
    <row r="6201" spans="8:9">
      <c r="H6201" s="1092"/>
      <c r="I6201" s="1092"/>
    </row>
    <row r="6202" spans="8:9">
      <c r="H6202" s="1092"/>
      <c r="I6202" s="1092"/>
    </row>
    <row r="6203" spans="8:9">
      <c r="H6203" s="1092"/>
      <c r="I6203" s="1092"/>
    </row>
    <row r="6204" spans="8:9">
      <c r="H6204" s="1092"/>
      <c r="I6204" s="1092"/>
    </row>
    <row r="6205" spans="8:9">
      <c r="H6205" s="1092"/>
      <c r="I6205" s="1092"/>
    </row>
    <row r="6206" spans="8:9">
      <c r="H6206" s="1092"/>
      <c r="I6206" s="1092"/>
    </row>
    <row r="6207" spans="8:9">
      <c r="H6207" s="1092"/>
      <c r="I6207" s="1092"/>
    </row>
    <row r="6208" spans="8:9">
      <c r="H6208" s="1092"/>
      <c r="I6208" s="1092"/>
    </row>
    <row r="6209" spans="8:9">
      <c r="H6209" s="1092"/>
      <c r="I6209" s="1092"/>
    </row>
    <row r="6210" spans="8:9">
      <c r="H6210" s="1092"/>
      <c r="I6210" s="1092"/>
    </row>
    <row r="6211" spans="8:9">
      <c r="H6211" s="1092"/>
      <c r="I6211" s="1092"/>
    </row>
    <row r="6212" spans="8:9">
      <c r="H6212" s="1092"/>
      <c r="I6212" s="1092"/>
    </row>
    <row r="6213" spans="8:9">
      <c r="H6213" s="1092"/>
      <c r="I6213" s="1092"/>
    </row>
    <row r="6214" spans="8:9">
      <c r="H6214" s="1092"/>
      <c r="I6214" s="1092"/>
    </row>
    <row r="6215" spans="8:9">
      <c r="H6215" s="1092"/>
      <c r="I6215" s="1092"/>
    </row>
    <row r="6216" spans="8:9">
      <c r="H6216" s="1092"/>
      <c r="I6216" s="1092"/>
    </row>
    <row r="6217" spans="8:9">
      <c r="H6217" s="1092"/>
      <c r="I6217" s="1092"/>
    </row>
    <row r="6218" spans="8:9">
      <c r="H6218" s="1092"/>
      <c r="I6218" s="1092"/>
    </row>
    <row r="6219" spans="8:9">
      <c r="H6219" s="1092"/>
      <c r="I6219" s="1092"/>
    </row>
    <row r="6220" spans="8:9">
      <c r="H6220" s="1092"/>
      <c r="I6220" s="1092"/>
    </row>
    <row r="6221" spans="8:9">
      <c r="H6221" s="1092"/>
      <c r="I6221" s="1092"/>
    </row>
    <row r="6222" spans="8:9">
      <c r="H6222" s="1092"/>
      <c r="I6222" s="1092"/>
    </row>
    <row r="6223" spans="8:9">
      <c r="H6223" s="1092"/>
      <c r="I6223" s="1092"/>
    </row>
    <row r="6224" spans="8:9">
      <c r="H6224" s="1092"/>
      <c r="I6224" s="1092"/>
    </row>
    <row r="6225" spans="8:9">
      <c r="H6225" s="1092"/>
      <c r="I6225" s="1092"/>
    </row>
    <row r="6226" spans="8:9">
      <c r="H6226" s="1092"/>
      <c r="I6226" s="1092"/>
    </row>
    <row r="6227" spans="8:9">
      <c r="H6227" s="1092"/>
      <c r="I6227" s="1092"/>
    </row>
    <row r="6228" spans="8:9">
      <c r="H6228" s="1092"/>
      <c r="I6228" s="1092"/>
    </row>
    <row r="6229" spans="8:9">
      <c r="H6229" s="1092"/>
      <c r="I6229" s="1092"/>
    </row>
    <row r="6230" spans="8:9">
      <c r="H6230" s="1092"/>
      <c r="I6230" s="1092"/>
    </row>
    <row r="6231" spans="8:9">
      <c r="H6231" s="1092"/>
      <c r="I6231" s="1092"/>
    </row>
    <row r="6232" spans="8:9">
      <c r="H6232" s="1092"/>
      <c r="I6232" s="1092"/>
    </row>
    <row r="6233" spans="8:9">
      <c r="H6233" s="1092"/>
      <c r="I6233" s="1092"/>
    </row>
    <row r="6234" spans="8:9">
      <c r="H6234" s="1092"/>
      <c r="I6234" s="1092"/>
    </row>
    <row r="6235" spans="8:9">
      <c r="H6235" s="1092"/>
      <c r="I6235" s="1092"/>
    </row>
    <row r="6236" spans="8:9">
      <c r="H6236" s="1092"/>
      <c r="I6236" s="1092"/>
    </row>
    <row r="6237" spans="8:9">
      <c r="H6237" s="1092"/>
      <c r="I6237" s="1092"/>
    </row>
    <row r="6238" spans="8:9">
      <c r="H6238" s="1092"/>
      <c r="I6238" s="1092"/>
    </row>
    <row r="6239" spans="8:9">
      <c r="H6239" s="1092"/>
      <c r="I6239" s="1092"/>
    </row>
    <row r="6240" spans="8:9">
      <c r="H6240" s="1092"/>
      <c r="I6240" s="1092"/>
    </row>
    <row r="6241" spans="8:9">
      <c r="H6241" s="1092"/>
      <c r="I6241" s="1092"/>
    </row>
    <row r="6242" spans="8:9">
      <c r="H6242" s="1092"/>
      <c r="I6242" s="1092"/>
    </row>
    <row r="6243" spans="8:9">
      <c r="H6243" s="1092"/>
      <c r="I6243" s="1092"/>
    </row>
    <row r="6244" spans="8:9">
      <c r="H6244" s="1092"/>
      <c r="I6244" s="1092"/>
    </row>
    <row r="6245" spans="8:9">
      <c r="H6245" s="1092"/>
      <c r="I6245" s="1092"/>
    </row>
    <row r="6246" spans="8:9">
      <c r="H6246" s="1092"/>
      <c r="I6246" s="1092"/>
    </row>
    <row r="6247" spans="8:9">
      <c r="H6247" s="1092"/>
      <c r="I6247" s="1092"/>
    </row>
    <row r="6248" spans="8:9">
      <c r="H6248" s="1092"/>
      <c r="I6248" s="1092"/>
    </row>
    <row r="6249" spans="8:9">
      <c r="H6249" s="1092"/>
      <c r="I6249" s="1092"/>
    </row>
    <row r="6250" spans="8:9">
      <c r="H6250" s="1092"/>
      <c r="I6250" s="1092"/>
    </row>
    <row r="6251" spans="8:9">
      <c r="H6251" s="1092"/>
      <c r="I6251" s="1092"/>
    </row>
    <row r="6252" spans="8:9">
      <c r="H6252" s="1092"/>
      <c r="I6252" s="1092"/>
    </row>
    <row r="6253" spans="8:9">
      <c r="H6253" s="1092"/>
      <c r="I6253" s="1092"/>
    </row>
    <row r="6254" spans="8:9">
      <c r="H6254" s="1092"/>
      <c r="I6254" s="1092"/>
    </row>
    <row r="6255" spans="8:9">
      <c r="H6255" s="1092"/>
      <c r="I6255" s="1092"/>
    </row>
    <row r="6256" spans="8:9">
      <c r="H6256" s="1092"/>
      <c r="I6256" s="1092"/>
    </row>
    <row r="6257" spans="8:9">
      <c r="H6257" s="1092"/>
      <c r="I6257" s="1092"/>
    </row>
    <row r="6258" spans="8:9">
      <c r="H6258" s="1092"/>
      <c r="I6258" s="1092"/>
    </row>
    <row r="6259" spans="8:9">
      <c r="H6259" s="1092"/>
      <c r="I6259" s="1092"/>
    </row>
    <row r="6260" spans="8:9">
      <c r="H6260" s="1092"/>
      <c r="I6260" s="1092"/>
    </row>
    <row r="6261" spans="8:9">
      <c r="H6261" s="1092"/>
      <c r="I6261" s="1092"/>
    </row>
    <row r="6262" spans="8:9">
      <c r="H6262" s="1092"/>
      <c r="I6262" s="1092"/>
    </row>
    <row r="6263" spans="8:9">
      <c r="H6263" s="1092"/>
      <c r="I6263" s="1092"/>
    </row>
    <row r="6264" spans="8:9">
      <c r="H6264" s="1092"/>
      <c r="I6264" s="1092"/>
    </row>
    <row r="6265" spans="8:9">
      <c r="H6265" s="1092"/>
      <c r="I6265" s="1092"/>
    </row>
    <row r="6266" spans="8:9">
      <c r="H6266" s="1092"/>
      <c r="I6266" s="1092"/>
    </row>
    <row r="6267" spans="8:9">
      <c r="H6267" s="1092"/>
      <c r="I6267" s="1092"/>
    </row>
    <row r="6268" spans="8:9">
      <c r="H6268" s="1092"/>
      <c r="I6268" s="1092"/>
    </row>
    <row r="6269" spans="8:9">
      <c r="H6269" s="1092"/>
      <c r="I6269" s="1092"/>
    </row>
    <row r="6270" spans="8:9">
      <c r="H6270" s="1092"/>
      <c r="I6270" s="1092"/>
    </row>
    <row r="6271" spans="8:9">
      <c r="H6271" s="1092"/>
      <c r="I6271" s="1092"/>
    </row>
    <row r="6272" spans="8:9">
      <c r="H6272" s="1092"/>
      <c r="I6272" s="1092"/>
    </row>
    <row r="6273" spans="8:9">
      <c r="H6273" s="1092"/>
      <c r="I6273" s="1092"/>
    </row>
    <row r="6274" spans="8:9">
      <c r="H6274" s="1092"/>
      <c r="I6274" s="1092"/>
    </row>
    <row r="6275" spans="8:9">
      <c r="H6275" s="1092"/>
      <c r="I6275" s="1092"/>
    </row>
    <row r="6276" spans="8:9">
      <c r="H6276" s="1092"/>
      <c r="I6276" s="1092"/>
    </row>
    <row r="6277" spans="8:9">
      <c r="H6277" s="1092"/>
      <c r="I6277" s="1092"/>
    </row>
    <row r="6278" spans="8:9">
      <c r="H6278" s="1092"/>
      <c r="I6278" s="1092"/>
    </row>
    <row r="6279" spans="8:9">
      <c r="H6279" s="1092"/>
      <c r="I6279" s="1092"/>
    </row>
    <row r="6280" spans="8:9">
      <c r="H6280" s="1092"/>
      <c r="I6280" s="1092"/>
    </row>
    <row r="6281" spans="8:9">
      <c r="H6281" s="1092"/>
      <c r="I6281" s="1092"/>
    </row>
    <row r="6282" spans="8:9">
      <c r="H6282" s="1092"/>
      <c r="I6282" s="1092"/>
    </row>
    <row r="6283" spans="8:9">
      <c r="H6283" s="1092"/>
      <c r="I6283" s="1092"/>
    </row>
    <row r="6284" spans="8:9">
      <c r="H6284" s="1092"/>
      <c r="I6284" s="1092"/>
    </row>
    <row r="6285" spans="8:9">
      <c r="H6285" s="1092"/>
      <c r="I6285" s="1092"/>
    </row>
    <row r="6286" spans="8:9">
      <c r="H6286" s="1092"/>
      <c r="I6286" s="1092"/>
    </row>
    <row r="6287" spans="8:9">
      <c r="H6287" s="1092"/>
      <c r="I6287" s="1092"/>
    </row>
    <row r="6288" spans="8:9">
      <c r="H6288" s="1092"/>
      <c r="I6288" s="1092"/>
    </row>
    <row r="6289" spans="8:9">
      <c r="H6289" s="1092"/>
      <c r="I6289" s="1092"/>
    </row>
    <row r="6290" spans="8:9">
      <c r="H6290" s="1092"/>
      <c r="I6290" s="1092"/>
    </row>
    <row r="6291" spans="8:9">
      <c r="H6291" s="1092"/>
      <c r="I6291" s="1092"/>
    </row>
    <row r="6292" spans="8:9">
      <c r="H6292" s="1092"/>
      <c r="I6292" s="1092"/>
    </row>
    <row r="6293" spans="8:9">
      <c r="H6293" s="1092"/>
      <c r="I6293" s="1092"/>
    </row>
    <row r="6294" spans="8:9">
      <c r="H6294" s="1092"/>
      <c r="I6294" s="1092"/>
    </row>
    <row r="6295" spans="8:9">
      <c r="H6295" s="1092"/>
      <c r="I6295" s="1092"/>
    </row>
    <row r="6296" spans="8:9">
      <c r="H6296" s="1092"/>
      <c r="I6296" s="1092"/>
    </row>
    <row r="6297" spans="8:9">
      <c r="H6297" s="1092"/>
      <c r="I6297" s="1092"/>
    </row>
    <row r="6298" spans="8:9">
      <c r="H6298" s="1092"/>
      <c r="I6298" s="1092"/>
    </row>
    <row r="6299" spans="8:9">
      <c r="H6299" s="1092"/>
      <c r="I6299" s="1092"/>
    </row>
    <row r="6300" spans="8:9">
      <c r="H6300" s="1092"/>
      <c r="I6300" s="1092"/>
    </row>
    <row r="6301" spans="8:9">
      <c r="H6301" s="1092"/>
      <c r="I6301" s="1092"/>
    </row>
    <row r="6302" spans="8:9">
      <c r="H6302" s="1092"/>
      <c r="I6302" s="1092"/>
    </row>
    <row r="6303" spans="8:9">
      <c r="H6303" s="1092"/>
      <c r="I6303" s="1092"/>
    </row>
    <row r="6304" spans="8:9">
      <c r="H6304" s="1092"/>
      <c r="I6304" s="1092"/>
    </row>
    <row r="6305" spans="8:9">
      <c r="H6305" s="1092"/>
      <c r="I6305" s="1092"/>
    </row>
    <row r="6306" spans="8:9">
      <c r="H6306" s="1092"/>
      <c r="I6306" s="1092"/>
    </row>
    <row r="6307" spans="8:9">
      <c r="H6307" s="1092"/>
      <c r="I6307" s="1092"/>
    </row>
    <row r="6308" spans="8:9">
      <c r="H6308" s="1092"/>
      <c r="I6308" s="1092"/>
    </row>
    <row r="6309" spans="8:9">
      <c r="H6309" s="1092"/>
      <c r="I6309" s="1092"/>
    </row>
    <row r="6310" spans="8:9">
      <c r="H6310" s="1092"/>
      <c r="I6310" s="1092"/>
    </row>
    <row r="6311" spans="8:9">
      <c r="H6311" s="1092"/>
      <c r="I6311" s="1092"/>
    </row>
    <row r="6312" spans="8:9">
      <c r="H6312" s="1092"/>
      <c r="I6312" s="1092"/>
    </row>
    <row r="6313" spans="8:9">
      <c r="H6313" s="1092"/>
      <c r="I6313" s="1092"/>
    </row>
    <row r="6314" spans="8:9">
      <c r="H6314" s="1092"/>
      <c r="I6314" s="1092"/>
    </row>
    <row r="6315" spans="8:9">
      <c r="H6315" s="1092"/>
      <c r="I6315" s="1092"/>
    </row>
    <row r="6316" spans="8:9">
      <c r="H6316" s="1092"/>
      <c r="I6316" s="1092"/>
    </row>
    <row r="6317" spans="8:9">
      <c r="H6317" s="1092"/>
      <c r="I6317" s="1092"/>
    </row>
    <row r="6318" spans="8:9">
      <c r="H6318" s="1092"/>
      <c r="I6318" s="1092"/>
    </row>
    <row r="6319" spans="8:9">
      <c r="H6319" s="1092"/>
      <c r="I6319" s="1092"/>
    </row>
    <row r="6320" spans="8:9">
      <c r="H6320" s="1092"/>
      <c r="I6320" s="1092"/>
    </row>
    <row r="6321" spans="8:9">
      <c r="H6321" s="1092"/>
      <c r="I6321" s="1092"/>
    </row>
    <row r="6322" spans="8:9">
      <c r="H6322" s="1092"/>
      <c r="I6322" s="1092"/>
    </row>
    <row r="6323" spans="8:9">
      <c r="H6323" s="1092"/>
      <c r="I6323" s="1092"/>
    </row>
    <row r="6324" spans="8:9">
      <c r="H6324" s="1092"/>
      <c r="I6324" s="1092"/>
    </row>
    <row r="6325" spans="8:9">
      <c r="H6325" s="1092"/>
      <c r="I6325" s="1092"/>
    </row>
    <row r="6326" spans="8:9">
      <c r="H6326" s="1092"/>
      <c r="I6326" s="1092"/>
    </row>
    <row r="6327" spans="8:9">
      <c r="H6327" s="1092"/>
      <c r="I6327" s="1092"/>
    </row>
    <row r="6328" spans="8:9">
      <c r="H6328" s="1092"/>
      <c r="I6328" s="1092"/>
    </row>
    <row r="6329" spans="8:9">
      <c r="H6329" s="1092"/>
      <c r="I6329" s="1092"/>
    </row>
    <row r="6330" spans="8:9">
      <c r="H6330" s="1092"/>
      <c r="I6330" s="1092"/>
    </row>
    <row r="6331" spans="8:9">
      <c r="H6331" s="1092"/>
      <c r="I6331" s="1092"/>
    </row>
    <row r="6332" spans="8:9">
      <c r="H6332" s="1092"/>
      <c r="I6332" s="1092"/>
    </row>
    <row r="6333" spans="8:9">
      <c r="H6333" s="1092"/>
      <c r="I6333" s="1092"/>
    </row>
    <row r="6334" spans="8:9">
      <c r="H6334" s="1092"/>
      <c r="I6334" s="1092"/>
    </row>
    <row r="6335" spans="8:9">
      <c r="H6335" s="1092"/>
      <c r="I6335" s="1092"/>
    </row>
    <row r="6336" spans="8:9">
      <c r="H6336" s="1092"/>
      <c r="I6336" s="1092"/>
    </row>
    <row r="6337" spans="8:9">
      <c r="H6337" s="1092"/>
      <c r="I6337" s="1092"/>
    </row>
    <row r="6338" spans="8:9">
      <c r="H6338" s="1092"/>
      <c r="I6338" s="1092"/>
    </row>
    <row r="6339" spans="8:9">
      <c r="H6339" s="1092"/>
      <c r="I6339" s="1092"/>
    </row>
    <row r="6340" spans="8:9">
      <c r="H6340" s="1092"/>
      <c r="I6340" s="1092"/>
    </row>
    <row r="6341" spans="8:9">
      <c r="H6341" s="1092"/>
      <c r="I6341" s="1092"/>
    </row>
    <row r="6342" spans="8:9">
      <c r="H6342" s="1092"/>
      <c r="I6342" s="1092"/>
    </row>
    <row r="6343" spans="8:9">
      <c r="H6343" s="1092"/>
      <c r="I6343" s="1092"/>
    </row>
    <row r="6344" spans="8:9">
      <c r="H6344" s="1092"/>
      <c r="I6344" s="1092"/>
    </row>
    <row r="6345" spans="8:9">
      <c r="H6345" s="1092"/>
      <c r="I6345" s="1092"/>
    </row>
    <row r="6346" spans="8:9">
      <c r="H6346" s="1092"/>
      <c r="I6346" s="1092"/>
    </row>
    <row r="6347" spans="8:9">
      <c r="H6347" s="1092"/>
      <c r="I6347" s="1092"/>
    </row>
    <row r="6348" spans="8:9">
      <c r="H6348" s="1092"/>
      <c r="I6348" s="1092"/>
    </row>
    <row r="6349" spans="8:9">
      <c r="H6349" s="1092"/>
      <c r="I6349" s="1092"/>
    </row>
    <row r="6350" spans="8:9">
      <c r="H6350" s="1092"/>
      <c r="I6350" s="1092"/>
    </row>
    <row r="6351" spans="8:9">
      <c r="H6351" s="1092"/>
      <c r="I6351" s="1092"/>
    </row>
    <row r="6352" spans="8:9">
      <c r="H6352" s="1092"/>
      <c r="I6352" s="1092"/>
    </row>
    <row r="6353" spans="8:9">
      <c r="H6353" s="1092"/>
      <c r="I6353" s="1092"/>
    </row>
    <row r="6354" spans="8:9">
      <c r="H6354" s="1092"/>
      <c r="I6354" s="1092"/>
    </row>
    <row r="6355" spans="8:9">
      <c r="H6355" s="1092"/>
      <c r="I6355" s="1092"/>
    </row>
    <row r="6356" spans="8:9">
      <c r="H6356" s="1092"/>
      <c r="I6356" s="1092"/>
    </row>
    <row r="6357" spans="8:9">
      <c r="H6357" s="1092"/>
      <c r="I6357" s="1092"/>
    </row>
    <row r="6358" spans="8:9">
      <c r="H6358" s="1092"/>
      <c r="I6358" s="1092"/>
    </row>
    <row r="6359" spans="8:9">
      <c r="H6359" s="1092"/>
      <c r="I6359" s="1092"/>
    </row>
    <row r="6360" spans="8:9">
      <c r="H6360" s="1092"/>
      <c r="I6360" s="1092"/>
    </row>
    <row r="6361" spans="8:9">
      <c r="H6361" s="1092"/>
      <c r="I6361" s="1092"/>
    </row>
    <row r="6362" spans="8:9">
      <c r="H6362" s="1092"/>
      <c r="I6362" s="1092"/>
    </row>
    <row r="6363" spans="8:9">
      <c r="H6363" s="1092"/>
      <c r="I6363" s="1092"/>
    </row>
    <row r="6364" spans="8:9">
      <c r="H6364" s="1092"/>
      <c r="I6364" s="1092"/>
    </row>
    <row r="6365" spans="8:9">
      <c r="H6365" s="1092"/>
      <c r="I6365" s="1092"/>
    </row>
    <row r="6366" spans="8:9">
      <c r="H6366" s="1092"/>
      <c r="I6366" s="1092"/>
    </row>
    <row r="6367" spans="8:9">
      <c r="H6367" s="1092"/>
      <c r="I6367" s="1092"/>
    </row>
    <row r="6368" spans="8:9">
      <c r="H6368" s="1092"/>
      <c r="I6368" s="1092"/>
    </row>
    <row r="6369" spans="8:9">
      <c r="H6369" s="1092"/>
      <c r="I6369" s="1092"/>
    </row>
    <row r="6370" spans="8:9">
      <c r="H6370" s="1092"/>
      <c r="I6370" s="1092"/>
    </row>
    <row r="6371" spans="8:9">
      <c r="H6371" s="1092"/>
      <c r="I6371" s="1092"/>
    </row>
    <row r="6372" spans="8:9">
      <c r="H6372" s="1092"/>
      <c r="I6372" s="1092"/>
    </row>
    <row r="6373" spans="8:9">
      <c r="H6373" s="1092"/>
      <c r="I6373" s="1092"/>
    </row>
    <row r="6374" spans="8:9">
      <c r="H6374" s="1092"/>
      <c r="I6374" s="1092"/>
    </row>
    <row r="6375" spans="8:9">
      <c r="H6375" s="1092"/>
      <c r="I6375" s="1092"/>
    </row>
    <row r="6376" spans="8:9">
      <c r="H6376" s="1092"/>
      <c r="I6376" s="1092"/>
    </row>
    <row r="6377" spans="8:9">
      <c r="H6377" s="1092"/>
      <c r="I6377" s="1092"/>
    </row>
    <row r="6378" spans="8:9">
      <c r="H6378" s="1092"/>
      <c r="I6378" s="1092"/>
    </row>
    <row r="6379" spans="8:9">
      <c r="H6379" s="1092"/>
      <c r="I6379" s="1092"/>
    </row>
    <row r="6380" spans="8:9">
      <c r="H6380" s="1092"/>
      <c r="I6380" s="1092"/>
    </row>
    <row r="6381" spans="8:9">
      <c r="H6381" s="1092"/>
      <c r="I6381" s="1092"/>
    </row>
    <row r="6382" spans="8:9">
      <c r="H6382" s="1092"/>
      <c r="I6382" s="1092"/>
    </row>
    <row r="6383" spans="8:9">
      <c r="H6383" s="1092"/>
      <c r="I6383" s="1092"/>
    </row>
    <row r="6384" spans="8:9">
      <c r="H6384" s="1092"/>
      <c r="I6384" s="1092"/>
    </row>
    <row r="6385" spans="8:9">
      <c r="H6385" s="1092"/>
      <c r="I6385" s="1092"/>
    </row>
    <row r="6386" spans="8:9">
      <c r="H6386" s="1092"/>
      <c r="I6386" s="1092"/>
    </row>
    <row r="6387" spans="8:9">
      <c r="H6387" s="1092"/>
      <c r="I6387" s="1092"/>
    </row>
    <row r="6388" spans="8:9">
      <c r="H6388" s="1092"/>
      <c r="I6388" s="1092"/>
    </row>
    <row r="6389" spans="8:9">
      <c r="H6389" s="1092"/>
      <c r="I6389" s="1092"/>
    </row>
    <row r="6390" spans="8:9">
      <c r="H6390" s="1092"/>
      <c r="I6390" s="1092"/>
    </row>
    <row r="6391" spans="8:9">
      <c r="H6391" s="1092"/>
      <c r="I6391" s="1092"/>
    </row>
    <row r="6392" spans="8:9">
      <c r="H6392" s="1092"/>
      <c r="I6392" s="1092"/>
    </row>
    <row r="6393" spans="8:9">
      <c r="H6393" s="1092"/>
      <c r="I6393" s="1092"/>
    </row>
    <row r="6394" spans="8:9">
      <c r="H6394" s="1092"/>
      <c r="I6394" s="1092"/>
    </row>
    <row r="6395" spans="8:9">
      <c r="H6395" s="1092"/>
      <c r="I6395" s="1092"/>
    </row>
    <row r="6396" spans="8:9">
      <c r="H6396" s="1092"/>
      <c r="I6396" s="1092"/>
    </row>
    <row r="6397" spans="8:9">
      <c r="H6397" s="1092"/>
      <c r="I6397" s="1092"/>
    </row>
    <row r="6398" spans="8:9">
      <c r="H6398" s="1092"/>
      <c r="I6398" s="1092"/>
    </row>
    <row r="6399" spans="8:9">
      <c r="H6399" s="1092"/>
      <c r="I6399" s="1092"/>
    </row>
    <row r="6400" spans="8:9">
      <c r="H6400" s="1092"/>
      <c r="I6400" s="1092"/>
    </row>
    <row r="6401" spans="8:9">
      <c r="H6401" s="1092"/>
      <c r="I6401" s="1092"/>
    </row>
    <row r="6402" spans="8:9">
      <c r="H6402" s="1092"/>
      <c r="I6402" s="1092"/>
    </row>
    <row r="6403" spans="8:9">
      <c r="H6403" s="1092"/>
      <c r="I6403" s="1092"/>
    </row>
    <row r="6404" spans="8:9">
      <c r="H6404" s="1092"/>
      <c r="I6404" s="1092"/>
    </row>
    <row r="6405" spans="8:9">
      <c r="H6405" s="1092"/>
      <c r="I6405" s="1092"/>
    </row>
    <row r="6406" spans="8:9">
      <c r="H6406" s="1092"/>
      <c r="I6406" s="1092"/>
    </row>
    <row r="6407" spans="8:9">
      <c r="H6407" s="1092"/>
      <c r="I6407" s="1092"/>
    </row>
    <row r="6408" spans="8:9">
      <c r="H6408" s="1092"/>
      <c r="I6408" s="1092"/>
    </row>
    <row r="6409" spans="8:9">
      <c r="H6409" s="1092"/>
      <c r="I6409" s="1092"/>
    </row>
    <row r="6410" spans="8:9">
      <c r="H6410" s="1092"/>
      <c r="I6410" s="1092"/>
    </row>
    <row r="6411" spans="8:9">
      <c r="H6411" s="1092"/>
      <c r="I6411" s="1092"/>
    </row>
    <row r="6412" spans="8:9">
      <c r="H6412" s="1092"/>
      <c r="I6412" s="1092"/>
    </row>
    <row r="6413" spans="8:9">
      <c r="H6413" s="1092"/>
      <c r="I6413" s="1092"/>
    </row>
    <row r="6414" spans="8:9">
      <c r="H6414" s="1092"/>
      <c r="I6414" s="1092"/>
    </row>
    <row r="6415" spans="8:9">
      <c r="H6415" s="1092"/>
      <c r="I6415" s="1092"/>
    </row>
    <row r="6416" spans="8:9">
      <c r="H6416" s="1092"/>
      <c r="I6416" s="1092"/>
    </row>
    <row r="6417" spans="8:9">
      <c r="H6417" s="1092"/>
      <c r="I6417" s="1092"/>
    </row>
    <row r="6418" spans="8:9">
      <c r="H6418" s="1092"/>
      <c r="I6418" s="1092"/>
    </row>
    <row r="6419" spans="8:9">
      <c r="H6419" s="1092"/>
      <c r="I6419" s="1092"/>
    </row>
    <row r="6420" spans="8:9">
      <c r="H6420" s="1092"/>
      <c r="I6420" s="1092"/>
    </row>
    <row r="6421" spans="8:9">
      <c r="H6421" s="1092"/>
      <c r="I6421" s="1092"/>
    </row>
    <row r="6422" spans="8:9">
      <c r="H6422" s="1092"/>
      <c r="I6422" s="1092"/>
    </row>
    <row r="6423" spans="8:9">
      <c r="H6423" s="1092"/>
      <c r="I6423" s="1092"/>
    </row>
    <row r="6424" spans="8:9">
      <c r="H6424" s="1092"/>
      <c r="I6424" s="1092"/>
    </row>
    <row r="6425" spans="8:9">
      <c r="H6425" s="1092"/>
      <c r="I6425" s="1092"/>
    </row>
    <row r="6426" spans="8:9">
      <c r="H6426" s="1092"/>
      <c r="I6426" s="1092"/>
    </row>
    <row r="6427" spans="8:9">
      <c r="H6427" s="1092"/>
      <c r="I6427" s="1092"/>
    </row>
    <row r="6428" spans="8:9">
      <c r="H6428" s="1092"/>
      <c r="I6428" s="1092"/>
    </row>
    <row r="6429" spans="8:9">
      <c r="H6429" s="1092"/>
      <c r="I6429" s="1092"/>
    </row>
    <row r="6430" spans="8:9">
      <c r="H6430" s="1092"/>
      <c r="I6430" s="1092"/>
    </row>
    <row r="6431" spans="8:9">
      <c r="H6431" s="1092"/>
      <c r="I6431" s="1092"/>
    </row>
    <row r="6432" spans="8:9">
      <c r="H6432" s="1092"/>
      <c r="I6432" s="1092"/>
    </row>
    <row r="6433" spans="8:9">
      <c r="H6433" s="1092"/>
      <c r="I6433" s="1092"/>
    </row>
    <row r="6434" spans="8:9">
      <c r="H6434" s="1092"/>
      <c r="I6434" s="1092"/>
    </row>
    <row r="6435" spans="8:9">
      <c r="H6435" s="1092"/>
      <c r="I6435" s="1092"/>
    </row>
    <row r="6436" spans="8:9">
      <c r="H6436" s="1092"/>
      <c r="I6436" s="1092"/>
    </row>
    <row r="6437" spans="8:9">
      <c r="H6437" s="1092"/>
      <c r="I6437" s="1092"/>
    </row>
    <row r="6438" spans="8:9">
      <c r="H6438" s="1092"/>
      <c r="I6438" s="1092"/>
    </row>
    <row r="6439" spans="8:9">
      <c r="H6439" s="1092"/>
      <c r="I6439" s="1092"/>
    </row>
    <row r="6440" spans="8:9">
      <c r="H6440" s="1092"/>
      <c r="I6440" s="1092"/>
    </row>
    <row r="6441" spans="8:9">
      <c r="H6441" s="1092"/>
      <c r="I6441" s="1092"/>
    </row>
    <row r="6442" spans="8:9">
      <c r="H6442" s="1092"/>
      <c r="I6442" s="1092"/>
    </row>
    <row r="6443" spans="8:9">
      <c r="H6443" s="1092"/>
      <c r="I6443" s="1092"/>
    </row>
    <row r="6444" spans="8:9">
      <c r="H6444" s="1092"/>
      <c r="I6444" s="1092"/>
    </row>
    <row r="6445" spans="8:9">
      <c r="H6445" s="1092"/>
      <c r="I6445" s="1092"/>
    </row>
    <row r="6446" spans="8:9">
      <c r="H6446" s="1092"/>
      <c r="I6446" s="1092"/>
    </row>
    <row r="6447" spans="8:9">
      <c r="H6447" s="1092"/>
      <c r="I6447" s="1092"/>
    </row>
    <row r="6448" spans="8:9">
      <c r="H6448" s="1092"/>
      <c r="I6448" s="1092"/>
    </row>
    <row r="6449" spans="8:9">
      <c r="H6449" s="1092"/>
      <c r="I6449" s="1092"/>
    </row>
    <row r="6450" spans="8:9">
      <c r="H6450" s="1092"/>
      <c r="I6450" s="1092"/>
    </row>
    <row r="6451" spans="8:9">
      <c r="H6451" s="1092"/>
      <c r="I6451" s="1092"/>
    </row>
    <row r="6452" spans="8:9">
      <c r="H6452" s="1092"/>
      <c r="I6452" s="1092"/>
    </row>
    <row r="6453" spans="8:9">
      <c r="H6453" s="1092"/>
      <c r="I6453" s="1092"/>
    </row>
    <row r="6454" spans="8:9">
      <c r="H6454" s="1092"/>
      <c r="I6454" s="1092"/>
    </row>
    <row r="6455" spans="8:9">
      <c r="H6455" s="1092"/>
      <c r="I6455" s="1092"/>
    </row>
    <row r="6456" spans="8:9">
      <c r="H6456" s="1092"/>
      <c r="I6456" s="1092"/>
    </row>
    <row r="6457" spans="8:9">
      <c r="H6457" s="1092"/>
      <c r="I6457" s="1092"/>
    </row>
    <row r="6458" spans="8:9">
      <c r="H6458" s="1092"/>
      <c r="I6458" s="1092"/>
    </row>
    <row r="6459" spans="8:9">
      <c r="H6459" s="1092"/>
      <c r="I6459" s="1092"/>
    </row>
    <row r="6460" spans="8:9">
      <c r="H6460" s="1092"/>
      <c r="I6460" s="1092"/>
    </row>
    <row r="6461" spans="8:9">
      <c r="H6461" s="1092"/>
      <c r="I6461" s="1092"/>
    </row>
    <row r="6462" spans="8:9">
      <c r="H6462" s="1092"/>
      <c r="I6462" s="1092"/>
    </row>
    <row r="6463" spans="8:9">
      <c r="H6463" s="1092"/>
      <c r="I6463" s="1092"/>
    </row>
    <row r="6464" spans="8:9">
      <c r="H6464" s="1092"/>
      <c r="I6464" s="1092"/>
    </row>
    <row r="6465" spans="8:9">
      <c r="H6465" s="1092"/>
      <c r="I6465" s="1092"/>
    </row>
    <row r="6466" spans="8:9">
      <c r="H6466" s="1092"/>
      <c r="I6466" s="1092"/>
    </row>
    <row r="6467" spans="8:9">
      <c r="H6467" s="1092"/>
      <c r="I6467" s="1092"/>
    </row>
    <row r="6468" spans="8:9">
      <c r="H6468" s="1092"/>
      <c r="I6468" s="1092"/>
    </row>
    <row r="6469" spans="8:9">
      <c r="H6469" s="1092"/>
      <c r="I6469" s="1092"/>
    </row>
    <row r="6470" spans="8:9">
      <c r="H6470" s="1092"/>
      <c r="I6470" s="1092"/>
    </row>
    <row r="6471" spans="8:9">
      <c r="H6471" s="1092"/>
      <c r="I6471" s="1092"/>
    </row>
    <row r="6472" spans="8:9">
      <c r="H6472" s="1092"/>
      <c r="I6472" s="1092"/>
    </row>
    <row r="6473" spans="8:9">
      <c r="H6473" s="1092"/>
      <c r="I6473" s="1092"/>
    </row>
    <row r="6474" spans="8:9">
      <c r="H6474" s="1092"/>
      <c r="I6474" s="1092"/>
    </row>
    <row r="6475" spans="8:9">
      <c r="H6475" s="1092"/>
      <c r="I6475" s="1092"/>
    </row>
    <row r="6476" spans="8:9">
      <c r="H6476" s="1092"/>
      <c r="I6476" s="1092"/>
    </row>
    <row r="6477" spans="8:9">
      <c r="H6477" s="1092"/>
      <c r="I6477" s="1092"/>
    </row>
    <row r="6478" spans="8:9">
      <c r="H6478" s="1092"/>
      <c r="I6478" s="1092"/>
    </row>
    <row r="6479" spans="8:9">
      <c r="H6479" s="1092"/>
      <c r="I6479" s="1092"/>
    </row>
    <row r="6480" spans="8:9">
      <c r="H6480" s="1092"/>
      <c r="I6480" s="1092"/>
    </row>
    <row r="6481" spans="8:9">
      <c r="H6481" s="1092"/>
      <c r="I6481" s="1092"/>
    </row>
    <row r="6482" spans="8:9">
      <c r="H6482" s="1092"/>
      <c r="I6482" s="1092"/>
    </row>
    <row r="6483" spans="8:9">
      <c r="H6483" s="1092"/>
      <c r="I6483" s="1092"/>
    </row>
    <row r="6484" spans="8:9">
      <c r="H6484" s="1092"/>
      <c r="I6484" s="1092"/>
    </row>
    <row r="6485" spans="8:9">
      <c r="H6485" s="1092"/>
      <c r="I6485" s="1092"/>
    </row>
    <row r="6486" spans="8:9">
      <c r="H6486" s="1092"/>
      <c r="I6486" s="1092"/>
    </row>
    <row r="6487" spans="8:9">
      <c r="H6487" s="1092"/>
      <c r="I6487" s="1092"/>
    </row>
    <row r="6488" spans="8:9">
      <c r="H6488" s="1092"/>
      <c r="I6488" s="1092"/>
    </row>
    <row r="6489" spans="8:9">
      <c r="H6489" s="1092"/>
      <c r="I6489" s="1092"/>
    </row>
    <row r="6490" spans="8:9">
      <c r="H6490" s="1092"/>
      <c r="I6490" s="1092"/>
    </row>
    <row r="6491" spans="8:9">
      <c r="H6491" s="1092"/>
      <c r="I6491" s="1092"/>
    </row>
    <row r="6492" spans="8:9">
      <c r="H6492" s="1092"/>
      <c r="I6492" s="1092"/>
    </row>
    <row r="6493" spans="8:9">
      <c r="H6493" s="1092"/>
      <c r="I6493" s="1092"/>
    </row>
    <row r="6494" spans="8:9">
      <c r="H6494" s="1092"/>
      <c r="I6494" s="1092"/>
    </row>
    <row r="6495" spans="8:9">
      <c r="H6495" s="1092"/>
      <c r="I6495" s="1092"/>
    </row>
    <row r="6496" spans="8:9">
      <c r="H6496" s="1092"/>
      <c r="I6496" s="1092"/>
    </row>
    <row r="6497" spans="8:9">
      <c r="H6497" s="1092"/>
      <c r="I6497" s="1092"/>
    </row>
    <row r="6498" spans="8:9">
      <c r="H6498" s="1092"/>
      <c r="I6498" s="1092"/>
    </row>
    <row r="6499" spans="8:9">
      <c r="H6499" s="1092"/>
      <c r="I6499" s="1092"/>
    </row>
    <row r="6500" spans="8:9">
      <c r="H6500" s="1092"/>
      <c r="I6500" s="1092"/>
    </row>
    <row r="6501" spans="8:9">
      <c r="H6501" s="1092"/>
      <c r="I6501" s="1092"/>
    </row>
    <row r="6502" spans="8:9">
      <c r="H6502" s="1092"/>
      <c r="I6502" s="1092"/>
    </row>
    <row r="6503" spans="8:9">
      <c r="H6503" s="1092"/>
      <c r="I6503" s="1092"/>
    </row>
    <row r="6504" spans="8:9">
      <c r="H6504" s="1092"/>
      <c r="I6504" s="1092"/>
    </row>
    <row r="6505" spans="8:9">
      <c r="H6505" s="1092"/>
      <c r="I6505" s="1092"/>
    </row>
    <row r="6506" spans="8:9">
      <c r="H6506" s="1092"/>
      <c r="I6506" s="1092"/>
    </row>
    <row r="6507" spans="8:9">
      <c r="H6507" s="1092"/>
      <c r="I6507" s="1092"/>
    </row>
    <row r="6508" spans="8:9">
      <c r="H6508" s="1092"/>
      <c r="I6508" s="1092"/>
    </row>
    <row r="6509" spans="8:9">
      <c r="H6509" s="1092"/>
      <c r="I6509" s="1092"/>
    </row>
    <row r="6510" spans="8:9">
      <c r="H6510" s="1092"/>
      <c r="I6510" s="1092"/>
    </row>
    <row r="6511" spans="8:9">
      <c r="H6511" s="1092"/>
      <c r="I6511" s="1092"/>
    </row>
    <row r="6512" spans="8:9">
      <c r="H6512" s="1092"/>
      <c r="I6512" s="1092"/>
    </row>
    <row r="6513" spans="8:9">
      <c r="H6513" s="1092"/>
      <c r="I6513" s="1092"/>
    </row>
    <row r="6514" spans="8:9">
      <c r="H6514" s="1092"/>
      <c r="I6514" s="1092"/>
    </row>
    <row r="6515" spans="8:9">
      <c r="H6515" s="1092"/>
      <c r="I6515" s="1092"/>
    </row>
    <row r="6516" spans="8:9">
      <c r="H6516" s="1092"/>
      <c r="I6516" s="1092"/>
    </row>
    <row r="6517" spans="8:9">
      <c r="H6517" s="1092"/>
      <c r="I6517" s="1092"/>
    </row>
    <row r="6518" spans="8:9">
      <c r="H6518" s="1092"/>
      <c r="I6518" s="1092"/>
    </row>
    <row r="6519" spans="8:9">
      <c r="H6519" s="1092"/>
      <c r="I6519" s="1092"/>
    </row>
    <row r="6520" spans="8:9">
      <c r="H6520" s="1092"/>
      <c r="I6520" s="1092"/>
    </row>
    <row r="6521" spans="8:9">
      <c r="H6521" s="1092"/>
      <c r="I6521" s="1092"/>
    </row>
    <row r="6522" spans="8:9">
      <c r="H6522" s="1092"/>
      <c r="I6522" s="1092"/>
    </row>
    <row r="6523" spans="8:9">
      <c r="H6523" s="1092"/>
      <c r="I6523" s="1092"/>
    </row>
    <row r="6524" spans="8:9">
      <c r="H6524" s="1092"/>
      <c r="I6524" s="1092"/>
    </row>
    <row r="6525" spans="8:9">
      <c r="H6525" s="1092"/>
      <c r="I6525" s="1092"/>
    </row>
    <row r="6526" spans="8:9">
      <c r="H6526" s="1092"/>
      <c r="I6526" s="1092"/>
    </row>
    <row r="6527" spans="8:9">
      <c r="H6527" s="1092"/>
      <c r="I6527" s="1092"/>
    </row>
    <row r="6528" spans="8:9">
      <c r="H6528" s="1092"/>
      <c r="I6528" s="1092"/>
    </row>
    <row r="6529" spans="8:9">
      <c r="H6529" s="1092"/>
      <c r="I6529" s="1092"/>
    </row>
    <row r="6530" spans="8:9">
      <c r="H6530" s="1092"/>
      <c r="I6530" s="1092"/>
    </row>
    <row r="6531" spans="8:9">
      <c r="H6531" s="1092"/>
      <c r="I6531" s="1092"/>
    </row>
    <row r="6532" spans="8:9">
      <c r="H6532" s="1092"/>
      <c r="I6532" s="1092"/>
    </row>
    <row r="6533" spans="8:9">
      <c r="H6533" s="1092"/>
      <c r="I6533" s="1092"/>
    </row>
    <row r="6534" spans="8:9">
      <c r="H6534" s="1092"/>
      <c r="I6534" s="1092"/>
    </row>
    <row r="6535" spans="8:9">
      <c r="H6535" s="1092"/>
      <c r="I6535" s="1092"/>
    </row>
    <row r="6536" spans="8:9">
      <c r="H6536" s="1092"/>
      <c r="I6536" s="1092"/>
    </row>
    <row r="6537" spans="8:9">
      <c r="H6537" s="1092"/>
      <c r="I6537" s="1092"/>
    </row>
    <row r="6538" spans="8:9">
      <c r="H6538" s="1092"/>
      <c r="I6538" s="1092"/>
    </row>
    <row r="6539" spans="8:9">
      <c r="H6539" s="1092"/>
      <c r="I6539" s="1092"/>
    </row>
    <row r="6540" spans="8:9">
      <c r="H6540" s="1092"/>
      <c r="I6540" s="1092"/>
    </row>
    <row r="6541" spans="8:9">
      <c r="H6541" s="1092"/>
      <c r="I6541" s="1092"/>
    </row>
    <row r="6542" spans="8:9">
      <c r="H6542" s="1092"/>
      <c r="I6542" s="1092"/>
    </row>
    <row r="6543" spans="8:9">
      <c r="H6543" s="1092"/>
      <c r="I6543" s="1092"/>
    </row>
    <row r="6544" spans="8:9">
      <c r="H6544" s="1092"/>
      <c r="I6544" s="1092"/>
    </row>
    <row r="6545" spans="8:9">
      <c r="H6545" s="1092"/>
      <c r="I6545" s="1092"/>
    </row>
    <row r="6546" spans="8:9">
      <c r="H6546" s="1092"/>
      <c r="I6546" s="1092"/>
    </row>
    <row r="6547" spans="8:9">
      <c r="H6547" s="1092"/>
      <c r="I6547" s="1092"/>
    </row>
    <row r="6548" spans="8:9">
      <c r="H6548" s="1092"/>
      <c r="I6548" s="1092"/>
    </row>
    <row r="6549" spans="8:9">
      <c r="H6549" s="1092"/>
      <c r="I6549" s="1092"/>
    </row>
    <row r="6550" spans="8:9">
      <c r="H6550" s="1092"/>
      <c r="I6550" s="1092"/>
    </row>
    <row r="6551" spans="8:9">
      <c r="H6551" s="1092"/>
      <c r="I6551" s="1092"/>
    </row>
    <row r="6552" spans="8:9">
      <c r="H6552" s="1092"/>
      <c r="I6552" s="1092"/>
    </row>
    <row r="6553" spans="8:9">
      <c r="H6553" s="1092"/>
      <c r="I6553" s="1092"/>
    </row>
    <row r="6554" spans="8:9">
      <c r="H6554" s="1092"/>
      <c r="I6554" s="1092"/>
    </row>
    <row r="6555" spans="8:9">
      <c r="H6555" s="1092"/>
      <c r="I6555" s="1092"/>
    </row>
    <row r="6556" spans="8:9">
      <c r="H6556" s="1092"/>
      <c r="I6556" s="1092"/>
    </row>
    <row r="6557" spans="8:9">
      <c r="H6557" s="1092"/>
      <c r="I6557" s="1092"/>
    </row>
    <row r="6558" spans="8:9">
      <c r="H6558" s="1092"/>
      <c r="I6558" s="1092"/>
    </row>
    <row r="6559" spans="8:9">
      <c r="H6559" s="1092"/>
      <c r="I6559" s="1092"/>
    </row>
    <row r="6560" spans="8:9">
      <c r="H6560" s="1092"/>
      <c r="I6560" s="1092"/>
    </row>
    <row r="6561" spans="8:9">
      <c r="H6561" s="1092"/>
      <c r="I6561" s="1092"/>
    </row>
    <row r="6562" spans="8:9">
      <c r="H6562" s="1092"/>
      <c r="I6562" s="1092"/>
    </row>
    <row r="6563" spans="8:9">
      <c r="H6563" s="1092"/>
      <c r="I6563" s="1092"/>
    </row>
    <row r="6564" spans="8:9">
      <c r="H6564" s="1092"/>
      <c r="I6564" s="1092"/>
    </row>
    <row r="6565" spans="8:9">
      <c r="H6565" s="1092"/>
      <c r="I6565" s="1092"/>
    </row>
    <row r="6566" spans="8:9">
      <c r="H6566" s="1092"/>
      <c r="I6566" s="1092"/>
    </row>
    <row r="6567" spans="8:9">
      <c r="H6567" s="1092"/>
      <c r="I6567" s="1092"/>
    </row>
    <row r="6568" spans="8:9">
      <c r="H6568" s="1092"/>
      <c r="I6568" s="1092"/>
    </row>
    <row r="6569" spans="8:9">
      <c r="H6569" s="1092"/>
      <c r="I6569" s="1092"/>
    </row>
    <row r="6570" spans="8:9">
      <c r="H6570" s="1092"/>
      <c r="I6570" s="1092"/>
    </row>
    <row r="6571" spans="8:9">
      <c r="H6571" s="1092"/>
      <c r="I6571" s="1092"/>
    </row>
    <row r="6572" spans="8:9">
      <c r="H6572" s="1092"/>
      <c r="I6572" s="1092"/>
    </row>
    <row r="6573" spans="8:9">
      <c r="H6573" s="1092"/>
      <c r="I6573" s="1092"/>
    </row>
    <row r="6574" spans="8:9">
      <c r="H6574" s="1092"/>
      <c r="I6574" s="1092"/>
    </row>
    <row r="6575" spans="8:9">
      <c r="H6575" s="1092"/>
      <c r="I6575" s="1092"/>
    </row>
    <row r="6576" spans="8:9">
      <c r="H6576" s="1092"/>
      <c r="I6576" s="1092"/>
    </row>
    <row r="6577" spans="8:9">
      <c r="H6577" s="1092"/>
      <c r="I6577" s="1092"/>
    </row>
    <row r="6578" spans="8:9">
      <c r="H6578" s="1092"/>
      <c r="I6578" s="1092"/>
    </row>
    <row r="6579" spans="8:9">
      <c r="H6579" s="1092"/>
      <c r="I6579" s="1092"/>
    </row>
    <row r="6580" spans="8:9">
      <c r="H6580" s="1092"/>
      <c r="I6580" s="1092"/>
    </row>
    <row r="6581" spans="8:9">
      <c r="H6581" s="1092"/>
      <c r="I6581" s="1092"/>
    </row>
    <row r="6582" spans="8:9">
      <c r="H6582" s="1092"/>
      <c r="I6582" s="1092"/>
    </row>
    <row r="6583" spans="8:9">
      <c r="H6583" s="1092"/>
      <c r="I6583" s="1092"/>
    </row>
    <row r="6584" spans="8:9">
      <c r="H6584" s="1092"/>
      <c r="I6584" s="1092"/>
    </row>
    <row r="6585" spans="8:9">
      <c r="H6585" s="1092"/>
      <c r="I6585" s="1092"/>
    </row>
    <row r="6586" spans="8:9">
      <c r="H6586" s="1092"/>
      <c r="I6586" s="1092"/>
    </row>
    <row r="6587" spans="8:9">
      <c r="H6587" s="1092"/>
      <c r="I6587" s="1092"/>
    </row>
    <row r="6588" spans="8:9">
      <c r="H6588" s="1092"/>
      <c r="I6588" s="1092"/>
    </row>
    <row r="6589" spans="8:9">
      <c r="H6589" s="1092"/>
      <c r="I6589" s="1092"/>
    </row>
    <row r="6590" spans="8:9">
      <c r="H6590" s="1092"/>
      <c r="I6590" s="1092"/>
    </row>
    <row r="6591" spans="8:9">
      <c r="H6591" s="1092"/>
      <c r="I6591" s="1092"/>
    </row>
    <row r="6592" spans="8:9">
      <c r="H6592" s="1092"/>
      <c r="I6592" s="1092"/>
    </row>
    <row r="6593" spans="8:9">
      <c r="H6593" s="1092"/>
      <c r="I6593" s="1092"/>
    </row>
    <row r="6594" spans="8:9">
      <c r="H6594" s="1092"/>
      <c r="I6594" s="1092"/>
    </row>
    <row r="6595" spans="8:9">
      <c r="H6595" s="1092"/>
      <c r="I6595" s="1092"/>
    </row>
    <row r="6596" spans="8:9">
      <c r="H6596" s="1092"/>
      <c r="I6596" s="1092"/>
    </row>
    <row r="6597" spans="8:9">
      <c r="H6597" s="1092"/>
      <c r="I6597" s="1092"/>
    </row>
    <row r="6598" spans="8:9">
      <c r="H6598" s="1092"/>
      <c r="I6598" s="1092"/>
    </row>
    <row r="6599" spans="8:9">
      <c r="H6599" s="1092"/>
      <c r="I6599" s="1092"/>
    </row>
    <row r="6600" spans="8:9">
      <c r="H6600" s="1092"/>
      <c r="I6600" s="1092"/>
    </row>
    <row r="6601" spans="8:9">
      <c r="H6601" s="1092"/>
      <c r="I6601" s="1092"/>
    </row>
    <row r="6602" spans="8:9">
      <c r="H6602" s="1092"/>
      <c r="I6602" s="1092"/>
    </row>
    <row r="6603" spans="8:9">
      <c r="H6603" s="1092"/>
      <c r="I6603" s="1092"/>
    </row>
    <row r="6604" spans="8:9">
      <c r="H6604" s="1092"/>
      <c r="I6604" s="1092"/>
    </row>
    <row r="6605" spans="8:9">
      <c r="H6605" s="1092"/>
      <c r="I6605" s="1092"/>
    </row>
    <row r="6606" spans="8:9">
      <c r="H6606" s="1092"/>
      <c r="I6606" s="1092"/>
    </row>
    <row r="6607" spans="8:9">
      <c r="H6607" s="1092"/>
      <c r="I6607" s="1092"/>
    </row>
    <row r="6608" spans="8:9">
      <c r="H6608" s="1092"/>
      <c r="I6608" s="1092"/>
    </row>
    <row r="6609" spans="8:9">
      <c r="H6609" s="1092"/>
      <c r="I6609" s="1092"/>
    </row>
    <row r="6610" spans="8:9">
      <c r="H6610" s="1092"/>
      <c r="I6610" s="1092"/>
    </row>
    <row r="6611" spans="8:9">
      <c r="H6611" s="1092"/>
      <c r="I6611" s="1092"/>
    </row>
    <row r="6612" spans="8:9">
      <c r="H6612" s="1092"/>
      <c r="I6612" s="1092"/>
    </row>
    <row r="6613" spans="8:9">
      <c r="H6613" s="1092"/>
      <c r="I6613" s="1092"/>
    </row>
    <row r="6614" spans="8:9">
      <c r="H6614" s="1092"/>
      <c r="I6614" s="1092"/>
    </row>
    <row r="6615" spans="8:9">
      <c r="H6615" s="1092"/>
      <c r="I6615" s="1092"/>
    </row>
    <row r="6616" spans="8:9">
      <c r="H6616" s="1092"/>
      <c r="I6616" s="1092"/>
    </row>
    <row r="6617" spans="8:9">
      <c r="H6617" s="1092"/>
      <c r="I6617" s="1092"/>
    </row>
    <row r="6618" spans="8:9">
      <c r="H6618" s="1092"/>
      <c r="I6618" s="1092"/>
    </row>
    <row r="6619" spans="8:9">
      <c r="H6619" s="1092"/>
      <c r="I6619" s="1092"/>
    </row>
    <row r="6620" spans="8:9">
      <c r="H6620" s="1092"/>
      <c r="I6620" s="1092"/>
    </row>
    <row r="6621" spans="8:9">
      <c r="H6621" s="1092"/>
      <c r="I6621" s="1092"/>
    </row>
    <row r="6622" spans="8:9">
      <c r="H6622" s="1092"/>
      <c r="I6622" s="1092"/>
    </row>
    <row r="6623" spans="8:9">
      <c r="H6623" s="1092"/>
      <c r="I6623" s="1092"/>
    </row>
    <row r="6624" spans="8:9">
      <c r="H6624" s="1092"/>
      <c r="I6624" s="1092"/>
    </row>
    <row r="6625" spans="8:9">
      <c r="H6625" s="1092"/>
      <c r="I6625" s="1092"/>
    </row>
    <row r="6626" spans="8:9">
      <c r="H6626" s="1092"/>
      <c r="I6626" s="1092"/>
    </row>
    <row r="6627" spans="8:9">
      <c r="H6627" s="1092"/>
      <c r="I6627" s="1092"/>
    </row>
    <row r="6628" spans="8:9">
      <c r="H6628" s="1092"/>
      <c r="I6628" s="1092"/>
    </row>
    <row r="6629" spans="8:9">
      <c r="H6629" s="1092"/>
      <c r="I6629" s="1092"/>
    </row>
    <row r="6630" spans="8:9">
      <c r="H6630" s="1092"/>
      <c r="I6630" s="1092"/>
    </row>
    <row r="6631" spans="8:9">
      <c r="H6631" s="1092"/>
      <c r="I6631" s="1092"/>
    </row>
    <row r="6632" spans="8:9">
      <c r="H6632" s="1092"/>
      <c r="I6632" s="1092"/>
    </row>
    <row r="6633" spans="8:9">
      <c r="H6633" s="1092"/>
      <c r="I6633" s="1092"/>
    </row>
    <row r="6634" spans="8:9">
      <c r="H6634" s="1092"/>
      <c r="I6634" s="1092"/>
    </row>
    <row r="6635" spans="8:9">
      <c r="H6635" s="1092"/>
      <c r="I6635" s="1092"/>
    </row>
    <row r="6636" spans="8:9">
      <c r="H6636" s="1092"/>
      <c r="I6636" s="1092"/>
    </row>
    <row r="6637" spans="8:9">
      <c r="H6637" s="1092"/>
      <c r="I6637" s="1092"/>
    </row>
    <row r="6638" spans="8:9">
      <c r="H6638" s="1092"/>
      <c r="I6638" s="1092"/>
    </row>
    <row r="6639" spans="8:9">
      <c r="H6639" s="1092"/>
      <c r="I6639" s="1092"/>
    </row>
    <row r="6640" spans="8:9">
      <c r="H6640" s="1092"/>
      <c r="I6640" s="1092"/>
    </row>
    <row r="6641" spans="8:9">
      <c r="H6641" s="1092"/>
      <c r="I6641" s="1092"/>
    </row>
    <row r="6642" spans="8:9">
      <c r="H6642" s="1092"/>
      <c r="I6642" s="1092"/>
    </row>
    <row r="6643" spans="8:9">
      <c r="H6643" s="1092"/>
      <c r="I6643" s="1092"/>
    </row>
    <row r="6644" spans="8:9">
      <c r="H6644" s="1092"/>
      <c r="I6644" s="1092"/>
    </row>
    <row r="6645" spans="8:9">
      <c r="H6645" s="1092"/>
      <c r="I6645" s="1092"/>
    </row>
    <row r="6646" spans="8:9">
      <c r="H6646" s="1092"/>
      <c r="I6646" s="1092"/>
    </row>
    <row r="6647" spans="8:9">
      <c r="H6647" s="1092"/>
      <c r="I6647" s="1092"/>
    </row>
    <row r="6648" spans="8:9">
      <c r="H6648" s="1092"/>
      <c r="I6648" s="1092"/>
    </row>
    <row r="6649" spans="8:9">
      <c r="H6649" s="1092"/>
      <c r="I6649" s="1092"/>
    </row>
    <row r="6650" spans="8:9">
      <c r="H6650" s="1092"/>
      <c r="I6650" s="1092"/>
    </row>
    <row r="6651" spans="8:9">
      <c r="H6651" s="1092"/>
      <c r="I6651" s="1092"/>
    </row>
    <row r="6652" spans="8:9">
      <c r="H6652" s="1092"/>
      <c r="I6652" s="1092"/>
    </row>
    <row r="6653" spans="8:9">
      <c r="H6653" s="1092"/>
      <c r="I6653" s="1092"/>
    </row>
    <row r="6654" spans="8:9">
      <c r="H6654" s="1092"/>
      <c r="I6654" s="1092"/>
    </row>
    <row r="6655" spans="8:9">
      <c r="H6655" s="1092"/>
      <c r="I6655" s="1092"/>
    </row>
    <row r="6656" spans="8:9">
      <c r="H6656" s="1092"/>
      <c r="I6656" s="1092"/>
    </row>
    <row r="6657" spans="8:9">
      <c r="H6657" s="1092"/>
      <c r="I6657" s="1092"/>
    </row>
    <row r="6658" spans="8:9">
      <c r="H6658" s="1092"/>
      <c r="I6658" s="1092"/>
    </row>
    <row r="6659" spans="8:9">
      <c r="H6659" s="1092"/>
      <c r="I6659" s="1092"/>
    </row>
    <row r="6660" spans="8:9">
      <c r="H6660" s="1092"/>
      <c r="I6660" s="1092"/>
    </row>
    <row r="6661" spans="8:9">
      <c r="H6661" s="1092"/>
      <c r="I6661" s="1092"/>
    </row>
    <row r="6662" spans="8:9">
      <c r="H6662" s="1092"/>
      <c r="I6662" s="1092"/>
    </row>
    <row r="6663" spans="8:9">
      <c r="H6663" s="1092"/>
      <c r="I6663" s="1092"/>
    </row>
    <row r="6664" spans="8:9">
      <c r="H6664" s="1092"/>
      <c r="I6664" s="1092"/>
    </row>
    <row r="6665" spans="8:9">
      <c r="H6665" s="1092"/>
      <c r="I6665" s="1092"/>
    </row>
    <row r="6666" spans="8:9">
      <c r="H6666" s="1092"/>
      <c r="I6666" s="1092"/>
    </row>
    <row r="6667" spans="8:9">
      <c r="H6667" s="1092"/>
      <c r="I6667" s="1092"/>
    </row>
    <row r="6668" spans="8:9">
      <c r="H6668" s="1092"/>
      <c r="I6668" s="1092"/>
    </row>
    <row r="6669" spans="8:9">
      <c r="H6669" s="1092"/>
      <c r="I6669" s="1092"/>
    </row>
    <row r="6670" spans="8:9">
      <c r="H6670" s="1092"/>
      <c r="I6670" s="1092"/>
    </row>
    <row r="6671" spans="8:9">
      <c r="H6671" s="1092"/>
      <c r="I6671" s="1092"/>
    </row>
    <row r="6672" spans="8:9">
      <c r="H6672" s="1092"/>
      <c r="I6672" s="1092"/>
    </row>
    <row r="6673" spans="8:9">
      <c r="H6673" s="1092"/>
      <c r="I6673" s="1092"/>
    </row>
    <row r="6674" spans="8:9">
      <c r="H6674" s="1092"/>
      <c r="I6674" s="1092"/>
    </row>
    <row r="6675" spans="8:9">
      <c r="H6675" s="1092"/>
      <c r="I6675" s="1092"/>
    </row>
    <row r="6676" spans="8:9">
      <c r="H6676" s="1092"/>
      <c r="I6676" s="1092"/>
    </row>
    <row r="6677" spans="8:9">
      <c r="H6677" s="1092"/>
      <c r="I6677" s="1092"/>
    </row>
    <row r="6678" spans="8:9">
      <c r="H6678" s="1092"/>
      <c r="I6678" s="1092"/>
    </row>
    <row r="6679" spans="8:9">
      <c r="H6679" s="1092"/>
      <c r="I6679" s="1092"/>
    </row>
    <row r="6680" spans="8:9">
      <c r="H6680" s="1092"/>
      <c r="I6680" s="1092"/>
    </row>
    <row r="6681" spans="8:9">
      <c r="H6681" s="1092"/>
      <c r="I6681" s="1092"/>
    </row>
    <row r="6682" spans="8:9">
      <c r="H6682" s="1092"/>
      <c r="I6682" s="1092"/>
    </row>
    <row r="6683" spans="8:9">
      <c r="H6683" s="1092"/>
      <c r="I6683" s="1092"/>
    </row>
    <row r="6684" spans="8:9">
      <c r="H6684" s="1092"/>
      <c r="I6684" s="1092"/>
    </row>
    <row r="6685" spans="8:9">
      <c r="H6685" s="1092"/>
      <c r="I6685" s="1092"/>
    </row>
    <row r="6686" spans="8:9">
      <c r="H6686" s="1092"/>
      <c r="I6686" s="1092"/>
    </row>
    <row r="6687" spans="8:9">
      <c r="H6687" s="1092"/>
      <c r="I6687" s="1092"/>
    </row>
    <row r="6688" spans="8:9">
      <c r="H6688" s="1092"/>
      <c r="I6688" s="1092"/>
    </row>
    <row r="6689" spans="8:9">
      <c r="H6689" s="1092"/>
      <c r="I6689" s="1092"/>
    </row>
    <row r="6690" spans="8:9">
      <c r="H6690" s="1092"/>
      <c r="I6690" s="1092"/>
    </row>
    <row r="6691" spans="8:9">
      <c r="H6691" s="1092"/>
      <c r="I6691" s="1092"/>
    </row>
    <row r="6692" spans="8:9">
      <c r="H6692" s="1092"/>
      <c r="I6692" s="1092"/>
    </row>
    <row r="6693" spans="8:9">
      <c r="H6693" s="1092"/>
      <c r="I6693" s="1092"/>
    </row>
    <row r="6694" spans="8:9">
      <c r="H6694" s="1092"/>
      <c r="I6694" s="1092"/>
    </row>
    <row r="6695" spans="8:9">
      <c r="H6695" s="1092"/>
      <c r="I6695" s="1092"/>
    </row>
    <row r="6696" spans="8:9">
      <c r="H6696" s="1092"/>
      <c r="I6696" s="1092"/>
    </row>
    <row r="6697" spans="8:9">
      <c r="H6697" s="1092"/>
      <c r="I6697" s="1092"/>
    </row>
    <row r="6698" spans="8:9">
      <c r="H6698" s="1092"/>
      <c r="I6698" s="1092"/>
    </row>
    <row r="6699" spans="8:9">
      <c r="H6699" s="1092"/>
      <c r="I6699" s="1092"/>
    </row>
    <row r="6700" spans="8:9">
      <c r="H6700" s="1092"/>
      <c r="I6700" s="1092"/>
    </row>
    <row r="6701" spans="8:9">
      <c r="H6701" s="1092"/>
      <c r="I6701" s="1092"/>
    </row>
    <row r="6702" spans="8:9">
      <c r="H6702" s="1092"/>
      <c r="I6702" s="1092"/>
    </row>
    <row r="6703" spans="8:9">
      <c r="H6703" s="1092"/>
      <c r="I6703" s="1092"/>
    </row>
    <row r="6704" spans="8:9">
      <c r="H6704" s="1092"/>
      <c r="I6704" s="1092"/>
    </row>
    <row r="6705" spans="8:9">
      <c r="H6705" s="1092"/>
      <c r="I6705" s="1092"/>
    </row>
    <row r="6706" spans="8:9">
      <c r="H6706" s="1092"/>
      <c r="I6706" s="1092"/>
    </row>
    <row r="6707" spans="8:9">
      <c r="H6707" s="1092"/>
      <c r="I6707" s="1092"/>
    </row>
    <row r="6708" spans="8:9">
      <c r="H6708" s="1092"/>
      <c r="I6708" s="1092"/>
    </row>
    <row r="6709" spans="8:9">
      <c r="H6709" s="1092"/>
      <c r="I6709" s="1092"/>
    </row>
    <row r="6710" spans="8:9">
      <c r="H6710" s="1092"/>
      <c r="I6710" s="1092"/>
    </row>
    <row r="6711" spans="8:9">
      <c r="H6711" s="1092"/>
      <c r="I6711" s="1092"/>
    </row>
    <row r="6712" spans="8:9">
      <c r="H6712" s="1092"/>
      <c r="I6712" s="1092"/>
    </row>
    <row r="6713" spans="8:9">
      <c r="H6713" s="1092"/>
      <c r="I6713" s="1092"/>
    </row>
    <row r="6714" spans="8:9">
      <c r="H6714" s="1092"/>
      <c r="I6714" s="1092"/>
    </row>
    <row r="6715" spans="8:9">
      <c r="H6715" s="1092"/>
      <c r="I6715" s="1092"/>
    </row>
    <row r="6716" spans="8:9">
      <c r="H6716" s="1092"/>
      <c r="I6716" s="1092"/>
    </row>
    <row r="6717" spans="8:9">
      <c r="H6717" s="1092"/>
      <c r="I6717" s="1092"/>
    </row>
    <row r="6718" spans="8:9">
      <c r="H6718" s="1092"/>
      <c r="I6718" s="1092"/>
    </row>
    <row r="6719" spans="8:9">
      <c r="H6719" s="1092"/>
      <c r="I6719" s="1092"/>
    </row>
    <row r="6720" spans="8:9">
      <c r="H6720" s="1092"/>
      <c r="I6720" s="1092"/>
    </row>
    <row r="6721" spans="8:9">
      <c r="H6721" s="1092"/>
      <c r="I6721" s="1092"/>
    </row>
    <row r="6722" spans="8:9">
      <c r="H6722" s="1092"/>
      <c r="I6722" s="1092"/>
    </row>
    <row r="6723" spans="8:9">
      <c r="H6723" s="1092"/>
      <c r="I6723" s="1092"/>
    </row>
    <row r="6724" spans="8:9">
      <c r="H6724" s="1092"/>
      <c r="I6724" s="1092"/>
    </row>
    <row r="6725" spans="8:9">
      <c r="H6725" s="1092"/>
      <c r="I6725" s="1092"/>
    </row>
    <row r="6726" spans="8:9">
      <c r="H6726" s="1092"/>
      <c r="I6726" s="1092"/>
    </row>
    <row r="6727" spans="8:9">
      <c r="H6727" s="1092"/>
      <c r="I6727" s="1092"/>
    </row>
    <row r="6728" spans="8:9">
      <c r="H6728" s="1092"/>
      <c r="I6728" s="1092"/>
    </row>
    <row r="6729" spans="8:9">
      <c r="H6729" s="1092"/>
      <c r="I6729" s="1092"/>
    </row>
    <row r="6730" spans="8:9">
      <c r="H6730" s="1092"/>
      <c r="I6730" s="1092"/>
    </row>
    <row r="6731" spans="8:9">
      <c r="H6731" s="1092"/>
      <c r="I6731" s="1092"/>
    </row>
    <row r="6732" spans="8:9">
      <c r="H6732" s="1092"/>
      <c r="I6732" s="1092"/>
    </row>
    <row r="6733" spans="8:9">
      <c r="H6733" s="1092"/>
      <c r="I6733" s="1092"/>
    </row>
    <row r="6734" spans="8:9">
      <c r="H6734" s="1092"/>
      <c r="I6734" s="1092"/>
    </row>
    <row r="6735" spans="8:9">
      <c r="H6735" s="1092"/>
      <c r="I6735" s="1092"/>
    </row>
    <row r="6736" spans="8:9">
      <c r="H6736" s="1092"/>
      <c r="I6736" s="1092"/>
    </row>
    <row r="6737" spans="8:9">
      <c r="H6737" s="1092"/>
      <c r="I6737" s="1092"/>
    </row>
    <row r="6738" spans="8:9">
      <c r="H6738" s="1092"/>
      <c r="I6738" s="1092"/>
    </row>
    <row r="6739" spans="8:9">
      <c r="H6739" s="1092"/>
      <c r="I6739" s="1092"/>
    </row>
    <row r="6740" spans="8:9">
      <c r="H6740" s="1092"/>
      <c r="I6740" s="1092"/>
    </row>
    <row r="6741" spans="8:9">
      <c r="H6741" s="1092"/>
      <c r="I6741" s="1092"/>
    </row>
    <row r="6742" spans="8:9">
      <c r="H6742" s="1092"/>
      <c r="I6742" s="1092"/>
    </row>
    <row r="6743" spans="8:9">
      <c r="H6743" s="1092"/>
      <c r="I6743" s="1092"/>
    </row>
    <row r="6744" spans="8:9">
      <c r="H6744" s="1092"/>
      <c r="I6744" s="1092"/>
    </row>
    <row r="6745" spans="8:9">
      <c r="H6745" s="1092"/>
      <c r="I6745" s="1092"/>
    </row>
    <row r="6746" spans="8:9">
      <c r="H6746" s="1092"/>
      <c r="I6746" s="1092"/>
    </row>
    <row r="6747" spans="8:9">
      <c r="H6747" s="1092"/>
      <c r="I6747" s="1092"/>
    </row>
    <row r="6748" spans="8:9">
      <c r="H6748" s="1092"/>
      <c r="I6748" s="1092"/>
    </row>
    <row r="6749" spans="8:9">
      <c r="H6749" s="1092"/>
      <c r="I6749" s="1092"/>
    </row>
    <row r="6750" spans="8:9">
      <c r="H6750" s="1092"/>
      <c r="I6750" s="1092"/>
    </row>
    <row r="6751" spans="8:9">
      <c r="H6751" s="1092"/>
      <c r="I6751" s="1092"/>
    </row>
    <row r="6752" spans="8:9">
      <c r="H6752" s="1092"/>
      <c r="I6752" s="1092"/>
    </row>
    <row r="6753" spans="8:9">
      <c r="H6753" s="1092"/>
      <c r="I6753" s="1092"/>
    </row>
    <row r="6754" spans="8:9">
      <c r="H6754" s="1092"/>
      <c r="I6754" s="1092"/>
    </row>
    <row r="6755" spans="8:9">
      <c r="H6755" s="1092"/>
      <c r="I6755" s="1092"/>
    </row>
    <row r="6756" spans="8:9">
      <c r="H6756" s="1092"/>
      <c r="I6756" s="1092"/>
    </row>
    <row r="6757" spans="8:9">
      <c r="H6757" s="1092"/>
      <c r="I6757" s="1092"/>
    </row>
    <row r="6758" spans="8:9">
      <c r="H6758" s="1092"/>
      <c r="I6758" s="1092"/>
    </row>
    <row r="6759" spans="8:9">
      <c r="H6759" s="1092"/>
      <c r="I6759" s="1092"/>
    </row>
    <row r="6760" spans="8:9">
      <c r="H6760" s="1092"/>
      <c r="I6760" s="1092"/>
    </row>
    <row r="6761" spans="8:9">
      <c r="H6761" s="1092"/>
      <c r="I6761" s="1092"/>
    </row>
    <row r="6762" spans="8:9">
      <c r="H6762" s="1092"/>
      <c r="I6762" s="1092"/>
    </row>
    <row r="6763" spans="8:9">
      <c r="H6763" s="1092"/>
      <c r="I6763" s="1092"/>
    </row>
    <row r="6764" spans="8:9">
      <c r="H6764" s="1092"/>
      <c r="I6764" s="1092"/>
    </row>
    <row r="6765" spans="8:9">
      <c r="H6765" s="1092"/>
      <c r="I6765" s="1092"/>
    </row>
    <row r="6766" spans="8:9">
      <c r="H6766" s="1092"/>
      <c r="I6766" s="1092"/>
    </row>
    <row r="6767" spans="8:9">
      <c r="H6767" s="1092"/>
      <c r="I6767" s="1092"/>
    </row>
    <row r="6768" spans="8:9">
      <c r="H6768" s="1092"/>
      <c r="I6768" s="1092"/>
    </row>
    <row r="6769" spans="8:9">
      <c r="H6769" s="1092"/>
      <c r="I6769" s="1092"/>
    </row>
    <row r="6770" spans="8:9">
      <c r="H6770" s="1092"/>
      <c r="I6770" s="1092"/>
    </row>
    <row r="6771" spans="8:9">
      <c r="H6771" s="1092"/>
      <c r="I6771" s="1092"/>
    </row>
    <row r="6772" spans="8:9">
      <c r="H6772" s="1092"/>
      <c r="I6772" s="1092"/>
    </row>
    <row r="6773" spans="8:9">
      <c r="H6773" s="1092"/>
      <c r="I6773" s="1092"/>
    </row>
    <row r="6774" spans="8:9">
      <c r="H6774" s="1092"/>
      <c r="I6774" s="1092"/>
    </row>
    <row r="6775" spans="8:9">
      <c r="H6775" s="1092"/>
      <c r="I6775" s="1092"/>
    </row>
    <row r="6776" spans="8:9">
      <c r="H6776" s="1092"/>
      <c r="I6776" s="1092"/>
    </row>
    <row r="6777" spans="8:9">
      <c r="H6777" s="1092"/>
      <c r="I6777" s="1092"/>
    </row>
    <row r="6778" spans="8:9">
      <c r="H6778" s="1092"/>
      <c r="I6778" s="1092"/>
    </row>
    <row r="6779" spans="8:9">
      <c r="H6779" s="1092"/>
      <c r="I6779" s="1092"/>
    </row>
    <row r="6780" spans="8:9">
      <c r="H6780" s="1092"/>
      <c r="I6780" s="1092"/>
    </row>
    <row r="6781" spans="8:9">
      <c r="H6781" s="1092"/>
      <c r="I6781" s="1092"/>
    </row>
    <row r="6782" spans="8:9">
      <c r="H6782" s="1092"/>
      <c r="I6782" s="1092"/>
    </row>
    <row r="6783" spans="8:9">
      <c r="H6783" s="1092"/>
      <c r="I6783" s="1092"/>
    </row>
    <row r="6784" spans="8:9">
      <c r="H6784" s="1092"/>
      <c r="I6784" s="1092"/>
    </row>
    <row r="6785" spans="8:9">
      <c r="H6785" s="1092"/>
      <c r="I6785" s="1092"/>
    </row>
    <row r="6786" spans="8:9">
      <c r="H6786" s="1092"/>
      <c r="I6786" s="1092"/>
    </row>
    <row r="6787" spans="8:9">
      <c r="H6787" s="1092"/>
      <c r="I6787" s="1092"/>
    </row>
    <row r="6788" spans="8:9">
      <c r="H6788" s="1092"/>
      <c r="I6788" s="1092"/>
    </row>
    <row r="6789" spans="8:9">
      <c r="H6789" s="1092"/>
      <c r="I6789" s="1092"/>
    </row>
    <row r="6790" spans="8:9">
      <c r="H6790" s="1092"/>
      <c r="I6790" s="1092"/>
    </row>
    <row r="6791" spans="8:9">
      <c r="H6791" s="1092"/>
      <c r="I6791" s="1092"/>
    </row>
    <row r="6792" spans="8:9">
      <c r="H6792" s="1092"/>
      <c r="I6792" s="1092"/>
    </row>
    <row r="6793" spans="8:9">
      <c r="H6793" s="1092"/>
      <c r="I6793" s="1092"/>
    </row>
    <row r="6794" spans="8:9">
      <c r="H6794" s="1092"/>
      <c r="I6794" s="1092"/>
    </row>
    <row r="6795" spans="8:9">
      <c r="H6795" s="1092"/>
      <c r="I6795" s="1092"/>
    </row>
    <row r="6796" spans="8:9">
      <c r="H6796" s="1092"/>
      <c r="I6796" s="1092"/>
    </row>
    <row r="6797" spans="8:9">
      <c r="H6797" s="1092"/>
      <c r="I6797" s="1092"/>
    </row>
    <row r="6798" spans="8:9">
      <c r="H6798" s="1092"/>
      <c r="I6798" s="1092"/>
    </row>
    <row r="6799" spans="8:9">
      <c r="H6799" s="1092"/>
      <c r="I6799" s="1092"/>
    </row>
    <row r="6800" spans="8:9">
      <c r="H6800" s="1092"/>
      <c r="I6800" s="1092"/>
    </row>
    <row r="6801" spans="8:9">
      <c r="H6801" s="1092"/>
      <c r="I6801" s="1092"/>
    </row>
    <row r="6802" spans="8:9">
      <c r="H6802" s="1092"/>
      <c r="I6802" s="1092"/>
    </row>
    <row r="6803" spans="8:9">
      <c r="H6803" s="1092"/>
      <c r="I6803" s="1092"/>
    </row>
    <row r="6804" spans="8:9">
      <c r="H6804" s="1092"/>
      <c r="I6804" s="1092"/>
    </row>
    <row r="6805" spans="8:9">
      <c r="H6805" s="1092"/>
      <c r="I6805" s="1092"/>
    </row>
    <row r="6806" spans="8:9">
      <c r="H6806" s="1092"/>
      <c r="I6806" s="1092"/>
    </row>
    <row r="6807" spans="8:9">
      <c r="H6807" s="1092"/>
      <c r="I6807" s="1092"/>
    </row>
    <row r="6808" spans="8:9">
      <c r="H6808" s="1092"/>
      <c r="I6808" s="1092"/>
    </row>
    <row r="6809" spans="8:9">
      <c r="H6809" s="1092"/>
      <c r="I6809" s="1092"/>
    </row>
    <row r="6810" spans="8:9">
      <c r="H6810" s="1092"/>
      <c r="I6810" s="1092"/>
    </row>
    <row r="6811" spans="8:9">
      <c r="H6811" s="1092"/>
      <c r="I6811" s="1092"/>
    </row>
    <row r="6812" spans="8:9">
      <c r="H6812" s="1092"/>
      <c r="I6812" s="1092"/>
    </row>
    <row r="6813" spans="8:9">
      <c r="H6813" s="1092"/>
      <c r="I6813" s="1092"/>
    </row>
    <row r="6814" spans="8:9">
      <c r="H6814" s="1092"/>
      <c r="I6814" s="1092"/>
    </row>
    <row r="6815" spans="8:9">
      <c r="H6815" s="1092"/>
      <c r="I6815" s="1092"/>
    </row>
    <row r="6816" spans="8:9">
      <c r="H6816" s="1092"/>
      <c r="I6816" s="1092"/>
    </row>
    <row r="6817" spans="8:9">
      <c r="H6817" s="1092"/>
      <c r="I6817" s="1092"/>
    </row>
    <row r="6818" spans="8:9">
      <c r="H6818" s="1092"/>
      <c r="I6818" s="1092"/>
    </row>
    <row r="6819" spans="8:9">
      <c r="H6819" s="1092"/>
      <c r="I6819" s="1092"/>
    </row>
    <row r="6820" spans="8:9">
      <c r="H6820" s="1092"/>
      <c r="I6820" s="1092"/>
    </row>
    <row r="6821" spans="8:9">
      <c r="H6821" s="1092"/>
      <c r="I6821" s="1092"/>
    </row>
    <row r="6822" spans="8:9">
      <c r="H6822" s="1092"/>
      <c r="I6822" s="1092"/>
    </row>
    <row r="6823" spans="8:9">
      <c r="H6823" s="1092"/>
      <c r="I6823" s="1092"/>
    </row>
    <row r="6824" spans="8:9">
      <c r="H6824" s="1092"/>
      <c r="I6824" s="1092"/>
    </row>
    <row r="6825" spans="8:9">
      <c r="H6825" s="1092"/>
      <c r="I6825" s="1092"/>
    </row>
    <row r="6826" spans="8:9">
      <c r="H6826" s="1092"/>
      <c r="I6826" s="1092"/>
    </row>
    <row r="6827" spans="8:9">
      <c r="H6827" s="1092"/>
      <c r="I6827" s="1092"/>
    </row>
    <row r="6828" spans="8:9">
      <c r="H6828" s="1092"/>
      <c r="I6828" s="1092"/>
    </row>
    <row r="6829" spans="8:9">
      <c r="H6829" s="1092"/>
      <c r="I6829" s="1092"/>
    </row>
    <row r="6830" spans="8:9">
      <c r="H6830" s="1092"/>
      <c r="I6830" s="1092"/>
    </row>
    <row r="6831" spans="8:9">
      <c r="H6831" s="1092"/>
      <c r="I6831" s="1092"/>
    </row>
    <row r="6832" spans="8:9">
      <c r="H6832" s="1092"/>
      <c r="I6832" s="1092"/>
    </row>
    <row r="6833" spans="8:9">
      <c r="H6833" s="1092"/>
      <c r="I6833" s="1092"/>
    </row>
    <row r="6834" spans="8:9">
      <c r="H6834" s="1092"/>
      <c r="I6834" s="1092"/>
    </row>
    <row r="6835" spans="8:9">
      <c r="H6835" s="1092"/>
      <c r="I6835" s="1092"/>
    </row>
    <row r="6836" spans="8:9">
      <c r="H6836" s="1092"/>
      <c r="I6836" s="1092"/>
    </row>
    <row r="6837" spans="8:9">
      <c r="H6837" s="1092"/>
      <c r="I6837" s="1092"/>
    </row>
    <row r="6838" spans="8:9">
      <c r="H6838" s="1092"/>
      <c r="I6838" s="1092"/>
    </row>
    <row r="6839" spans="8:9">
      <c r="H6839" s="1092"/>
      <c r="I6839" s="1092"/>
    </row>
    <row r="6840" spans="8:9">
      <c r="H6840" s="1092"/>
      <c r="I6840" s="1092"/>
    </row>
    <row r="6841" spans="8:9">
      <c r="H6841" s="1092"/>
      <c r="I6841" s="1092"/>
    </row>
    <row r="6842" spans="8:9">
      <c r="H6842" s="1092"/>
      <c r="I6842" s="1092"/>
    </row>
    <row r="6843" spans="8:9">
      <c r="H6843" s="1092"/>
      <c r="I6843" s="1092"/>
    </row>
    <row r="6844" spans="8:9">
      <c r="H6844" s="1092"/>
      <c r="I6844" s="1092"/>
    </row>
    <row r="6845" spans="8:9">
      <c r="H6845" s="1092"/>
      <c r="I6845" s="1092"/>
    </row>
    <row r="6846" spans="8:9">
      <c r="H6846" s="1092"/>
      <c r="I6846" s="1092"/>
    </row>
    <row r="6847" spans="8:9">
      <c r="H6847" s="1092"/>
      <c r="I6847" s="1092"/>
    </row>
    <row r="6848" spans="8:9">
      <c r="H6848" s="1092"/>
      <c r="I6848" s="1092"/>
    </row>
    <row r="6849" spans="8:9">
      <c r="H6849" s="1092"/>
      <c r="I6849" s="1092"/>
    </row>
    <row r="6850" spans="8:9">
      <c r="H6850" s="1092"/>
      <c r="I6850" s="1092"/>
    </row>
    <row r="6851" spans="8:9">
      <c r="H6851" s="1092"/>
      <c r="I6851" s="1092"/>
    </row>
    <row r="6852" spans="8:9">
      <c r="H6852" s="1092"/>
      <c r="I6852" s="1092"/>
    </row>
    <row r="6853" spans="8:9">
      <c r="H6853" s="1092"/>
      <c r="I6853" s="1092"/>
    </row>
    <row r="6854" spans="8:9">
      <c r="H6854" s="1092"/>
      <c r="I6854" s="1092"/>
    </row>
    <row r="6855" spans="8:9">
      <c r="H6855" s="1092"/>
      <c r="I6855" s="1092"/>
    </row>
    <row r="6856" spans="8:9">
      <c r="H6856" s="1092"/>
      <c r="I6856" s="1092"/>
    </row>
    <row r="6857" spans="8:9">
      <c r="H6857" s="1092"/>
      <c r="I6857" s="1092"/>
    </row>
    <row r="6858" spans="8:9">
      <c r="H6858" s="1092"/>
      <c r="I6858" s="1092"/>
    </row>
    <row r="6859" spans="8:9">
      <c r="H6859" s="1092"/>
      <c r="I6859" s="1092"/>
    </row>
    <row r="6860" spans="8:9">
      <c r="H6860" s="1092"/>
      <c r="I6860" s="1092"/>
    </row>
    <row r="6861" spans="8:9">
      <c r="H6861" s="1092"/>
      <c r="I6861" s="1092"/>
    </row>
    <row r="6862" spans="8:9">
      <c r="H6862" s="1092"/>
      <c r="I6862" s="1092"/>
    </row>
    <row r="6863" spans="8:9">
      <c r="H6863" s="1092"/>
      <c r="I6863" s="1092"/>
    </row>
    <row r="6864" spans="8:9">
      <c r="H6864" s="1092"/>
      <c r="I6864" s="1092"/>
    </row>
    <row r="6865" spans="8:9">
      <c r="H6865" s="1092"/>
      <c r="I6865" s="1092"/>
    </row>
    <row r="6866" spans="8:9">
      <c r="H6866" s="1092"/>
      <c r="I6866" s="1092"/>
    </row>
    <row r="6867" spans="8:9">
      <c r="H6867" s="1092"/>
      <c r="I6867" s="1092"/>
    </row>
    <row r="6868" spans="8:9">
      <c r="H6868" s="1092"/>
      <c r="I6868" s="1092"/>
    </row>
    <row r="6869" spans="8:9">
      <c r="H6869" s="1092"/>
      <c r="I6869" s="1092"/>
    </row>
    <row r="6870" spans="8:9">
      <c r="H6870" s="1092"/>
      <c r="I6870" s="1092"/>
    </row>
    <row r="6871" spans="8:9">
      <c r="H6871" s="1092"/>
      <c r="I6871" s="1092"/>
    </row>
    <row r="6872" spans="8:9">
      <c r="H6872" s="1092"/>
      <c r="I6872" s="1092"/>
    </row>
    <row r="6873" spans="8:9">
      <c r="H6873" s="1092"/>
      <c r="I6873" s="1092"/>
    </row>
    <row r="6874" spans="8:9">
      <c r="H6874" s="1092"/>
      <c r="I6874" s="1092"/>
    </row>
    <row r="6875" spans="8:9">
      <c r="H6875" s="1092"/>
      <c r="I6875" s="1092"/>
    </row>
    <row r="6876" spans="8:9">
      <c r="H6876" s="1092"/>
      <c r="I6876" s="1092"/>
    </row>
    <row r="6877" spans="8:9">
      <c r="H6877" s="1092"/>
      <c r="I6877" s="1092"/>
    </row>
    <row r="6878" spans="8:9">
      <c r="H6878" s="1092"/>
      <c r="I6878" s="1092"/>
    </row>
    <row r="6879" spans="8:9">
      <c r="H6879" s="1092"/>
      <c r="I6879" s="1092"/>
    </row>
    <row r="6880" spans="8:9">
      <c r="H6880" s="1092"/>
      <c r="I6880" s="1092"/>
    </row>
    <row r="6881" spans="8:9">
      <c r="H6881" s="1092"/>
      <c r="I6881" s="1092"/>
    </row>
    <row r="6882" spans="8:9">
      <c r="H6882" s="1092"/>
      <c r="I6882" s="1092"/>
    </row>
    <row r="6883" spans="8:9">
      <c r="H6883" s="1092"/>
      <c r="I6883" s="1092"/>
    </row>
    <row r="6884" spans="8:9">
      <c r="H6884" s="1092"/>
      <c r="I6884" s="1092"/>
    </row>
    <row r="6885" spans="8:9">
      <c r="H6885" s="1092"/>
      <c r="I6885" s="1092"/>
    </row>
    <row r="6886" spans="8:9">
      <c r="H6886" s="1092"/>
      <c r="I6886" s="1092"/>
    </row>
    <row r="6887" spans="8:9">
      <c r="H6887" s="1092"/>
      <c r="I6887" s="1092"/>
    </row>
    <row r="6888" spans="8:9">
      <c r="H6888" s="1092"/>
      <c r="I6888" s="1092"/>
    </row>
    <row r="6889" spans="8:9">
      <c r="H6889" s="1092"/>
      <c r="I6889" s="1092"/>
    </row>
    <row r="6890" spans="8:9">
      <c r="H6890" s="1092"/>
      <c r="I6890" s="1092"/>
    </row>
    <row r="6891" spans="8:9">
      <c r="H6891" s="1092"/>
      <c r="I6891" s="1092"/>
    </row>
    <row r="6892" spans="8:9">
      <c r="H6892" s="1092"/>
      <c r="I6892" s="1092"/>
    </row>
    <row r="6893" spans="8:9">
      <c r="H6893" s="1092"/>
      <c r="I6893" s="1092"/>
    </row>
    <row r="6894" spans="8:9">
      <c r="H6894" s="1092"/>
      <c r="I6894" s="1092"/>
    </row>
    <row r="6895" spans="8:9">
      <c r="H6895" s="1092"/>
      <c r="I6895" s="1092"/>
    </row>
    <row r="6896" spans="8:9">
      <c r="H6896" s="1092"/>
      <c r="I6896" s="1092"/>
    </row>
    <row r="6897" spans="8:9">
      <c r="H6897" s="1092"/>
      <c r="I6897" s="1092"/>
    </row>
    <row r="6898" spans="8:9">
      <c r="H6898" s="1092"/>
      <c r="I6898" s="1092"/>
    </row>
    <row r="6899" spans="8:9">
      <c r="H6899" s="1092"/>
      <c r="I6899" s="1092"/>
    </row>
    <row r="6900" spans="8:9">
      <c r="H6900" s="1092"/>
      <c r="I6900" s="1092"/>
    </row>
    <row r="6901" spans="8:9">
      <c r="H6901" s="1092"/>
      <c r="I6901" s="1092"/>
    </row>
    <row r="6902" spans="8:9">
      <c r="H6902" s="1092"/>
      <c r="I6902" s="1092"/>
    </row>
    <row r="6903" spans="8:9">
      <c r="H6903" s="1092"/>
      <c r="I6903" s="1092"/>
    </row>
    <row r="6904" spans="8:9">
      <c r="H6904" s="1092"/>
      <c r="I6904" s="1092"/>
    </row>
    <row r="6905" spans="8:9">
      <c r="H6905" s="1092"/>
      <c r="I6905" s="1092"/>
    </row>
    <row r="6906" spans="8:9">
      <c r="H6906" s="1092"/>
      <c r="I6906" s="1092"/>
    </row>
    <row r="6907" spans="8:9">
      <c r="H6907" s="1092"/>
      <c r="I6907" s="1092"/>
    </row>
    <row r="6908" spans="8:9">
      <c r="H6908" s="1092"/>
      <c r="I6908" s="1092"/>
    </row>
    <row r="6909" spans="8:9">
      <c r="H6909" s="1092"/>
      <c r="I6909" s="1092"/>
    </row>
    <row r="6910" spans="8:9">
      <c r="H6910" s="1092"/>
      <c r="I6910" s="1092"/>
    </row>
    <row r="6911" spans="8:9">
      <c r="H6911" s="1092"/>
      <c r="I6911" s="1092"/>
    </row>
    <row r="6912" spans="8:9">
      <c r="H6912" s="1092"/>
      <c r="I6912" s="1092"/>
    </row>
    <row r="6913" spans="8:9">
      <c r="H6913" s="1092"/>
      <c r="I6913" s="1092"/>
    </row>
    <row r="6914" spans="8:9">
      <c r="H6914" s="1092"/>
      <c r="I6914" s="1092"/>
    </row>
    <row r="6915" spans="8:9">
      <c r="H6915" s="1092"/>
      <c r="I6915" s="1092"/>
    </row>
    <row r="6916" spans="8:9">
      <c r="H6916" s="1092"/>
      <c r="I6916" s="1092"/>
    </row>
    <row r="6917" spans="8:9">
      <c r="H6917" s="1092"/>
      <c r="I6917" s="1092"/>
    </row>
    <row r="6918" spans="8:9">
      <c r="H6918" s="1092"/>
      <c r="I6918" s="1092"/>
    </row>
    <row r="6919" spans="8:9">
      <c r="H6919" s="1092"/>
      <c r="I6919" s="1092"/>
    </row>
    <row r="6920" spans="8:9">
      <c r="H6920" s="1092"/>
      <c r="I6920" s="1092"/>
    </row>
    <row r="6921" spans="8:9">
      <c r="H6921" s="1092"/>
      <c r="I6921" s="1092"/>
    </row>
    <row r="6922" spans="8:9">
      <c r="H6922" s="1092"/>
      <c r="I6922" s="1092"/>
    </row>
    <row r="6923" spans="8:9">
      <c r="H6923" s="1092"/>
      <c r="I6923" s="1092"/>
    </row>
    <row r="6924" spans="8:9">
      <c r="H6924" s="1092"/>
      <c r="I6924" s="1092"/>
    </row>
    <row r="6925" spans="8:9">
      <c r="H6925" s="1092"/>
      <c r="I6925" s="1092"/>
    </row>
    <row r="6926" spans="8:9">
      <c r="H6926" s="1092"/>
      <c r="I6926" s="1092"/>
    </row>
    <row r="6927" spans="8:9">
      <c r="H6927" s="1092"/>
      <c r="I6927" s="1092"/>
    </row>
    <row r="6928" spans="8:9">
      <c r="H6928" s="1092"/>
      <c r="I6928" s="1092"/>
    </row>
    <row r="6929" spans="8:9">
      <c r="H6929" s="1092"/>
      <c r="I6929" s="1092"/>
    </row>
    <row r="6930" spans="8:9">
      <c r="H6930" s="1092"/>
      <c r="I6930" s="1092"/>
    </row>
    <row r="6931" spans="8:9">
      <c r="H6931" s="1092"/>
      <c r="I6931" s="1092"/>
    </row>
    <row r="6932" spans="8:9">
      <c r="H6932" s="1092"/>
      <c r="I6932" s="1092"/>
    </row>
    <row r="6933" spans="8:9">
      <c r="H6933" s="1092"/>
      <c r="I6933" s="1092"/>
    </row>
    <row r="6934" spans="8:9">
      <c r="H6934" s="1092"/>
      <c r="I6934" s="1092"/>
    </row>
    <row r="6935" spans="8:9">
      <c r="H6935" s="1092"/>
      <c r="I6935" s="1092"/>
    </row>
    <row r="6936" spans="8:9">
      <c r="H6936" s="1092"/>
      <c r="I6936" s="1092"/>
    </row>
    <row r="6937" spans="8:9">
      <c r="H6937" s="1092"/>
      <c r="I6937" s="1092"/>
    </row>
    <row r="6938" spans="8:9">
      <c r="H6938" s="1092"/>
      <c r="I6938" s="1092"/>
    </row>
    <row r="6939" spans="8:9">
      <c r="H6939" s="1092"/>
      <c r="I6939" s="1092"/>
    </row>
    <row r="6940" spans="8:9">
      <c r="H6940" s="1092"/>
      <c r="I6940" s="1092"/>
    </row>
    <row r="6941" spans="8:9">
      <c r="H6941" s="1092"/>
      <c r="I6941" s="1092"/>
    </row>
    <row r="6942" spans="8:9">
      <c r="H6942" s="1092"/>
      <c r="I6942" s="1092"/>
    </row>
    <row r="6943" spans="8:9">
      <c r="H6943" s="1092"/>
      <c r="I6943" s="1092"/>
    </row>
    <row r="6944" spans="8:9">
      <c r="H6944" s="1092"/>
      <c r="I6944" s="1092"/>
    </row>
    <row r="6945" spans="8:9">
      <c r="H6945" s="1092"/>
      <c r="I6945" s="1092"/>
    </row>
    <row r="6946" spans="8:9">
      <c r="H6946" s="1092"/>
      <c r="I6946" s="1092"/>
    </row>
    <row r="6947" spans="8:9">
      <c r="H6947" s="1092"/>
      <c r="I6947" s="1092"/>
    </row>
    <row r="6948" spans="8:9">
      <c r="H6948" s="1092"/>
      <c r="I6948" s="1092"/>
    </row>
    <row r="6949" spans="8:9">
      <c r="H6949" s="1092"/>
      <c r="I6949" s="1092"/>
    </row>
    <row r="6950" spans="8:9">
      <c r="H6950" s="1092"/>
      <c r="I6950" s="1092"/>
    </row>
    <row r="6951" spans="8:9">
      <c r="H6951" s="1092"/>
      <c r="I6951" s="1092"/>
    </row>
    <row r="6952" spans="8:9">
      <c r="H6952" s="1092"/>
      <c r="I6952" s="1092"/>
    </row>
    <row r="6953" spans="8:9">
      <c r="H6953" s="1092"/>
      <c r="I6953" s="1092"/>
    </row>
    <row r="6954" spans="8:9">
      <c r="H6954" s="1092"/>
      <c r="I6954" s="1092"/>
    </row>
    <row r="6955" spans="8:9">
      <c r="H6955" s="1092"/>
      <c r="I6955" s="1092"/>
    </row>
    <row r="6956" spans="8:9">
      <c r="H6956" s="1092"/>
      <c r="I6956" s="1092"/>
    </row>
    <row r="6957" spans="8:9">
      <c r="H6957" s="1092"/>
      <c r="I6957" s="1092"/>
    </row>
    <row r="6958" spans="8:9">
      <c r="H6958" s="1092"/>
      <c r="I6958" s="1092"/>
    </row>
    <row r="6959" spans="8:9">
      <c r="H6959" s="1092"/>
      <c r="I6959" s="1092"/>
    </row>
    <row r="6960" spans="8:9">
      <c r="H6960" s="1092"/>
      <c r="I6960" s="1092"/>
    </row>
    <row r="6961" spans="8:9">
      <c r="H6961" s="1092"/>
      <c r="I6961" s="1092"/>
    </row>
    <row r="6962" spans="8:9">
      <c r="H6962" s="1092"/>
      <c r="I6962" s="1092"/>
    </row>
    <row r="6963" spans="8:9">
      <c r="H6963" s="1092"/>
      <c r="I6963" s="1092"/>
    </row>
    <row r="6964" spans="8:9">
      <c r="H6964" s="1092"/>
      <c r="I6964" s="1092"/>
    </row>
    <row r="6965" spans="8:9">
      <c r="H6965" s="1092"/>
      <c r="I6965" s="1092"/>
    </row>
    <row r="6966" spans="8:9">
      <c r="H6966" s="1092"/>
      <c r="I6966" s="1092"/>
    </row>
    <row r="6967" spans="8:9">
      <c r="H6967" s="1092"/>
      <c r="I6967" s="1092"/>
    </row>
    <row r="6968" spans="8:9">
      <c r="H6968" s="1092"/>
      <c r="I6968" s="1092"/>
    </row>
    <row r="6969" spans="8:9">
      <c r="H6969" s="1092"/>
      <c r="I6969" s="1092"/>
    </row>
    <row r="6970" spans="8:9">
      <c r="H6970" s="1092"/>
      <c r="I6970" s="1092"/>
    </row>
    <row r="6971" spans="8:9">
      <c r="H6971" s="1092"/>
      <c r="I6971" s="1092"/>
    </row>
    <row r="6972" spans="8:9">
      <c r="H6972" s="1092"/>
      <c r="I6972" s="1092"/>
    </row>
    <row r="6973" spans="8:9">
      <c r="H6973" s="1092"/>
      <c r="I6973" s="1092"/>
    </row>
    <row r="6974" spans="8:9">
      <c r="H6974" s="1092"/>
      <c r="I6974" s="1092"/>
    </row>
    <row r="6975" spans="8:9">
      <c r="H6975" s="1092"/>
      <c r="I6975" s="1092"/>
    </row>
    <row r="6976" spans="8:9">
      <c r="H6976" s="1092"/>
      <c r="I6976" s="1092"/>
    </row>
    <row r="6977" spans="8:9">
      <c r="H6977" s="1092"/>
      <c r="I6977" s="1092"/>
    </row>
    <row r="6978" spans="8:9">
      <c r="H6978" s="1092"/>
      <c r="I6978" s="1092"/>
    </row>
    <row r="6979" spans="8:9">
      <c r="H6979" s="1092"/>
      <c r="I6979" s="1092"/>
    </row>
    <row r="6980" spans="8:9">
      <c r="H6980" s="1092"/>
      <c r="I6980" s="1092"/>
    </row>
    <row r="6981" spans="8:9">
      <c r="H6981" s="1092"/>
      <c r="I6981" s="1092"/>
    </row>
    <row r="6982" spans="8:9">
      <c r="H6982" s="1092"/>
      <c r="I6982" s="1092"/>
    </row>
    <row r="6983" spans="8:9">
      <c r="H6983" s="1092"/>
      <c r="I6983" s="1092"/>
    </row>
    <row r="6984" spans="8:9">
      <c r="H6984" s="1092"/>
      <c r="I6984" s="1092"/>
    </row>
    <row r="6985" spans="8:9">
      <c r="H6985" s="1092"/>
      <c r="I6985" s="1092"/>
    </row>
    <row r="6986" spans="8:9">
      <c r="H6986" s="1092"/>
      <c r="I6986" s="1092"/>
    </row>
    <row r="6987" spans="8:9">
      <c r="H6987" s="1092"/>
      <c r="I6987" s="1092"/>
    </row>
    <row r="6988" spans="8:9">
      <c r="H6988" s="1092"/>
      <c r="I6988" s="1092"/>
    </row>
    <row r="6989" spans="8:9">
      <c r="H6989" s="1092"/>
      <c r="I6989" s="1092"/>
    </row>
    <row r="6990" spans="8:9">
      <c r="H6990" s="1092"/>
      <c r="I6990" s="1092"/>
    </row>
    <row r="6991" spans="8:9">
      <c r="H6991" s="1092"/>
      <c r="I6991" s="1092"/>
    </row>
    <row r="6992" spans="8:9">
      <c r="H6992" s="1092"/>
      <c r="I6992" s="1092"/>
    </row>
    <row r="6993" spans="8:9">
      <c r="H6993" s="1092"/>
      <c r="I6993" s="1092"/>
    </row>
    <row r="6994" spans="8:9">
      <c r="H6994" s="1092"/>
      <c r="I6994" s="1092"/>
    </row>
    <row r="6995" spans="8:9">
      <c r="H6995" s="1092"/>
      <c r="I6995" s="1092"/>
    </row>
    <row r="6996" spans="8:9">
      <c r="H6996" s="1092"/>
      <c r="I6996" s="1092"/>
    </row>
    <row r="6997" spans="8:9">
      <c r="H6997" s="1092"/>
      <c r="I6997" s="1092"/>
    </row>
    <row r="6998" spans="8:9">
      <c r="H6998" s="1092"/>
      <c r="I6998" s="1092"/>
    </row>
    <row r="6999" spans="8:9">
      <c r="H6999" s="1092"/>
      <c r="I6999" s="1092"/>
    </row>
    <row r="7000" spans="8:9">
      <c r="H7000" s="1092"/>
      <c r="I7000" s="1092"/>
    </row>
    <row r="7001" spans="8:9">
      <c r="H7001" s="1092"/>
      <c r="I7001" s="1092"/>
    </row>
    <row r="7002" spans="8:9">
      <c r="H7002" s="1092"/>
      <c r="I7002" s="1092"/>
    </row>
    <row r="7003" spans="8:9">
      <c r="H7003" s="1092"/>
      <c r="I7003" s="1092"/>
    </row>
    <row r="7004" spans="8:9">
      <c r="H7004" s="1092"/>
      <c r="I7004" s="1092"/>
    </row>
    <row r="7005" spans="8:9">
      <c r="H7005" s="1092"/>
      <c r="I7005" s="1092"/>
    </row>
    <row r="7006" spans="8:9">
      <c r="H7006" s="1092"/>
      <c r="I7006" s="1092"/>
    </row>
    <row r="7007" spans="8:9">
      <c r="H7007" s="1092"/>
      <c r="I7007" s="1092"/>
    </row>
    <row r="7008" spans="8:9">
      <c r="H7008" s="1092"/>
      <c r="I7008" s="1092"/>
    </row>
    <row r="7009" spans="8:9">
      <c r="H7009" s="1092"/>
      <c r="I7009" s="1092"/>
    </row>
    <row r="7010" spans="8:9">
      <c r="H7010" s="1092"/>
      <c r="I7010" s="1092"/>
    </row>
    <row r="7011" spans="8:9">
      <c r="H7011" s="1092"/>
      <c r="I7011" s="1092"/>
    </row>
    <row r="7012" spans="8:9">
      <c r="H7012" s="1092"/>
      <c r="I7012" s="1092"/>
    </row>
    <row r="7013" spans="8:9">
      <c r="H7013" s="1092"/>
      <c r="I7013" s="1092"/>
    </row>
    <row r="7014" spans="8:9">
      <c r="H7014" s="1092"/>
      <c r="I7014" s="1092"/>
    </row>
    <row r="7015" spans="8:9">
      <c r="H7015" s="1092"/>
      <c r="I7015" s="1092"/>
    </row>
    <row r="7016" spans="8:9">
      <c r="H7016" s="1092"/>
      <c r="I7016" s="1092"/>
    </row>
    <row r="7017" spans="8:9">
      <c r="H7017" s="1092"/>
      <c r="I7017" s="1092"/>
    </row>
    <row r="7018" spans="8:9">
      <c r="H7018" s="1092"/>
      <c r="I7018" s="1092"/>
    </row>
    <row r="7019" spans="8:9">
      <c r="H7019" s="1092"/>
      <c r="I7019" s="1092"/>
    </row>
    <row r="7020" spans="8:9">
      <c r="H7020" s="1092"/>
      <c r="I7020" s="1092"/>
    </row>
    <row r="7021" spans="8:9">
      <c r="H7021" s="1092"/>
      <c r="I7021" s="1092"/>
    </row>
    <row r="7022" spans="8:9">
      <c r="H7022" s="1092"/>
      <c r="I7022" s="1092"/>
    </row>
    <row r="7023" spans="8:9">
      <c r="H7023" s="1092"/>
      <c r="I7023" s="1092"/>
    </row>
    <row r="7024" spans="8:9">
      <c r="H7024" s="1092"/>
      <c r="I7024" s="1092"/>
    </row>
    <row r="7025" spans="8:9">
      <c r="H7025" s="1092"/>
      <c r="I7025" s="1092"/>
    </row>
    <row r="7026" spans="8:9">
      <c r="H7026" s="1092"/>
      <c r="I7026" s="1092"/>
    </row>
    <row r="7027" spans="8:9">
      <c r="H7027" s="1092"/>
      <c r="I7027" s="1092"/>
    </row>
    <row r="7028" spans="8:9">
      <c r="H7028" s="1092"/>
      <c r="I7028" s="1092"/>
    </row>
    <row r="7029" spans="8:9">
      <c r="H7029" s="1092"/>
      <c r="I7029" s="1092"/>
    </row>
    <row r="7030" spans="8:9">
      <c r="H7030" s="1092"/>
      <c r="I7030" s="1092"/>
    </row>
    <row r="7031" spans="8:9">
      <c r="H7031" s="1092"/>
      <c r="I7031" s="1092"/>
    </row>
    <row r="7032" spans="8:9">
      <c r="H7032" s="1092"/>
      <c r="I7032" s="1092"/>
    </row>
    <row r="7033" spans="8:9">
      <c r="H7033" s="1092"/>
      <c r="I7033" s="1092"/>
    </row>
    <row r="7034" spans="8:9">
      <c r="H7034" s="1092"/>
      <c r="I7034" s="1092"/>
    </row>
    <row r="7035" spans="8:9">
      <c r="H7035" s="1092"/>
      <c r="I7035" s="1092"/>
    </row>
    <row r="7036" spans="8:9">
      <c r="H7036" s="1092"/>
      <c r="I7036" s="1092"/>
    </row>
    <row r="7037" spans="8:9">
      <c r="H7037" s="1092"/>
      <c r="I7037" s="1092"/>
    </row>
    <row r="7038" spans="8:9">
      <c r="H7038" s="1092"/>
      <c r="I7038" s="1092"/>
    </row>
    <row r="7039" spans="8:9">
      <c r="H7039" s="1092"/>
      <c r="I7039" s="1092"/>
    </row>
    <row r="7040" spans="8:9">
      <c r="H7040" s="1092"/>
      <c r="I7040" s="1092"/>
    </row>
    <row r="7041" spans="8:9">
      <c r="H7041" s="1092"/>
      <c r="I7041" s="1092"/>
    </row>
    <row r="7042" spans="8:9">
      <c r="H7042" s="1092"/>
      <c r="I7042" s="1092"/>
    </row>
    <row r="7043" spans="8:9">
      <c r="H7043" s="1092"/>
      <c r="I7043" s="1092"/>
    </row>
    <row r="7044" spans="8:9">
      <c r="H7044" s="1092"/>
      <c r="I7044" s="1092"/>
    </row>
    <row r="7045" spans="8:9">
      <c r="H7045" s="1092"/>
      <c r="I7045" s="1092"/>
    </row>
    <row r="7046" spans="8:9">
      <c r="H7046" s="1092"/>
      <c r="I7046" s="1092"/>
    </row>
    <row r="7047" spans="8:9">
      <c r="H7047" s="1092"/>
      <c r="I7047" s="1092"/>
    </row>
    <row r="7048" spans="8:9">
      <c r="H7048" s="1092"/>
      <c r="I7048" s="1092"/>
    </row>
    <row r="7049" spans="8:9">
      <c r="H7049" s="1092"/>
      <c r="I7049" s="1092"/>
    </row>
    <row r="7050" spans="8:9">
      <c r="H7050" s="1092"/>
      <c r="I7050" s="1092"/>
    </row>
    <row r="7051" spans="8:9">
      <c r="H7051" s="1092"/>
      <c r="I7051" s="1092"/>
    </row>
    <row r="7052" spans="8:9">
      <c r="H7052" s="1092"/>
      <c r="I7052" s="1092"/>
    </row>
    <row r="7053" spans="8:9">
      <c r="H7053" s="1092"/>
      <c r="I7053" s="1092"/>
    </row>
    <row r="7054" spans="8:9">
      <c r="H7054" s="1092"/>
      <c r="I7054" s="1092"/>
    </row>
    <row r="7055" spans="8:9">
      <c r="H7055" s="1092"/>
      <c r="I7055" s="1092"/>
    </row>
    <row r="7056" spans="8:9">
      <c r="H7056" s="1092"/>
      <c r="I7056" s="1092"/>
    </row>
    <row r="7057" spans="8:9">
      <c r="H7057" s="1092"/>
      <c r="I7057" s="1092"/>
    </row>
    <row r="7058" spans="8:9">
      <c r="H7058" s="1092"/>
      <c r="I7058" s="1092"/>
    </row>
    <row r="7059" spans="8:9">
      <c r="H7059" s="1092"/>
      <c r="I7059" s="1092"/>
    </row>
    <row r="7060" spans="8:9">
      <c r="H7060" s="1092"/>
      <c r="I7060" s="1092"/>
    </row>
    <row r="7061" spans="8:9">
      <c r="H7061" s="1092"/>
      <c r="I7061" s="1092"/>
    </row>
    <row r="7062" spans="8:9">
      <c r="H7062" s="1092"/>
      <c r="I7062" s="1092"/>
    </row>
    <row r="7063" spans="8:9">
      <c r="H7063" s="1092"/>
      <c r="I7063" s="1092"/>
    </row>
    <row r="7064" spans="8:9">
      <c r="H7064" s="1092"/>
      <c r="I7064" s="1092"/>
    </row>
    <row r="7065" spans="8:9">
      <c r="H7065" s="1092"/>
      <c r="I7065" s="1092"/>
    </row>
    <row r="7066" spans="8:9">
      <c r="H7066" s="1092"/>
      <c r="I7066" s="1092"/>
    </row>
    <row r="7067" spans="8:9">
      <c r="H7067" s="1092"/>
      <c r="I7067" s="1092"/>
    </row>
    <row r="7068" spans="8:9">
      <c r="H7068" s="1092"/>
      <c r="I7068" s="1092"/>
    </row>
    <row r="7069" spans="8:9">
      <c r="H7069" s="1092"/>
      <c r="I7069" s="1092"/>
    </row>
    <row r="7070" spans="8:9">
      <c r="H7070" s="1092"/>
      <c r="I7070" s="1092"/>
    </row>
    <row r="7071" spans="8:9">
      <c r="H7071" s="1092"/>
      <c r="I7071" s="1092"/>
    </row>
    <row r="7072" spans="8:9">
      <c r="H7072" s="1092"/>
      <c r="I7072" s="1092"/>
    </row>
    <row r="7073" spans="8:9">
      <c r="H7073" s="1092"/>
      <c r="I7073" s="1092"/>
    </row>
    <row r="7074" spans="8:9">
      <c r="H7074" s="1092"/>
      <c r="I7074" s="1092"/>
    </row>
    <row r="7075" spans="8:9">
      <c r="H7075" s="1092"/>
      <c r="I7075" s="1092"/>
    </row>
    <row r="7076" spans="8:9">
      <c r="H7076" s="1092"/>
      <c r="I7076" s="1092"/>
    </row>
    <row r="7077" spans="8:9">
      <c r="H7077" s="1092"/>
      <c r="I7077" s="1092"/>
    </row>
    <row r="7078" spans="8:9">
      <c r="H7078" s="1092"/>
      <c r="I7078" s="1092"/>
    </row>
    <row r="7079" spans="8:9">
      <c r="H7079" s="1092"/>
      <c r="I7079" s="1092"/>
    </row>
    <row r="7080" spans="8:9">
      <c r="H7080" s="1092"/>
      <c r="I7080" s="1092"/>
    </row>
    <row r="7081" spans="8:9">
      <c r="H7081" s="1092"/>
      <c r="I7081" s="1092"/>
    </row>
    <row r="7082" spans="8:9">
      <c r="H7082" s="1092"/>
      <c r="I7082" s="1092"/>
    </row>
    <row r="7083" spans="8:9">
      <c r="H7083" s="1092"/>
      <c r="I7083" s="1092"/>
    </row>
    <row r="7084" spans="8:9">
      <c r="H7084" s="1092"/>
      <c r="I7084" s="1092"/>
    </row>
    <row r="7085" spans="8:9">
      <c r="H7085" s="1092"/>
      <c r="I7085" s="1092"/>
    </row>
    <row r="7086" spans="8:9">
      <c r="H7086" s="1092"/>
      <c r="I7086" s="1092"/>
    </row>
    <row r="7087" spans="8:9">
      <c r="H7087" s="1092"/>
      <c r="I7087" s="1092"/>
    </row>
    <row r="7088" spans="8:9">
      <c r="H7088" s="1092"/>
      <c r="I7088" s="1092"/>
    </row>
    <row r="7089" spans="8:9">
      <c r="H7089" s="1092"/>
      <c r="I7089" s="1092"/>
    </row>
    <row r="7090" spans="8:9">
      <c r="H7090" s="1092"/>
      <c r="I7090" s="1092"/>
    </row>
    <row r="7091" spans="8:9">
      <c r="H7091" s="1092"/>
      <c r="I7091" s="1092"/>
    </row>
    <row r="7092" spans="8:9">
      <c r="H7092" s="1092"/>
      <c r="I7092" s="1092"/>
    </row>
    <row r="7093" spans="8:9">
      <c r="H7093" s="1092"/>
      <c r="I7093" s="1092"/>
    </row>
    <row r="7094" spans="8:9">
      <c r="H7094" s="1092"/>
      <c r="I7094" s="1092"/>
    </row>
    <row r="7095" spans="8:9">
      <c r="H7095" s="1092"/>
      <c r="I7095" s="1092"/>
    </row>
    <row r="7096" spans="8:9">
      <c r="H7096" s="1092"/>
      <c r="I7096" s="1092"/>
    </row>
    <row r="7097" spans="8:9">
      <c r="H7097" s="1092"/>
      <c r="I7097" s="1092"/>
    </row>
    <row r="7098" spans="8:9">
      <c r="H7098" s="1092"/>
      <c r="I7098" s="1092"/>
    </row>
    <row r="7099" spans="8:9">
      <c r="H7099" s="1092"/>
      <c r="I7099" s="1092"/>
    </row>
    <row r="7100" spans="8:9">
      <c r="H7100" s="1092"/>
      <c r="I7100" s="1092"/>
    </row>
    <row r="7101" spans="8:9">
      <c r="H7101" s="1092"/>
      <c r="I7101" s="1092"/>
    </row>
    <row r="7102" spans="8:9">
      <c r="H7102" s="1092"/>
      <c r="I7102" s="1092"/>
    </row>
    <row r="7103" spans="8:9">
      <c r="H7103" s="1092"/>
      <c r="I7103" s="1092"/>
    </row>
    <row r="7104" spans="8:9">
      <c r="H7104" s="1092"/>
      <c r="I7104" s="1092"/>
    </row>
    <row r="7105" spans="8:9">
      <c r="H7105" s="1092"/>
      <c r="I7105" s="1092"/>
    </row>
    <row r="7106" spans="8:9">
      <c r="H7106" s="1092"/>
      <c r="I7106" s="1092"/>
    </row>
    <row r="7107" spans="8:9">
      <c r="H7107" s="1092"/>
      <c r="I7107" s="1092"/>
    </row>
    <row r="7108" spans="8:9">
      <c r="H7108" s="1092"/>
      <c r="I7108" s="1092"/>
    </row>
    <row r="7109" spans="8:9">
      <c r="H7109" s="1092"/>
      <c r="I7109" s="1092"/>
    </row>
    <row r="7110" spans="8:9">
      <c r="H7110" s="1092"/>
      <c r="I7110" s="1092"/>
    </row>
    <row r="7111" spans="8:9">
      <c r="H7111" s="1092"/>
      <c r="I7111" s="1092"/>
    </row>
    <row r="7112" spans="8:9">
      <c r="H7112" s="1092"/>
      <c r="I7112" s="1092"/>
    </row>
    <row r="7113" spans="8:9">
      <c r="H7113" s="1092"/>
      <c r="I7113" s="1092"/>
    </row>
    <row r="7114" spans="8:9">
      <c r="H7114" s="1092"/>
      <c r="I7114" s="1092"/>
    </row>
    <row r="7115" spans="8:9">
      <c r="H7115" s="1092"/>
      <c r="I7115" s="1092"/>
    </row>
    <row r="7116" spans="8:9">
      <c r="H7116" s="1092"/>
      <c r="I7116" s="1092"/>
    </row>
    <row r="7117" spans="8:9">
      <c r="H7117" s="1092"/>
      <c r="I7117" s="1092"/>
    </row>
    <row r="7118" spans="8:9">
      <c r="H7118" s="1092"/>
      <c r="I7118" s="1092"/>
    </row>
    <row r="7119" spans="8:9">
      <c r="H7119" s="1092"/>
      <c r="I7119" s="1092"/>
    </row>
    <row r="7120" spans="8:9">
      <c r="H7120" s="1092"/>
      <c r="I7120" s="1092"/>
    </row>
    <row r="7121" spans="8:9">
      <c r="H7121" s="1092"/>
      <c r="I7121" s="1092"/>
    </row>
    <row r="7122" spans="8:9">
      <c r="H7122" s="1092"/>
      <c r="I7122" s="1092"/>
    </row>
    <row r="7123" spans="8:9">
      <c r="H7123" s="1092"/>
      <c r="I7123" s="1092"/>
    </row>
    <row r="7124" spans="8:9">
      <c r="H7124" s="1092"/>
      <c r="I7124" s="1092"/>
    </row>
    <row r="7125" spans="8:9">
      <c r="H7125" s="1092"/>
      <c r="I7125" s="1092"/>
    </row>
    <row r="7126" spans="8:9">
      <c r="H7126" s="1092"/>
      <c r="I7126" s="1092"/>
    </row>
    <row r="7127" spans="8:9">
      <c r="H7127" s="1092"/>
      <c r="I7127" s="1092"/>
    </row>
    <row r="7128" spans="8:9">
      <c r="H7128" s="1092"/>
      <c r="I7128" s="1092"/>
    </row>
    <row r="7129" spans="8:9">
      <c r="H7129" s="1092"/>
      <c r="I7129" s="1092"/>
    </row>
    <row r="7130" spans="8:9">
      <c r="H7130" s="1092"/>
      <c r="I7130" s="1092"/>
    </row>
    <row r="7131" spans="8:9">
      <c r="H7131" s="1092"/>
      <c r="I7131" s="1092"/>
    </row>
    <row r="7132" spans="8:9">
      <c r="H7132" s="1092"/>
      <c r="I7132" s="1092"/>
    </row>
    <row r="7133" spans="8:9">
      <c r="H7133" s="1092"/>
      <c r="I7133" s="1092"/>
    </row>
    <row r="7134" spans="8:9">
      <c r="H7134" s="1092"/>
      <c r="I7134" s="1092"/>
    </row>
    <row r="7135" spans="8:9">
      <c r="H7135" s="1092"/>
      <c r="I7135" s="1092"/>
    </row>
    <row r="7136" spans="8:9">
      <c r="H7136" s="1092"/>
      <c r="I7136" s="1092"/>
    </row>
    <row r="7137" spans="8:9">
      <c r="H7137" s="1092"/>
      <c r="I7137" s="1092"/>
    </row>
    <row r="7138" spans="8:9">
      <c r="H7138" s="1092"/>
      <c r="I7138" s="1092"/>
    </row>
    <row r="7139" spans="8:9">
      <c r="H7139" s="1092"/>
      <c r="I7139" s="1092"/>
    </row>
    <row r="7140" spans="8:9">
      <c r="H7140" s="1092"/>
      <c r="I7140" s="1092"/>
    </row>
    <row r="7141" spans="8:9">
      <c r="H7141" s="1092"/>
      <c r="I7141" s="1092"/>
    </row>
    <row r="7142" spans="8:9">
      <c r="H7142" s="1092"/>
      <c r="I7142" s="1092"/>
    </row>
    <row r="7143" spans="8:9">
      <c r="H7143" s="1092"/>
      <c r="I7143" s="1092"/>
    </row>
    <row r="7144" spans="8:9">
      <c r="H7144" s="1092"/>
      <c r="I7144" s="1092"/>
    </row>
    <row r="7145" spans="8:9">
      <c r="H7145" s="1092"/>
      <c r="I7145" s="1092"/>
    </row>
    <row r="7146" spans="8:9">
      <c r="H7146" s="1092"/>
      <c r="I7146" s="1092"/>
    </row>
    <row r="7147" spans="8:9">
      <c r="H7147" s="1092"/>
      <c r="I7147" s="1092"/>
    </row>
    <row r="7148" spans="8:9">
      <c r="H7148" s="1092"/>
      <c r="I7148" s="1092"/>
    </row>
    <row r="7149" spans="8:9">
      <c r="H7149" s="1092"/>
      <c r="I7149" s="1092"/>
    </row>
    <row r="7150" spans="8:9">
      <c r="H7150" s="1092"/>
      <c r="I7150" s="1092"/>
    </row>
    <row r="7151" spans="8:9">
      <c r="H7151" s="1092"/>
      <c r="I7151" s="1092"/>
    </row>
    <row r="7152" spans="8:9">
      <c r="H7152" s="1092"/>
      <c r="I7152" s="1092"/>
    </row>
    <row r="7153" spans="8:9">
      <c r="H7153" s="1092"/>
      <c r="I7153" s="1092"/>
    </row>
    <row r="7154" spans="8:9">
      <c r="H7154" s="1092"/>
      <c r="I7154" s="1092"/>
    </row>
    <row r="7155" spans="8:9">
      <c r="H7155" s="1092"/>
      <c r="I7155" s="1092"/>
    </row>
    <row r="7156" spans="8:9">
      <c r="H7156" s="1092"/>
      <c r="I7156" s="1092"/>
    </row>
    <row r="7157" spans="8:9">
      <c r="H7157" s="1092"/>
      <c r="I7157" s="1092"/>
    </row>
    <row r="7158" spans="8:9">
      <c r="H7158" s="1092"/>
      <c r="I7158" s="1092"/>
    </row>
    <row r="7159" spans="8:9">
      <c r="H7159" s="1092"/>
      <c r="I7159" s="1092"/>
    </row>
    <row r="7160" spans="8:9">
      <c r="H7160" s="1092"/>
      <c r="I7160" s="1092"/>
    </row>
    <row r="7161" spans="8:9">
      <c r="H7161" s="1092"/>
      <c r="I7161" s="1092"/>
    </row>
    <row r="7162" spans="8:9">
      <c r="H7162" s="1092"/>
      <c r="I7162" s="1092"/>
    </row>
    <row r="7163" spans="8:9">
      <c r="H7163" s="1092"/>
      <c r="I7163" s="1092"/>
    </row>
    <row r="7164" spans="8:9">
      <c r="H7164" s="1092"/>
      <c r="I7164" s="1092"/>
    </row>
    <row r="7165" spans="8:9">
      <c r="H7165" s="1092"/>
      <c r="I7165" s="1092"/>
    </row>
    <row r="7166" spans="8:9">
      <c r="H7166" s="1092"/>
      <c r="I7166" s="1092"/>
    </row>
    <row r="7167" spans="8:9">
      <c r="H7167" s="1092"/>
      <c r="I7167" s="1092"/>
    </row>
    <row r="7168" spans="8:9">
      <c r="H7168" s="1092"/>
      <c r="I7168" s="1092"/>
    </row>
    <row r="7169" spans="8:9">
      <c r="H7169" s="1092"/>
      <c r="I7169" s="1092"/>
    </row>
    <row r="7170" spans="8:9">
      <c r="H7170" s="1092"/>
      <c r="I7170" s="1092"/>
    </row>
    <row r="7171" spans="8:9">
      <c r="H7171" s="1092"/>
      <c r="I7171" s="1092"/>
    </row>
    <row r="7172" spans="8:9">
      <c r="H7172" s="1092"/>
      <c r="I7172" s="1092"/>
    </row>
    <row r="7173" spans="8:9">
      <c r="H7173" s="1092"/>
      <c r="I7173" s="1092"/>
    </row>
    <row r="7174" spans="8:9">
      <c r="H7174" s="1092"/>
      <c r="I7174" s="1092"/>
    </row>
    <row r="7175" spans="8:9">
      <c r="H7175" s="1092"/>
      <c r="I7175" s="1092"/>
    </row>
    <row r="7176" spans="8:9">
      <c r="H7176" s="1092"/>
      <c r="I7176" s="1092"/>
    </row>
    <row r="7177" spans="8:9">
      <c r="H7177" s="1092"/>
      <c r="I7177" s="1092"/>
    </row>
    <row r="7178" spans="8:9">
      <c r="H7178" s="1092"/>
      <c r="I7178" s="1092"/>
    </row>
    <row r="7179" spans="8:9">
      <c r="H7179" s="1092"/>
      <c r="I7179" s="1092"/>
    </row>
    <row r="7180" spans="8:9">
      <c r="H7180" s="1092"/>
      <c r="I7180" s="1092"/>
    </row>
    <row r="7181" spans="8:9">
      <c r="H7181" s="1092"/>
      <c r="I7181" s="1092"/>
    </row>
    <row r="7182" spans="8:9">
      <c r="H7182" s="1092"/>
      <c r="I7182" s="1092"/>
    </row>
    <row r="7183" spans="8:9">
      <c r="H7183" s="1092"/>
      <c r="I7183" s="1092"/>
    </row>
    <row r="7184" spans="8:9">
      <c r="H7184" s="1092"/>
      <c r="I7184" s="1092"/>
    </row>
    <row r="7185" spans="8:9">
      <c r="H7185" s="1092"/>
      <c r="I7185" s="1092"/>
    </row>
    <row r="7186" spans="8:9">
      <c r="H7186" s="1092"/>
      <c r="I7186" s="1092"/>
    </row>
    <row r="7187" spans="8:9">
      <c r="H7187" s="1092"/>
      <c r="I7187" s="1092"/>
    </row>
    <row r="7188" spans="8:9">
      <c r="H7188" s="1092"/>
      <c r="I7188" s="1092"/>
    </row>
    <row r="7189" spans="8:9">
      <c r="H7189" s="1092"/>
      <c r="I7189" s="1092"/>
    </row>
    <row r="7190" spans="8:9">
      <c r="H7190" s="1092"/>
      <c r="I7190" s="1092"/>
    </row>
    <row r="7191" spans="8:9">
      <c r="H7191" s="1092"/>
      <c r="I7191" s="1092"/>
    </row>
    <row r="7192" spans="8:9">
      <c r="H7192" s="1092"/>
      <c r="I7192" s="1092"/>
    </row>
    <row r="7193" spans="8:9">
      <c r="H7193" s="1092"/>
      <c r="I7193" s="1092"/>
    </row>
    <row r="7194" spans="8:9">
      <c r="H7194" s="1092"/>
      <c r="I7194" s="1092"/>
    </row>
    <row r="7195" spans="8:9">
      <c r="H7195" s="1092"/>
      <c r="I7195" s="1092"/>
    </row>
    <row r="7196" spans="8:9">
      <c r="H7196" s="1092"/>
      <c r="I7196" s="1092"/>
    </row>
    <row r="7197" spans="8:9">
      <c r="H7197" s="1092"/>
      <c r="I7197" s="1092"/>
    </row>
    <row r="7198" spans="8:9">
      <c r="H7198" s="1092"/>
      <c r="I7198" s="1092"/>
    </row>
    <row r="7199" spans="8:9">
      <c r="H7199" s="1092"/>
      <c r="I7199" s="1092"/>
    </row>
    <row r="7200" spans="8:9">
      <c r="H7200" s="1092"/>
      <c r="I7200" s="1092"/>
    </row>
    <row r="7201" spans="8:9">
      <c r="H7201" s="1092"/>
      <c r="I7201" s="1092"/>
    </row>
    <row r="7202" spans="8:9">
      <c r="H7202" s="1092"/>
      <c r="I7202" s="1092"/>
    </row>
    <row r="7203" spans="8:9">
      <c r="H7203" s="1092"/>
      <c r="I7203" s="1092"/>
    </row>
    <row r="7204" spans="8:9">
      <c r="H7204" s="1092"/>
      <c r="I7204" s="1092"/>
    </row>
    <row r="7205" spans="8:9">
      <c r="H7205" s="1092"/>
      <c r="I7205" s="1092"/>
    </row>
    <row r="7206" spans="8:9">
      <c r="H7206" s="1092"/>
      <c r="I7206" s="1092"/>
    </row>
    <row r="7207" spans="8:9">
      <c r="H7207" s="1092"/>
      <c r="I7207" s="1092"/>
    </row>
    <row r="7208" spans="8:9">
      <c r="H7208" s="1092"/>
      <c r="I7208" s="1092"/>
    </row>
    <row r="7209" spans="8:9">
      <c r="H7209" s="1092"/>
      <c r="I7209" s="1092"/>
    </row>
    <row r="7210" spans="8:9">
      <c r="H7210" s="1092"/>
      <c r="I7210" s="1092"/>
    </row>
    <row r="7211" spans="8:9">
      <c r="H7211" s="1092"/>
      <c r="I7211" s="1092"/>
    </row>
    <row r="7212" spans="8:9">
      <c r="H7212" s="1092"/>
      <c r="I7212" s="1092"/>
    </row>
    <row r="7213" spans="8:9">
      <c r="H7213" s="1092"/>
      <c r="I7213" s="1092"/>
    </row>
    <row r="7214" spans="8:9">
      <c r="H7214" s="1092"/>
      <c r="I7214" s="1092"/>
    </row>
    <row r="7215" spans="8:9">
      <c r="H7215" s="1092"/>
      <c r="I7215" s="1092"/>
    </row>
    <row r="7216" spans="8:9">
      <c r="H7216" s="1092"/>
      <c r="I7216" s="1092"/>
    </row>
    <row r="7217" spans="8:9">
      <c r="H7217" s="1092"/>
      <c r="I7217" s="1092"/>
    </row>
    <row r="7218" spans="8:9">
      <c r="H7218" s="1092"/>
      <c r="I7218" s="1092"/>
    </row>
    <row r="7219" spans="8:9">
      <c r="H7219" s="1092"/>
      <c r="I7219" s="1092"/>
    </row>
    <row r="7220" spans="8:9">
      <c r="H7220" s="1092"/>
      <c r="I7220" s="1092"/>
    </row>
    <row r="7221" spans="8:9">
      <c r="H7221" s="1092"/>
      <c r="I7221" s="1092"/>
    </row>
    <row r="7222" spans="8:9">
      <c r="H7222" s="1092"/>
      <c r="I7222" s="1092"/>
    </row>
    <row r="7223" spans="8:9">
      <c r="H7223" s="1092"/>
      <c r="I7223" s="1092"/>
    </row>
    <row r="7224" spans="8:9">
      <c r="H7224" s="1092"/>
      <c r="I7224" s="1092"/>
    </row>
    <row r="7225" spans="8:9">
      <c r="H7225" s="1092"/>
      <c r="I7225" s="1092"/>
    </row>
    <row r="7226" spans="8:9">
      <c r="H7226" s="1092"/>
      <c r="I7226" s="1092"/>
    </row>
    <row r="7227" spans="8:9">
      <c r="H7227" s="1092"/>
      <c r="I7227" s="1092"/>
    </row>
    <row r="7228" spans="8:9">
      <c r="H7228" s="1092"/>
      <c r="I7228" s="1092"/>
    </row>
    <row r="7229" spans="8:9">
      <c r="H7229" s="1092"/>
      <c r="I7229" s="1092"/>
    </row>
    <row r="7230" spans="8:9">
      <c r="H7230" s="1092"/>
      <c r="I7230" s="1092"/>
    </row>
    <row r="7231" spans="8:9">
      <c r="H7231" s="1092"/>
      <c r="I7231" s="1092"/>
    </row>
    <row r="7232" spans="8:9">
      <c r="H7232" s="1092"/>
      <c r="I7232" s="1092"/>
    </row>
    <row r="7233" spans="8:9">
      <c r="H7233" s="1092"/>
      <c r="I7233" s="1092"/>
    </row>
    <row r="7234" spans="8:9">
      <c r="H7234" s="1092"/>
      <c r="I7234" s="1092"/>
    </row>
    <row r="7235" spans="8:9">
      <c r="H7235" s="1092"/>
      <c r="I7235" s="1092"/>
    </row>
    <row r="7236" spans="8:9">
      <c r="H7236" s="1092"/>
      <c r="I7236" s="1092"/>
    </row>
    <row r="7237" spans="8:9">
      <c r="H7237" s="1092"/>
      <c r="I7237" s="1092"/>
    </row>
    <row r="7238" spans="8:9">
      <c r="H7238" s="1092"/>
      <c r="I7238" s="1092"/>
    </row>
    <row r="7239" spans="8:9">
      <c r="H7239" s="1092"/>
      <c r="I7239" s="1092"/>
    </row>
    <row r="7240" spans="8:9">
      <c r="H7240" s="1092"/>
      <c r="I7240" s="1092"/>
    </row>
    <row r="7241" spans="8:9">
      <c r="H7241" s="1092"/>
      <c r="I7241" s="1092"/>
    </row>
    <row r="7242" spans="8:9">
      <c r="H7242" s="1092"/>
      <c r="I7242" s="1092"/>
    </row>
    <row r="7243" spans="8:9">
      <c r="H7243" s="1092"/>
      <c r="I7243" s="1092"/>
    </row>
    <row r="7244" spans="8:9">
      <c r="H7244" s="1092"/>
      <c r="I7244" s="1092"/>
    </row>
    <row r="7245" spans="8:9">
      <c r="H7245" s="1092"/>
      <c r="I7245" s="1092"/>
    </row>
    <row r="7246" spans="8:9">
      <c r="H7246" s="1092"/>
      <c r="I7246" s="1092"/>
    </row>
    <row r="7247" spans="8:9">
      <c r="H7247" s="1092"/>
      <c r="I7247" s="1092"/>
    </row>
    <row r="7248" spans="8:9">
      <c r="H7248" s="1092"/>
      <c r="I7248" s="1092"/>
    </row>
    <row r="7249" spans="8:9">
      <c r="H7249" s="1092"/>
      <c r="I7249" s="1092"/>
    </row>
    <row r="7250" spans="8:9">
      <c r="H7250" s="1092"/>
      <c r="I7250" s="1092"/>
    </row>
    <row r="7251" spans="8:9">
      <c r="H7251" s="1092"/>
      <c r="I7251" s="1092"/>
    </row>
    <row r="7252" spans="8:9">
      <c r="H7252" s="1092"/>
      <c r="I7252" s="1092"/>
    </row>
    <row r="7253" spans="8:9">
      <c r="H7253" s="1092"/>
      <c r="I7253" s="1092"/>
    </row>
    <row r="7254" spans="8:9">
      <c r="H7254" s="1092"/>
      <c r="I7254" s="1092"/>
    </row>
    <row r="7255" spans="8:9">
      <c r="H7255" s="1092"/>
      <c r="I7255" s="1092"/>
    </row>
    <row r="7256" spans="8:9">
      <c r="H7256" s="1092"/>
      <c r="I7256" s="1092"/>
    </row>
    <row r="7257" spans="8:9">
      <c r="H7257" s="1092"/>
      <c r="I7257" s="1092"/>
    </row>
    <row r="7258" spans="8:9">
      <c r="H7258" s="1092"/>
      <c r="I7258" s="1092"/>
    </row>
    <row r="7259" spans="8:9">
      <c r="H7259" s="1092"/>
      <c r="I7259" s="1092"/>
    </row>
    <row r="7260" spans="8:9">
      <c r="H7260" s="1092"/>
      <c r="I7260" s="1092"/>
    </row>
    <row r="7261" spans="8:9">
      <c r="H7261" s="1092"/>
      <c r="I7261" s="1092"/>
    </row>
    <row r="7262" spans="8:9">
      <c r="H7262" s="1092"/>
      <c r="I7262" s="1092"/>
    </row>
    <row r="7263" spans="8:9">
      <c r="H7263" s="1092"/>
      <c r="I7263" s="1092"/>
    </row>
    <row r="7264" spans="8:9">
      <c r="H7264" s="1092"/>
      <c r="I7264" s="1092"/>
    </row>
    <row r="7265" spans="8:9">
      <c r="H7265" s="1092"/>
      <c r="I7265" s="1092"/>
    </row>
    <row r="7266" spans="8:9">
      <c r="H7266" s="1092"/>
      <c r="I7266" s="1092"/>
    </row>
    <row r="7267" spans="8:9">
      <c r="H7267" s="1092"/>
      <c r="I7267" s="1092"/>
    </row>
    <row r="7268" spans="8:9">
      <c r="H7268" s="1092"/>
      <c r="I7268" s="1092"/>
    </row>
    <row r="7269" spans="8:9">
      <c r="H7269" s="1092"/>
      <c r="I7269" s="1092"/>
    </row>
    <row r="7270" spans="8:9">
      <c r="H7270" s="1092"/>
      <c r="I7270" s="1092"/>
    </row>
    <row r="7271" spans="8:9">
      <c r="H7271" s="1092"/>
      <c r="I7271" s="1092"/>
    </row>
    <row r="7272" spans="8:9">
      <c r="H7272" s="1092"/>
      <c r="I7272" s="1092"/>
    </row>
    <row r="7273" spans="8:9">
      <c r="H7273" s="1092"/>
      <c r="I7273" s="1092"/>
    </row>
    <row r="7274" spans="8:9">
      <c r="H7274" s="1092"/>
      <c r="I7274" s="1092"/>
    </row>
    <row r="7275" spans="8:9">
      <c r="H7275" s="1092"/>
      <c r="I7275" s="1092"/>
    </row>
    <row r="7276" spans="8:9">
      <c r="H7276" s="1092"/>
      <c r="I7276" s="1092"/>
    </row>
    <row r="7277" spans="8:9">
      <c r="H7277" s="1092"/>
      <c r="I7277" s="1092"/>
    </row>
    <row r="7278" spans="8:9">
      <c r="H7278" s="1092"/>
      <c r="I7278" s="1092"/>
    </row>
    <row r="7279" spans="8:9">
      <c r="H7279" s="1092"/>
      <c r="I7279" s="1092"/>
    </row>
    <row r="7280" spans="8:9">
      <c r="H7280" s="1092"/>
      <c r="I7280" s="1092"/>
    </row>
    <row r="7281" spans="8:9">
      <c r="H7281" s="1092"/>
      <c r="I7281" s="1092"/>
    </row>
    <row r="7282" spans="8:9">
      <c r="H7282" s="1092"/>
      <c r="I7282" s="1092"/>
    </row>
    <row r="7283" spans="8:9">
      <c r="H7283" s="1092"/>
      <c r="I7283" s="1092"/>
    </row>
    <row r="7284" spans="8:9">
      <c r="H7284" s="1092"/>
      <c r="I7284" s="1092"/>
    </row>
    <row r="7285" spans="8:9">
      <c r="H7285" s="1092"/>
      <c r="I7285" s="1092"/>
    </row>
    <row r="7286" spans="8:9">
      <c r="H7286" s="1092"/>
      <c r="I7286" s="1092"/>
    </row>
    <row r="7287" spans="8:9">
      <c r="H7287" s="1092"/>
      <c r="I7287" s="1092"/>
    </row>
    <row r="7288" spans="8:9">
      <c r="H7288" s="1092"/>
      <c r="I7288" s="1092"/>
    </row>
    <row r="7289" spans="8:9">
      <c r="H7289" s="1092"/>
      <c r="I7289" s="1092"/>
    </row>
    <row r="7290" spans="8:9">
      <c r="H7290" s="1092"/>
      <c r="I7290" s="1092"/>
    </row>
    <row r="7291" spans="8:9">
      <c r="H7291" s="1092"/>
      <c r="I7291" s="1092"/>
    </row>
    <row r="7292" spans="8:9">
      <c r="H7292" s="1092"/>
      <c r="I7292" s="1092"/>
    </row>
    <row r="7293" spans="8:9">
      <c r="H7293" s="1092"/>
      <c r="I7293" s="1092"/>
    </row>
    <row r="7294" spans="8:9">
      <c r="H7294" s="1092"/>
      <c r="I7294" s="1092"/>
    </row>
    <row r="7295" spans="8:9">
      <c r="H7295" s="1092"/>
      <c r="I7295" s="1092"/>
    </row>
    <row r="7296" spans="8:9">
      <c r="H7296" s="1092"/>
      <c r="I7296" s="1092"/>
    </row>
    <row r="7297" spans="8:9">
      <c r="H7297" s="1092"/>
      <c r="I7297" s="1092"/>
    </row>
    <row r="7298" spans="8:9">
      <c r="H7298" s="1092"/>
      <c r="I7298" s="1092"/>
    </row>
    <row r="7299" spans="8:9">
      <c r="H7299" s="1092"/>
      <c r="I7299" s="1092"/>
    </row>
    <row r="7300" spans="8:9">
      <c r="H7300" s="1092"/>
      <c r="I7300" s="1092"/>
    </row>
    <row r="7301" spans="8:9">
      <c r="H7301" s="1092"/>
      <c r="I7301" s="1092"/>
    </row>
    <row r="7302" spans="8:9">
      <c r="H7302" s="1092"/>
      <c r="I7302" s="1092"/>
    </row>
    <row r="7303" spans="8:9">
      <c r="H7303" s="1092"/>
      <c r="I7303" s="1092"/>
    </row>
    <row r="7304" spans="8:9">
      <c r="H7304" s="1092"/>
      <c r="I7304" s="1092"/>
    </row>
    <row r="7305" spans="8:9">
      <c r="H7305" s="1092"/>
      <c r="I7305" s="1092"/>
    </row>
    <row r="7306" spans="8:9">
      <c r="H7306" s="1092"/>
      <c r="I7306" s="1092"/>
    </row>
    <row r="7307" spans="8:9">
      <c r="H7307" s="1092"/>
      <c r="I7307" s="1092"/>
    </row>
    <row r="7308" spans="8:9">
      <c r="H7308" s="1092"/>
      <c r="I7308" s="1092"/>
    </row>
    <row r="7309" spans="8:9">
      <c r="H7309" s="1092"/>
      <c r="I7309" s="1092"/>
    </row>
    <row r="7310" spans="8:9">
      <c r="H7310" s="1092"/>
      <c r="I7310" s="1092"/>
    </row>
    <row r="7311" spans="8:9">
      <c r="H7311" s="1092"/>
      <c r="I7311" s="1092"/>
    </row>
    <row r="7312" spans="8:9">
      <c r="H7312" s="1092"/>
      <c r="I7312" s="1092"/>
    </row>
    <row r="7313" spans="8:9">
      <c r="H7313" s="1092"/>
      <c r="I7313" s="1092"/>
    </row>
    <row r="7314" spans="8:9">
      <c r="H7314" s="1092"/>
      <c r="I7314" s="1092"/>
    </row>
    <row r="7315" spans="8:9">
      <c r="H7315" s="1092"/>
      <c r="I7315" s="1092"/>
    </row>
    <row r="7316" spans="8:9">
      <c r="H7316" s="1092"/>
      <c r="I7316" s="1092"/>
    </row>
    <row r="7317" spans="8:9">
      <c r="H7317" s="1092"/>
      <c r="I7317" s="1092"/>
    </row>
    <row r="7318" spans="8:9">
      <c r="H7318" s="1092"/>
      <c r="I7318" s="1092"/>
    </row>
    <row r="7319" spans="8:9">
      <c r="H7319" s="1092"/>
      <c r="I7319" s="1092"/>
    </row>
    <row r="7320" spans="8:9">
      <c r="H7320" s="1092"/>
      <c r="I7320" s="1092"/>
    </row>
    <row r="7321" spans="8:9">
      <c r="H7321" s="1092"/>
      <c r="I7321" s="1092"/>
    </row>
    <row r="7322" spans="8:9">
      <c r="H7322" s="1092"/>
      <c r="I7322" s="1092"/>
    </row>
    <row r="7323" spans="8:9">
      <c r="H7323" s="1092"/>
      <c r="I7323" s="1092"/>
    </row>
    <row r="7324" spans="8:9">
      <c r="H7324" s="1092"/>
      <c r="I7324" s="1092"/>
    </row>
    <row r="7325" spans="8:9">
      <c r="H7325" s="1092"/>
      <c r="I7325" s="1092"/>
    </row>
    <row r="7326" spans="8:9">
      <c r="H7326" s="1092"/>
      <c r="I7326" s="1092"/>
    </row>
    <row r="7327" spans="8:9">
      <c r="H7327" s="1092"/>
      <c r="I7327" s="1092"/>
    </row>
    <row r="7328" spans="8:9">
      <c r="H7328" s="1092"/>
      <c r="I7328" s="1092"/>
    </row>
    <row r="7329" spans="8:9">
      <c r="H7329" s="1092"/>
      <c r="I7329" s="1092"/>
    </row>
    <row r="7330" spans="8:9">
      <c r="H7330" s="1092"/>
      <c r="I7330" s="1092"/>
    </row>
    <row r="7331" spans="8:9">
      <c r="H7331" s="1092"/>
      <c r="I7331" s="1092"/>
    </row>
    <row r="7332" spans="8:9">
      <c r="H7332" s="1092"/>
      <c r="I7332" s="1092"/>
    </row>
    <row r="7333" spans="8:9">
      <c r="H7333" s="1092"/>
      <c r="I7333" s="1092"/>
    </row>
    <row r="7334" spans="8:9">
      <c r="H7334" s="1092"/>
      <c r="I7334" s="1092"/>
    </row>
    <row r="7335" spans="8:9">
      <c r="H7335" s="1092"/>
      <c r="I7335" s="1092"/>
    </row>
    <row r="7336" spans="8:9">
      <c r="H7336" s="1092"/>
      <c r="I7336" s="1092"/>
    </row>
    <row r="7337" spans="8:9">
      <c r="H7337" s="1092"/>
      <c r="I7337" s="1092"/>
    </row>
    <row r="7338" spans="8:9">
      <c r="H7338" s="1092"/>
      <c r="I7338" s="1092"/>
    </row>
    <row r="7339" spans="8:9">
      <c r="H7339" s="1092"/>
      <c r="I7339" s="1092"/>
    </row>
    <row r="7340" spans="8:9">
      <c r="H7340" s="1092"/>
      <c r="I7340" s="1092"/>
    </row>
    <row r="7341" spans="8:9">
      <c r="H7341" s="1092"/>
      <c r="I7341" s="1092"/>
    </row>
    <row r="7342" spans="8:9">
      <c r="H7342" s="1092"/>
      <c r="I7342" s="1092"/>
    </row>
    <row r="7343" spans="8:9">
      <c r="H7343" s="1092"/>
      <c r="I7343" s="1092"/>
    </row>
    <row r="7344" spans="8:9">
      <c r="H7344" s="1092"/>
      <c r="I7344" s="1092"/>
    </row>
    <row r="7345" spans="8:9">
      <c r="H7345" s="1092"/>
      <c r="I7345" s="1092"/>
    </row>
    <row r="7346" spans="8:9">
      <c r="H7346" s="1092"/>
      <c r="I7346" s="1092"/>
    </row>
    <row r="7347" spans="8:9">
      <c r="H7347" s="1092"/>
      <c r="I7347" s="1092"/>
    </row>
    <row r="7348" spans="8:9">
      <c r="H7348" s="1092"/>
      <c r="I7348" s="1092"/>
    </row>
    <row r="7349" spans="8:9">
      <c r="H7349" s="1092"/>
      <c r="I7349" s="1092"/>
    </row>
    <row r="7350" spans="8:9">
      <c r="H7350" s="1092"/>
      <c r="I7350" s="1092"/>
    </row>
    <row r="7351" spans="8:9">
      <c r="H7351" s="1092"/>
      <c r="I7351" s="1092"/>
    </row>
    <row r="7352" spans="8:9">
      <c r="H7352" s="1092"/>
      <c r="I7352" s="1092"/>
    </row>
    <row r="7353" spans="8:9">
      <c r="H7353" s="1092"/>
      <c r="I7353" s="1092"/>
    </row>
    <row r="7354" spans="8:9">
      <c r="H7354" s="1092"/>
      <c r="I7354" s="1092"/>
    </row>
    <row r="7355" spans="8:9">
      <c r="H7355" s="1092"/>
      <c r="I7355" s="1092"/>
    </row>
    <row r="7356" spans="8:9">
      <c r="H7356" s="1092"/>
      <c r="I7356" s="1092"/>
    </row>
    <row r="7357" spans="8:9">
      <c r="H7357" s="1092"/>
      <c r="I7357" s="1092"/>
    </row>
    <row r="7358" spans="8:9">
      <c r="H7358" s="1092"/>
      <c r="I7358" s="1092"/>
    </row>
    <row r="7359" spans="8:9">
      <c r="H7359" s="1092"/>
      <c r="I7359" s="1092"/>
    </row>
    <row r="7360" spans="8:9">
      <c r="H7360" s="1092"/>
      <c r="I7360" s="1092"/>
    </row>
    <row r="7361" spans="8:9">
      <c r="H7361" s="1092"/>
      <c r="I7361" s="1092"/>
    </row>
    <row r="7362" spans="8:9">
      <c r="H7362" s="1092"/>
      <c r="I7362" s="1092"/>
    </row>
    <row r="7363" spans="8:9">
      <c r="H7363" s="1092"/>
      <c r="I7363" s="1092"/>
    </row>
    <row r="7364" spans="8:9">
      <c r="H7364" s="1092"/>
      <c r="I7364" s="1092"/>
    </row>
    <row r="7365" spans="8:9">
      <c r="H7365" s="1092"/>
      <c r="I7365" s="1092"/>
    </row>
    <row r="7366" spans="8:9">
      <c r="H7366" s="1092"/>
      <c r="I7366" s="1092"/>
    </row>
    <row r="7367" spans="8:9">
      <c r="H7367" s="1092"/>
      <c r="I7367" s="1092"/>
    </row>
    <row r="7368" spans="8:9">
      <c r="H7368" s="1092"/>
      <c r="I7368" s="1092"/>
    </row>
    <row r="7369" spans="8:9">
      <c r="H7369" s="1092"/>
      <c r="I7369" s="1092"/>
    </row>
    <row r="7370" spans="8:9">
      <c r="H7370" s="1092"/>
      <c r="I7370" s="1092"/>
    </row>
    <row r="7371" spans="8:9">
      <c r="H7371" s="1092"/>
      <c r="I7371" s="1092"/>
    </row>
    <row r="7372" spans="8:9">
      <c r="H7372" s="1092"/>
      <c r="I7372" s="1092"/>
    </row>
    <row r="7373" spans="8:9">
      <c r="H7373" s="1092"/>
      <c r="I7373" s="1092"/>
    </row>
    <row r="7374" spans="8:9">
      <c r="H7374" s="1092"/>
      <c r="I7374" s="1092"/>
    </row>
    <row r="7375" spans="8:9">
      <c r="H7375" s="1092"/>
      <c r="I7375" s="1092"/>
    </row>
    <row r="7376" spans="8:9">
      <c r="H7376" s="1092"/>
      <c r="I7376" s="1092"/>
    </row>
    <row r="7377" spans="8:9">
      <c r="H7377" s="1092"/>
      <c r="I7377" s="1092"/>
    </row>
    <row r="7378" spans="8:9">
      <c r="H7378" s="1092"/>
      <c r="I7378" s="1092"/>
    </row>
    <row r="7379" spans="8:9">
      <c r="H7379" s="1092"/>
      <c r="I7379" s="1092"/>
    </row>
    <row r="7380" spans="8:9">
      <c r="H7380" s="1092"/>
      <c r="I7380" s="1092"/>
    </row>
    <row r="7381" spans="8:9">
      <c r="H7381" s="1092"/>
      <c r="I7381" s="1092"/>
    </row>
    <row r="7382" spans="8:9">
      <c r="H7382" s="1092"/>
      <c r="I7382" s="1092"/>
    </row>
    <row r="7383" spans="8:9">
      <c r="H7383" s="1092"/>
      <c r="I7383" s="1092"/>
    </row>
    <row r="7384" spans="8:9">
      <c r="H7384" s="1092"/>
      <c r="I7384" s="1092"/>
    </row>
    <row r="7385" spans="8:9">
      <c r="H7385" s="1092"/>
      <c r="I7385" s="1092"/>
    </row>
    <row r="7386" spans="8:9">
      <c r="H7386" s="1092"/>
      <c r="I7386" s="1092"/>
    </row>
    <row r="7387" spans="8:9">
      <c r="H7387" s="1092"/>
      <c r="I7387" s="1092"/>
    </row>
    <row r="7388" spans="8:9">
      <c r="H7388" s="1092"/>
      <c r="I7388" s="1092"/>
    </row>
    <row r="7389" spans="8:9">
      <c r="H7389" s="1092"/>
      <c r="I7389" s="1092"/>
    </row>
    <row r="7390" spans="8:9">
      <c r="H7390" s="1092"/>
      <c r="I7390" s="1092"/>
    </row>
    <row r="7391" spans="8:9">
      <c r="H7391" s="1092"/>
      <c r="I7391" s="1092"/>
    </row>
    <row r="7392" spans="8:9">
      <c r="H7392" s="1092"/>
      <c r="I7392" s="1092"/>
    </row>
    <row r="7393" spans="8:9">
      <c r="H7393" s="1092"/>
      <c r="I7393" s="1092"/>
    </row>
    <row r="7394" spans="8:9">
      <c r="H7394" s="1092"/>
      <c r="I7394" s="1092"/>
    </row>
    <row r="7395" spans="8:9">
      <c r="H7395" s="1092"/>
      <c r="I7395" s="1092"/>
    </row>
    <row r="7396" spans="8:9">
      <c r="H7396" s="1092"/>
      <c r="I7396" s="1092"/>
    </row>
    <row r="7397" spans="8:9">
      <c r="H7397" s="1092"/>
      <c r="I7397" s="1092"/>
    </row>
    <row r="7398" spans="8:9">
      <c r="H7398" s="1092"/>
      <c r="I7398" s="1092"/>
    </row>
    <row r="7399" spans="8:9">
      <c r="H7399" s="1092"/>
      <c r="I7399" s="1092"/>
    </row>
    <row r="7400" spans="8:9">
      <c r="H7400" s="1092"/>
      <c r="I7400" s="1092"/>
    </row>
    <row r="7401" spans="8:9">
      <c r="H7401" s="1092"/>
      <c r="I7401" s="1092"/>
    </row>
    <row r="7402" spans="8:9">
      <c r="H7402" s="1092"/>
      <c r="I7402" s="1092"/>
    </row>
    <row r="7403" spans="8:9">
      <c r="H7403" s="1092"/>
      <c r="I7403" s="1092"/>
    </row>
    <row r="7404" spans="8:9">
      <c r="H7404" s="1092"/>
      <c r="I7404" s="1092"/>
    </row>
    <row r="7405" spans="8:9">
      <c r="H7405" s="1092"/>
      <c r="I7405" s="1092"/>
    </row>
    <row r="7406" spans="8:9">
      <c r="H7406" s="1092"/>
      <c r="I7406" s="1092"/>
    </row>
    <row r="7407" spans="8:9">
      <c r="H7407" s="1092"/>
      <c r="I7407" s="1092"/>
    </row>
    <row r="7408" spans="8:9">
      <c r="H7408" s="1092"/>
      <c r="I7408" s="1092"/>
    </row>
    <row r="7409" spans="8:9">
      <c r="H7409" s="1092"/>
      <c r="I7409" s="1092"/>
    </row>
    <row r="7410" spans="8:9">
      <c r="H7410" s="1092"/>
      <c r="I7410" s="1092"/>
    </row>
    <row r="7411" spans="8:9">
      <c r="H7411" s="1092"/>
      <c r="I7411" s="1092"/>
    </row>
    <row r="7412" spans="8:9">
      <c r="H7412" s="1092"/>
      <c r="I7412" s="1092"/>
    </row>
    <row r="7413" spans="8:9">
      <c r="H7413" s="1092"/>
      <c r="I7413" s="1092"/>
    </row>
    <row r="7414" spans="8:9">
      <c r="H7414" s="1092"/>
      <c r="I7414" s="1092"/>
    </row>
    <row r="7415" spans="8:9">
      <c r="H7415" s="1092"/>
      <c r="I7415" s="1092"/>
    </row>
    <row r="7416" spans="8:9">
      <c r="H7416" s="1092"/>
      <c r="I7416" s="1092"/>
    </row>
    <row r="7417" spans="8:9">
      <c r="H7417" s="1092"/>
      <c r="I7417" s="1092"/>
    </row>
    <row r="7418" spans="8:9">
      <c r="H7418" s="1092"/>
      <c r="I7418" s="1092"/>
    </row>
    <row r="7419" spans="8:9">
      <c r="H7419" s="1092"/>
      <c r="I7419" s="1092"/>
    </row>
    <row r="7420" spans="8:9">
      <c r="H7420" s="1092"/>
      <c r="I7420" s="1092"/>
    </row>
    <row r="7421" spans="8:9">
      <c r="H7421" s="1092"/>
      <c r="I7421" s="1092"/>
    </row>
    <row r="7422" spans="8:9">
      <c r="H7422" s="1092"/>
      <c r="I7422" s="1092"/>
    </row>
    <row r="7423" spans="8:9">
      <c r="H7423" s="1092"/>
      <c r="I7423" s="1092"/>
    </row>
    <row r="7424" spans="8:9">
      <c r="H7424" s="1092"/>
      <c r="I7424" s="1092"/>
    </row>
    <row r="7425" spans="8:9">
      <c r="H7425" s="1092"/>
      <c r="I7425" s="1092"/>
    </row>
    <row r="7426" spans="8:9">
      <c r="H7426" s="1092"/>
      <c r="I7426" s="1092"/>
    </row>
    <row r="7427" spans="8:9">
      <c r="H7427" s="1092"/>
      <c r="I7427" s="1092"/>
    </row>
    <row r="7428" spans="8:9">
      <c r="H7428" s="1092"/>
      <c r="I7428" s="1092"/>
    </row>
    <row r="7429" spans="8:9">
      <c r="H7429" s="1092"/>
      <c r="I7429" s="1092"/>
    </row>
    <row r="7430" spans="8:9">
      <c r="H7430" s="1092"/>
      <c r="I7430" s="1092"/>
    </row>
    <row r="7431" spans="8:9">
      <c r="H7431" s="1092"/>
      <c r="I7431" s="1092"/>
    </row>
    <row r="7432" spans="8:9">
      <c r="H7432" s="1092"/>
      <c r="I7432" s="1092"/>
    </row>
    <row r="7433" spans="8:9">
      <c r="H7433" s="1092"/>
      <c r="I7433" s="1092"/>
    </row>
    <row r="7434" spans="8:9">
      <c r="H7434" s="1092"/>
      <c r="I7434" s="1092"/>
    </row>
    <row r="7435" spans="8:9">
      <c r="H7435" s="1092"/>
      <c r="I7435" s="1092"/>
    </row>
    <row r="7436" spans="8:9">
      <c r="H7436" s="1092"/>
      <c r="I7436" s="1092"/>
    </row>
    <row r="7437" spans="8:9">
      <c r="H7437" s="1092"/>
      <c r="I7437" s="1092"/>
    </row>
    <row r="7438" spans="8:9">
      <c r="H7438" s="1092"/>
      <c r="I7438" s="1092"/>
    </row>
    <row r="7439" spans="8:9">
      <c r="H7439" s="1092"/>
      <c r="I7439" s="1092"/>
    </row>
    <row r="7440" spans="8:9">
      <c r="H7440" s="1092"/>
      <c r="I7440" s="1092"/>
    </row>
    <row r="7441" spans="8:9">
      <c r="H7441" s="1092"/>
      <c r="I7441" s="1092"/>
    </row>
    <row r="7442" spans="8:9">
      <c r="H7442" s="1092"/>
      <c r="I7442" s="1092"/>
    </row>
    <row r="7443" spans="8:9">
      <c r="H7443" s="1092"/>
      <c r="I7443" s="1092"/>
    </row>
    <row r="7444" spans="8:9">
      <c r="H7444" s="1092"/>
      <c r="I7444" s="1092"/>
    </row>
    <row r="7445" spans="8:9">
      <c r="H7445" s="1092"/>
      <c r="I7445" s="1092"/>
    </row>
    <row r="7446" spans="8:9">
      <c r="H7446" s="1092"/>
      <c r="I7446" s="1092"/>
    </row>
    <row r="7447" spans="8:9">
      <c r="H7447" s="1092"/>
      <c r="I7447" s="1092"/>
    </row>
    <row r="7448" spans="8:9">
      <c r="H7448" s="1092"/>
      <c r="I7448" s="1092"/>
    </row>
    <row r="7449" spans="8:9">
      <c r="H7449" s="1092"/>
      <c r="I7449" s="1092"/>
    </row>
    <row r="7450" spans="8:9">
      <c r="H7450" s="1092"/>
      <c r="I7450" s="1092"/>
    </row>
    <row r="7451" spans="8:9">
      <c r="H7451" s="1092"/>
      <c r="I7451" s="1092"/>
    </row>
    <row r="7452" spans="8:9">
      <c r="H7452" s="1092"/>
      <c r="I7452" s="1092"/>
    </row>
    <row r="7453" spans="8:9">
      <c r="H7453" s="1092"/>
      <c r="I7453" s="1092"/>
    </row>
    <row r="7454" spans="8:9">
      <c r="H7454" s="1092"/>
      <c r="I7454" s="1092"/>
    </row>
    <row r="7455" spans="8:9">
      <c r="H7455" s="1092"/>
      <c r="I7455" s="1092"/>
    </row>
    <row r="7456" spans="8:9">
      <c r="H7456" s="1092"/>
      <c r="I7456" s="1092"/>
    </row>
    <row r="7457" spans="8:9">
      <c r="H7457" s="1092"/>
      <c r="I7457" s="1092"/>
    </row>
    <row r="7458" spans="8:9">
      <c r="H7458" s="1092"/>
      <c r="I7458" s="1092"/>
    </row>
    <row r="7459" spans="8:9">
      <c r="H7459" s="1092"/>
      <c r="I7459" s="1092"/>
    </row>
    <row r="7460" spans="8:9">
      <c r="H7460" s="1092"/>
      <c r="I7460" s="1092"/>
    </row>
    <row r="7461" spans="8:9">
      <c r="H7461" s="1092"/>
      <c r="I7461" s="1092"/>
    </row>
    <row r="7462" spans="8:9">
      <c r="H7462" s="1092"/>
      <c r="I7462" s="1092"/>
    </row>
    <row r="7463" spans="8:9">
      <c r="H7463" s="1092"/>
      <c r="I7463" s="1092"/>
    </row>
    <row r="7464" spans="8:9">
      <c r="H7464" s="1092"/>
      <c r="I7464" s="1092"/>
    </row>
    <row r="7465" spans="8:9">
      <c r="H7465" s="1092"/>
      <c r="I7465" s="1092"/>
    </row>
    <row r="7466" spans="8:9">
      <c r="H7466" s="1092"/>
      <c r="I7466" s="1092"/>
    </row>
    <row r="7467" spans="8:9">
      <c r="H7467" s="1092"/>
      <c r="I7467" s="1092"/>
    </row>
    <row r="7468" spans="8:9">
      <c r="H7468" s="1092"/>
      <c r="I7468" s="1092"/>
    </row>
    <row r="7469" spans="8:9">
      <c r="H7469" s="1092"/>
      <c r="I7469" s="1092"/>
    </row>
    <row r="7470" spans="8:9">
      <c r="H7470" s="1092"/>
      <c r="I7470" s="1092"/>
    </row>
    <row r="7471" spans="8:9">
      <c r="H7471" s="1092"/>
      <c r="I7471" s="1092"/>
    </row>
    <row r="7472" spans="8:9">
      <c r="H7472" s="1092"/>
      <c r="I7472" s="1092"/>
    </row>
    <row r="7473" spans="8:9">
      <c r="H7473" s="1092"/>
      <c r="I7473" s="1092"/>
    </row>
    <row r="7474" spans="8:9">
      <c r="H7474" s="1092"/>
      <c r="I7474" s="1092"/>
    </row>
    <row r="7475" spans="8:9">
      <c r="H7475" s="1092"/>
      <c r="I7475" s="1092"/>
    </row>
    <row r="7476" spans="8:9">
      <c r="H7476" s="1092"/>
      <c r="I7476" s="1092"/>
    </row>
    <row r="7477" spans="8:9">
      <c r="H7477" s="1092"/>
      <c r="I7477" s="1092"/>
    </row>
    <row r="7478" spans="8:9">
      <c r="H7478" s="1092"/>
      <c r="I7478" s="1092"/>
    </row>
    <row r="7479" spans="8:9">
      <c r="H7479" s="1092"/>
      <c r="I7479" s="1092"/>
    </row>
    <row r="7480" spans="8:9">
      <c r="H7480" s="1092"/>
      <c r="I7480" s="1092"/>
    </row>
    <row r="7481" spans="8:9">
      <c r="H7481" s="1092"/>
      <c r="I7481" s="1092"/>
    </row>
    <row r="7482" spans="8:9">
      <c r="H7482" s="1092"/>
      <c r="I7482" s="1092"/>
    </row>
    <row r="7483" spans="8:9">
      <c r="H7483" s="1092"/>
      <c r="I7483" s="1092"/>
    </row>
    <row r="7484" spans="8:9">
      <c r="H7484" s="1092"/>
      <c r="I7484" s="1092"/>
    </row>
    <row r="7485" spans="8:9">
      <c r="H7485" s="1092"/>
      <c r="I7485" s="1092"/>
    </row>
    <row r="7486" spans="8:9">
      <c r="H7486" s="1092"/>
      <c r="I7486" s="1092"/>
    </row>
    <row r="7487" spans="8:9">
      <c r="H7487" s="1092"/>
      <c r="I7487" s="1092"/>
    </row>
    <row r="7488" spans="8:9">
      <c r="H7488" s="1092"/>
      <c r="I7488" s="1092"/>
    </row>
    <row r="7489" spans="8:9">
      <c r="H7489" s="1092"/>
      <c r="I7489" s="1092"/>
    </row>
    <row r="7490" spans="8:9">
      <c r="H7490" s="1092"/>
      <c r="I7490" s="1092"/>
    </row>
    <row r="7491" spans="8:9">
      <c r="H7491" s="1092"/>
      <c r="I7491" s="1092"/>
    </row>
    <row r="7492" spans="8:9">
      <c r="H7492" s="1092"/>
      <c r="I7492" s="1092"/>
    </row>
    <row r="7493" spans="8:9">
      <c r="H7493" s="1092"/>
      <c r="I7493" s="1092"/>
    </row>
    <row r="7494" spans="8:9">
      <c r="H7494" s="1092"/>
      <c r="I7494" s="1092"/>
    </row>
    <row r="7495" spans="8:9">
      <c r="H7495" s="1092"/>
      <c r="I7495" s="1092"/>
    </row>
    <row r="7496" spans="8:9">
      <c r="H7496" s="1092"/>
      <c r="I7496" s="1092"/>
    </row>
    <row r="7497" spans="8:9">
      <c r="H7497" s="1092"/>
      <c r="I7497" s="1092"/>
    </row>
    <row r="7498" spans="8:9">
      <c r="H7498" s="1092"/>
      <c r="I7498" s="1092"/>
    </row>
    <row r="7499" spans="8:9">
      <c r="H7499" s="1092"/>
      <c r="I7499" s="1092"/>
    </row>
    <row r="7500" spans="8:9">
      <c r="H7500" s="1092"/>
      <c r="I7500" s="1092"/>
    </row>
    <row r="7501" spans="8:9">
      <c r="H7501" s="1092"/>
      <c r="I7501" s="1092"/>
    </row>
    <row r="7502" spans="8:9">
      <c r="H7502" s="1092"/>
      <c r="I7502" s="1092"/>
    </row>
    <row r="7503" spans="8:9">
      <c r="H7503" s="1092"/>
      <c r="I7503" s="1092"/>
    </row>
    <row r="7504" spans="8:9">
      <c r="H7504" s="1092"/>
      <c r="I7504" s="1092"/>
    </row>
    <row r="7505" spans="8:9">
      <c r="H7505" s="1092"/>
      <c r="I7505" s="1092"/>
    </row>
    <row r="7506" spans="8:9">
      <c r="H7506" s="1092"/>
      <c r="I7506" s="1092"/>
    </row>
    <row r="7507" spans="8:9">
      <c r="H7507" s="1092"/>
      <c r="I7507" s="1092"/>
    </row>
    <row r="7508" spans="8:9">
      <c r="H7508" s="1092"/>
      <c r="I7508" s="1092"/>
    </row>
    <row r="7509" spans="8:9">
      <c r="H7509" s="1092"/>
      <c r="I7509" s="1092"/>
    </row>
    <row r="7510" spans="8:9">
      <c r="H7510" s="1092"/>
      <c r="I7510" s="1092"/>
    </row>
    <row r="7511" spans="8:9">
      <c r="H7511" s="1092"/>
      <c r="I7511" s="1092"/>
    </row>
    <row r="7512" spans="8:9">
      <c r="H7512" s="1092"/>
      <c r="I7512" s="1092"/>
    </row>
    <row r="7513" spans="8:9">
      <c r="H7513" s="1092"/>
      <c r="I7513" s="1092"/>
    </row>
    <row r="7514" spans="8:9">
      <c r="H7514" s="1092"/>
      <c r="I7514" s="1092"/>
    </row>
    <row r="7515" spans="8:9">
      <c r="H7515" s="1092"/>
      <c r="I7515" s="1092"/>
    </row>
    <row r="7516" spans="8:9">
      <c r="H7516" s="1092"/>
      <c r="I7516" s="1092"/>
    </row>
    <row r="7517" spans="8:9">
      <c r="H7517" s="1092"/>
      <c r="I7517" s="1092"/>
    </row>
    <row r="7518" spans="8:9">
      <c r="H7518" s="1092"/>
      <c r="I7518" s="1092"/>
    </row>
    <row r="7519" spans="8:9">
      <c r="H7519" s="1092"/>
      <c r="I7519" s="1092"/>
    </row>
    <row r="7520" spans="8:9">
      <c r="H7520" s="1092"/>
      <c r="I7520" s="1092"/>
    </row>
    <row r="7521" spans="8:9">
      <c r="H7521" s="1092"/>
      <c r="I7521" s="1092"/>
    </row>
    <row r="7522" spans="8:9">
      <c r="H7522" s="1092"/>
      <c r="I7522" s="1092"/>
    </row>
    <row r="7523" spans="8:9">
      <c r="H7523" s="1092"/>
      <c r="I7523" s="1092"/>
    </row>
    <row r="7524" spans="8:9">
      <c r="H7524" s="1092"/>
      <c r="I7524" s="1092"/>
    </row>
    <row r="7525" spans="8:9">
      <c r="H7525" s="1092"/>
      <c r="I7525" s="1092"/>
    </row>
    <row r="7526" spans="8:9">
      <c r="H7526" s="1092"/>
      <c r="I7526" s="1092"/>
    </row>
    <row r="7527" spans="8:9">
      <c r="H7527" s="1092"/>
      <c r="I7527" s="1092"/>
    </row>
    <row r="7528" spans="8:9">
      <c r="H7528" s="1092"/>
      <c r="I7528" s="1092"/>
    </row>
    <row r="7529" spans="8:9">
      <c r="H7529" s="1092"/>
      <c r="I7529" s="1092"/>
    </row>
    <row r="7530" spans="8:9">
      <c r="H7530" s="1092"/>
      <c r="I7530" s="1092"/>
    </row>
    <row r="7531" spans="8:9">
      <c r="H7531" s="1092"/>
      <c r="I7531" s="1092"/>
    </row>
    <row r="7532" spans="8:9">
      <c r="H7532" s="1092"/>
      <c r="I7532" s="1092"/>
    </row>
    <row r="7533" spans="8:9">
      <c r="H7533" s="1092"/>
      <c r="I7533" s="1092"/>
    </row>
    <row r="7534" spans="8:9">
      <c r="H7534" s="1092"/>
      <c r="I7534" s="1092"/>
    </row>
    <row r="7535" spans="8:9">
      <c r="H7535" s="1092"/>
      <c r="I7535" s="1092"/>
    </row>
    <row r="7536" spans="8:9">
      <c r="H7536" s="1092"/>
      <c r="I7536" s="1092"/>
    </row>
    <row r="7537" spans="8:9">
      <c r="H7537" s="1092"/>
      <c r="I7537" s="1092"/>
    </row>
    <row r="7538" spans="8:9">
      <c r="H7538" s="1092"/>
      <c r="I7538" s="1092"/>
    </row>
    <row r="7539" spans="8:9">
      <c r="H7539" s="1092"/>
      <c r="I7539" s="1092"/>
    </row>
    <row r="7540" spans="8:9">
      <c r="H7540" s="1092"/>
      <c r="I7540" s="1092"/>
    </row>
    <row r="7541" spans="8:9">
      <c r="H7541" s="1092"/>
      <c r="I7541" s="1092"/>
    </row>
    <row r="7542" spans="8:9">
      <c r="H7542" s="1092"/>
      <c r="I7542" s="1092"/>
    </row>
    <row r="7543" spans="8:9">
      <c r="H7543" s="1092"/>
      <c r="I7543" s="1092"/>
    </row>
    <row r="7544" spans="8:9">
      <c r="H7544" s="1092"/>
      <c r="I7544" s="1092"/>
    </row>
    <row r="7545" spans="8:9">
      <c r="H7545" s="1092"/>
      <c r="I7545" s="1092"/>
    </row>
    <row r="7546" spans="8:9">
      <c r="H7546" s="1092"/>
      <c r="I7546" s="1092"/>
    </row>
    <row r="7547" spans="8:9">
      <c r="H7547" s="1092"/>
      <c r="I7547" s="1092"/>
    </row>
    <row r="7548" spans="8:9">
      <c r="H7548" s="1092"/>
      <c r="I7548" s="1092"/>
    </row>
    <row r="7549" spans="8:9">
      <c r="H7549" s="1092"/>
      <c r="I7549" s="1092"/>
    </row>
    <row r="7550" spans="8:9">
      <c r="H7550" s="1092"/>
      <c r="I7550" s="1092"/>
    </row>
    <row r="7551" spans="8:9">
      <c r="H7551" s="1092"/>
      <c r="I7551" s="1092"/>
    </row>
    <row r="7552" spans="8:9">
      <c r="H7552" s="1092"/>
      <c r="I7552" s="1092"/>
    </row>
    <row r="7553" spans="8:9">
      <c r="H7553" s="1092"/>
      <c r="I7553" s="1092"/>
    </row>
    <row r="7554" spans="8:9">
      <c r="H7554" s="1092"/>
      <c r="I7554" s="1092"/>
    </row>
    <row r="7555" spans="8:9">
      <c r="H7555" s="1092"/>
      <c r="I7555" s="1092"/>
    </row>
    <row r="7556" spans="8:9">
      <c r="H7556" s="1092"/>
      <c r="I7556" s="1092"/>
    </row>
    <row r="7557" spans="8:9">
      <c r="H7557" s="1092"/>
      <c r="I7557" s="1092"/>
    </row>
    <row r="7558" spans="8:9">
      <c r="H7558" s="1092"/>
      <c r="I7558" s="1092"/>
    </row>
    <row r="7559" spans="8:9">
      <c r="H7559" s="1092"/>
      <c r="I7559" s="1092"/>
    </row>
    <row r="7560" spans="8:9">
      <c r="H7560" s="1092"/>
      <c r="I7560" s="1092"/>
    </row>
    <row r="7561" spans="8:9">
      <c r="H7561" s="1092"/>
      <c r="I7561" s="1092"/>
    </row>
    <row r="7562" spans="8:9">
      <c r="H7562" s="1092"/>
      <c r="I7562" s="1092"/>
    </row>
    <row r="7563" spans="8:9">
      <c r="H7563" s="1092"/>
      <c r="I7563" s="1092"/>
    </row>
    <row r="7564" spans="8:9">
      <c r="H7564" s="1092"/>
      <c r="I7564" s="1092"/>
    </row>
    <row r="7565" spans="8:9">
      <c r="H7565" s="1092"/>
      <c r="I7565" s="1092"/>
    </row>
    <row r="7566" spans="8:9">
      <c r="H7566" s="1092"/>
      <c r="I7566" s="1092"/>
    </row>
    <row r="7567" spans="8:9">
      <c r="H7567" s="1092"/>
      <c r="I7567" s="1092"/>
    </row>
    <row r="7568" spans="8:9">
      <c r="H7568" s="1092"/>
      <c r="I7568" s="1092"/>
    </row>
    <row r="7569" spans="8:9">
      <c r="H7569" s="1092"/>
      <c r="I7569" s="1092"/>
    </row>
    <row r="7570" spans="8:9">
      <c r="H7570" s="1092"/>
      <c r="I7570" s="1092"/>
    </row>
    <row r="7571" spans="8:9">
      <c r="H7571" s="1092"/>
      <c r="I7571" s="1092"/>
    </row>
    <row r="7572" spans="8:9">
      <c r="H7572" s="1092"/>
      <c r="I7572" s="1092"/>
    </row>
    <row r="7573" spans="8:9">
      <c r="H7573" s="1092"/>
      <c r="I7573" s="1092"/>
    </row>
    <row r="7574" spans="8:9">
      <c r="H7574" s="1092"/>
      <c r="I7574" s="1092"/>
    </row>
    <row r="7575" spans="8:9">
      <c r="H7575" s="1092"/>
      <c r="I7575" s="1092"/>
    </row>
    <row r="7576" spans="8:9">
      <c r="H7576" s="1092"/>
      <c r="I7576" s="1092"/>
    </row>
    <row r="7577" spans="8:9">
      <c r="H7577" s="1092"/>
      <c r="I7577" s="1092"/>
    </row>
    <row r="7578" spans="8:9">
      <c r="H7578" s="1092"/>
      <c r="I7578" s="1092"/>
    </row>
    <row r="7579" spans="8:9">
      <c r="H7579" s="1092"/>
      <c r="I7579" s="1092"/>
    </row>
    <row r="7580" spans="8:9">
      <c r="H7580" s="1092"/>
      <c r="I7580" s="1092"/>
    </row>
    <row r="7581" spans="8:9">
      <c r="H7581" s="1092"/>
      <c r="I7581" s="1092"/>
    </row>
    <row r="7582" spans="8:9">
      <c r="H7582" s="1092"/>
      <c r="I7582" s="1092"/>
    </row>
    <row r="7583" spans="8:9">
      <c r="H7583" s="1092"/>
      <c r="I7583" s="1092"/>
    </row>
    <row r="7584" spans="8:9">
      <c r="H7584" s="1092"/>
      <c r="I7584" s="1092"/>
    </row>
    <row r="7585" spans="8:9">
      <c r="H7585" s="1092"/>
      <c r="I7585" s="1092"/>
    </row>
    <row r="7586" spans="8:9">
      <c r="H7586" s="1092"/>
      <c r="I7586" s="1092"/>
    </row>
    <row r="7587" spans="8:9">
      <c r="H7587" s="1092"/>
      <c r="I7587" s="1092"/>
    </row>
    <row r="7588" spans="8:9">
      <c r="H7588" s="1092"/>
      <c r="I7588" s="1092"/>
    </row>
    <row r="7589" spans="8:9">
      <c r="H7589" s="1092"/>
      <c r="I7589" s="1092"/>
    </row>
    <row r="7590" spans="8:9">
      <c r="H7590" s="1092"/>
      <c r="I7590" s="1092"/>
    </row>
    <row r="7591" spans="8:9">
      <c r="H7591" s="1092"/>
      <c r="I7591" s="1092"/>
    </row>
    <row r="7592" spans="8:9">
      <c r="H7592" s="1092"/>
      <c r="I7592" s="1092"/>
    </row>
    <row r="7593" spans="8:9">
      <c r="H7593" s="1092"/>
      <c r="I7593" s="1092"/>
    </row>
    <row r="7594" spans="8:9">
      <c r="H7594" s="1092"/>
      <c r="I7594" s="1092"/>
    </row>
    <row r="7595" spans="8:9">
      <c r="H7595" s="1092"/>
      <c r="I7595" s="1092"/>
    </row>
    <row r="7596" spans="8:9">
      <c r="H7596" s="1092"/>
      <c r="I7596" s="1092"/>
    </row>
    <row r="7597" spans="8:9">
      <c r="H7597" s="1092"/>
      <c r="I7597" s="1092"/>
    </row>
    <row r="7598" spans="8:9">
      <c r="H7598" s="1092"/>
      <c r="I7598" s="1092"/>
    </row>
    <row r="7599" spans="8:9">
      <c r="H7599" s="1092"/>
      <c r="I7599" s="1092"/>
    </row>
    <row r="7600" spans="8:9">
      <c r="H7600" s="1092"/>
      <c r="I7600" s="1092"/>
    </row>
    <row r="7601" spans="8:9">
      <c r="H7601" s="1092"/>
      <c r="I7601" s="1092"/>
    </row>
    <row r="7602" spans="8:9">
      <c r="H7602" s="1092"/>
      <c r="I7602" s="1092"/>
    </row>
    <row r="7603" spans="8:9">
      <c r="H7603" s="1092"/>
      <c r="I7603" s="1092"/>
    </row>
    <row r="7604" spans="8:9">
      <c r="H7604" s="1092"/>
      <c r="I7604" s="1092"/>
    </row>
    <row r="7605" spans="8:9">
      <c r="H7605" s="1092"/>
      <c r="I7605" s="1092"/>
    </row>
    <row r="7606" spans="8:9">
      <c r="H7606" s="1092"/>
      <c r="I7606" s="1092"/>
    </row>
    <row r="7607" spans="8:9">
      <c r="H7607" s="1092"/>
      <c r="I7607" s="1092"/>
    </row>
    <row r="7608" spans="8:9">
      <c r="H7608" s="1092"/>
      <c r="I7608" s="1092"/>
    </row>
    <row r="7609" spans="8:9">
      <c r="H7609" s="1092"/>
      <c r="I7609" s="1092"/>
    </row>
    <row r="7610" spans="8:9">
      <c r="H7610" s="1092"/>
      <c r="I7610" s="1092"/>
    </row>
    <row r="7611" spans="8:9">
      <c r="H7611" s="1092"/>
      <c r="I7611" s="1092"/>
    </row>
    <row r="7612" spans="8:9">
      <c r="H7612" s="1092"/>
      <c r="I7612" s="1092"/>
    </row>
    <row r="7613" spans="8:9">
      <c r="H7613" s="1092"/>
      <c r="I7613" s="1092"/>
    </row>
    <row r="7614" spans="8:9">
      <c r="H7614" s="1092"/>
      <c r="I7614" s="1092"/>
    </row>
    <row r="7615" spans="8:9">
      <c r="H7615" s="1092"/>
      <c r="I7615" s="1092"/>
    </row>
    <row r="7616" spans="8:9">
      <c r="H7616" s="1092"/>
      <c r="I7616" s="1092"/>
    </row>
    <row r="7617" spans="8:9">
      <c r="H7617" s="1092"/>
      <c r="I7617" s="1092"/>
    </row>
    <row r="7618" spans="8:9">
      <c r="H7618" s="1092"/>
      <c r="I7618" s="1092"/>
    </row>
    <row r="7619" spans="8:9">
      <c r="H7619" s="1092"/>
      <c r="I7619" s="1092"/>
    </row>
    <row r="7620" spans="8:9">
      <c r="H7620" s="1092"/>
      <c r="I7620" s="1092"/>
    </row>
    <row r="7621" spans="8:9">
      <c r="H7621" s="1092"/>
      <c r="I7621" s="1092"/>
    </row>
    <row r="7622" spans="8:9">
      <c r="H7622" s="1092"/>
      <c r="I7622" s="1092"/>
    </row>
    <row r="7623" spans="8:9">
      <c r="H7623" s="1092"/>
      <c r="I7623" s="1092"/>
    </row>
    <row r="7624" spans="8:9">
      <c r="H7624" s="1092"/>
      <c r="I7624" s="1092"/>
    </row>
    <row r="7625" spans="8:9">
      <c r="H7625" s="1092"/>
      <c r="I7625" s="1092"/>
    </row>
    <row r="7626" spans="8:9">
      <c r="H7626" s="1092"/>
      <c r="I7626" s="1092"/>
    </row>
    <row r="7627" spans="8:9">
      <c r="H7627" s="1092"/>
      <c r="I7627" s="1092"/>
    </row>
    <row r="7628" spans="8:9">
      <c r="H7628" s="1092"/>
      <c r="I7628" s="1092"/>
    </row>
    <row r="7629" spans="8:9">
      <c r="H7629" s="1092"/>
      <c r="I7629" s="1092"/>
    </row>
    <row r="7630" spans="8:9">
      <c r="H7630" s="1092"/>
      <c r="I7630" s="1092"/>
    </row>
    <row r="7631" spans="8:9">
      <c r="H7631" s="1092"/>
      <c r="I7631" s="1092"/>
    </row>
    <row r="7632" spans="8:9">
      <c r="H7632" s="1092"/>
      <c r="I7632" s="1092"/>
    </row>
    <row r="7633" spans="8:9">
      <c r="H7633" s="1092"/>
      <c r="I7633" s="1092"/>
    </row>
    <row r="7634" spans="8:9">
      <c r="H7634" s="1092"/>
      <c r="I7634" s="1092"/>
    </row>
    <row r="7635" spans="8:9">
      <c r="H7635" s="1092"/>
      <c r="I7635" s="1092"/>
    </row>
    <row r="7636" spans="8:9">
      <c r="H7636" s="1092"/>
      <c r="I7636" s="1092"/>
    </row>
    <row r="7637" spans="8:9">
      <c r="H7637" s="1092"/>
      <c r="I7637" s="1092"/>
    </row>
    <row r="7638" spans="8:9">
      <c r="H7638" s="1092"/>
      <c r="I7638" s="1092"/>
    </row>
    <row r="7639" spans="8:9">
      <c r="H7639" s="1092"/>
      <c r="I7639" s="1092"/>
    </row>
    <row r="7640" spans="8:9">
      <c r="H7640" s="1092"/>
      <c r="I7640" s="1092"/>
    </row>
    <row r="7641" spans="8:9">
      <c r="H7641" s="1092"/>
      <c r="I7641" s="1092"/>
    </row>
    <row r="7642" spans="8:9">
      <c r="H7642" s="1092"/>
      <c r="I7642" s="1092"/>
    </row>
    <row r="7643" spans="8:9">
      <c r="H7643" s="1092"/>
      <c r="I7643" s="1092"/>
    </row>
    <row r="7644" spans="8:9">
      <c r="H7644" s="1092"/>
      <c r="I7644" s="1092"/>
    </row>
    <row r="7645" spans="8:9">
      <c r="H7645" s="1092"/>
      <c r="I7645" s="1092"/>
    </row>
    <row r="7646" spans="8:9">
      <c r="H7646" s="1092"/>
      <c r="I7646" s="1092"/>
    </row>
    <row r="7647" spans="8:9">
      <c r="H7647" s="1092"/>
      <c r="I7647" s="1092"/>
    </row>
    <row r="7648" spans="8:9">
      <c r="H7648" s="1092"/>
      <c r="I7648" s="1092"/>
    </row>
    <row r="7649" spans="8:9">
      <c r="H7649" s="1092"/>
      <c r="I7649" s="1092"/>
    </row>
    <row r="7650" spans="8:9">
      <c r="H7650" s="1092"/>
      <c r="I7650" s="1092"/>
    </row>
    <row r="7651" spans="8:9">
      <c r="H7651" s="1092"/>
      <c r="I7651" s="1092"/>
    </row>
    <row r="7652" spans="8:9">
      <c r="H7652" s="1092"/>
      <c r="I7652" s="1092"/>
    </row>
    <row r="7653" spans="8:9">
      <c r="H7653" s="1092"/>
      <c r="I7653" s="1092"/>
    </row>
    <row r="7654" spans="8:9">
      <c r="H7654" s="1092"/>
      <c r="I7654" s="1092"/>
    </row>
    <row r="7655" spans="8:9">
      <c r="H7655" s="1092"/>
      <c r="I7655" s="1092"/>
    </row>
    <row r="7656" spans="8:9">
      <c r="H7656" s="1092"/>
      <c r="I7656" s="1092"/>
    </row>
    <row r="7657" spans="8:9">
      <c r="H7657" s="1092"/>
      <c r="I7657" s="1092"/>
    </row>
    <row r="7658" spans="8:9">
      <c r="H7658" s="1092"/>
      <c r="I7658" s="1092"/>
    </row>
    <row r="7659" spans="8:9">
      <c r="H7659" s="1092"/>
      <c r="I7659" s="1092"/>
    </row>
    <row r="7660" spans="8:9">
      <c r="H7660" s="1092"/>
      <c r="I7660" s="1092"/>
    </row>
    <row r="7661" spans="8:9">
      <c r="H7661" s="1092"/>
      <c r="I7661" s="1092"/>
    </row>
    <row r="7662" spans="8:9">
      <c r="H7662" s="1092"/>
      <c r="I7662" s="1092"/>
    </row>
    <row r="7663" spans="8:9">
      <c r="H7663" s="1092"/>
      <c r="I7663" s="1092"/>
    </row>
    <row r="7664" spans="8:9">
      <c r="H7664" s="1092"/>
      <c r="I7664" s="1092"/>
    </row>
    <row r="7665" spans="8:9">
      <c r="H7665" s="1092"/>
      <c r="I7665" s="1092"/>
    </row>
    <row r="7666" spans="8:9">
      <c r="H7666" s="1092"/>
      <c r="I7666" s="1092"/>
    </row>
    <row r="7667" spans="8:9">
      <c r="H7667" s="1092"/>
      <c r="I7667" s="1092"/>
    </row>
    <row r="7668" spans="8:9">
      <c r="H7668" s="1092"/>
      <c r="I7668" s="1092"/>
    </row>
    <row r="7669" spans="8:9">
      <c r="H7669" s="1092"/>
      <c r="I7669" s="1092"/>
    </row>
    <row r="7670" spans="8:9">
      <c r="H7670" s="1092"/>
      <c r="I7670" s="1092"/>
    </row>
    <row r="7671" spans="8:9">
      <c r="H7671" s="1092"/>
      <c r="I7671" s="1092"/>
    </row>
    <row r="7672" spans="8:9">
      <c r="H7672" s="1092"/>
      <c r="I7672" s="1092"/>
    </row>
    <row r="7673" spans="8:9">
      <c r="H7673" s="1092"/>
      <c r="I7673" s="1092"/>
    </row>
    <row r="7674" spans="8:9">
      <c r="H7674" s="1092"/>
      <c r="I7674" s="1092"/>
    </row>
    <row r="7675" spans="8:9">
      <c r="H7675" s="1092"/>
      <c r="I7675" s="1092"/>
    </row>
    <row r="7676" spans="8:9">
      <c r="H7676" s="1092"/>
      <c r="I7676" s="1092"/>
    </row>
    <row r="7677" spans="8:9">
      <c r="H7677" s="1092"/>
      <c r="I7677" s="1092"/>
    </row>
    <row r="7678" spans="8:9">
      <c r="H7678" s="1092"/>
      <c r="I7678" s="1092"/>
    </row>
    <row r="7679" spans="8:9">
      <c r="H7679" s="1092"/>
      <c r="I7679" s="1092"/>
    </row>
    <row r="7680" spans="8:9">
      <c r="H7680" s="1092"/>
      <c r="I7680" s="1092"/>
    </row>
    <row r="7681" spans="8:9">
      <c r="H7681" s="1092"/>
      <c r="I7681" s="1092"/>
    </row>
    <row r="7682" spans="8:9">
      <c r="H7682" s="1092"/>
      <c r="I7682" s="1092"/>
    </row>
    <row r="7683" spans="8:9">
      <c r="H7683" s="1092"/>
      <c r="I7683" s="1092"/>
    </row>
    <row r="7684" spans="8:9">
      <c r="H7684" s="1092"/>
      <c r="I7684" s="1092"/>
    </row>
    <row r="7685" spans="8:9">
      <c r="H7685" s="1092"/>
      <c r="I7685" s="1092"/>
    </row>
    <row r="7686" spans="8:9">
      <c r="H7686" s="1092"/>
      <c r="I7686" s="1092"/>
    </row>
    <row r="7687" spans="8:9">
      <c r="H7687" s="1092"/>
      <c r="I7687" s="1092"/>
    </row>
    <row r="7688" spans="8:9">
      <c r="H7688" s="1092"/>
      <c r="I7688" s="1092"/>
    </row>
    <row r="7689" spans="8:9">
      <c r="H7689" s="1092"/>
      <c r="I7689" s="1092"/>
    </row>
    <row r="7690" spans="8:9">
      <c r="H7690" s="1092"/>
      <c r="I7690" s="1092"/>
    </row>
    <row r="7691" spans="8:9">
      <c r="H7691" s="1092"/>
      <c r="I7691" s="1092"/>
    </row>
    <row r="7692" spans="8:9">
      <c r="H7692" s="1092"/>
      <c r="I7692" s="1092"/>
    </row>
    <row r="7693" spans="8:9">
      <c r="H7693" s="1092"/>
      <c r="I7693" s="1092"/>
    </row>
    <row r="7694" spans="8:9">
      <c r="H7694" s="1092"/>
      <c r="I7694" s="1092"/>
    </row>
    <row r="7695" spans="8:9">
      <c r="H7695" s="1092"/>
      <c r="I7695" s="1092"/>
    </row>
    <row r="7696" spans="8:9">
      <c r="H7696" s="1092"/>
      <c r="I7696" s="1092"/>
    </row>
    <row r="7697" spans="8:9">
      <c r="H7697" s="1092"/>
      <c r="I7697" s="1092"/>
    </row>
    <row r="7698" spans="8:9">
      <c r="H7698" s="1092"/>
      <c r="I7698" s="1092"/>
    </row>
    <row r="7699" spans="8:9">
      <c r="H7699" s="1092"/>
      <c r="I7699" s="1092"/>
    </row>
    <row r="7700" spans="8:9">
      <c r="H7700" s="1092"/>
      <c r="I7700" s="1092"/>
    </row>
    <row r="7701" spans="8:9">
      <c r="H7701" s="1092"/>
      <c r="I7701" s="1092"/>
    </row>
    <row r="7702" spans="8:9">
      <c r="H7702" s="1092"/>
      <c r="I7702" s="1092"/>
    </row>
    <row r="7703" spans="8:9">
      <c r="H7703" s="1092"/>
      <c r="I7703" s="1092"/>
    </row>
    <row r="7704" spans="8:9">
      <c r="H7704" s="1092"/>
      <c r="I7704" s="1092"/>
    </row>
    <row r="7705" spans="8:9">
      <c r="H7705" s="1092"/>
      <c r="I7705" s="1092"/>
    </row>
    <row r="7706" spans="8:9">
      <c r="H7706" s="1092"/>
      <c r="I7706" s="1092"/>
    </row>
    <row r="7707" spans="8:9">
      <c r="H7707" s="1092"/>
      <c r="I7707" s="1092"/>
    </row>
    <row r="7708" spans="8:9">
      <c r="H7708" s="1092"/>
      <c r="I7708" s="1092"/>
    </row>
    <row r="7709" spans="8:9">
      <c r="H7709" s="1092"/>
      <c r="I7709" s="1092"/>
    </row>
    <row r="7710" spans="8:9">
      <c r="H7710" s="1092"/>
      <c r="I7710" s="1092"/>
    </row>
    <row r="7711" spans="8:9">
      <c r="H7711" s="1092"/>
      <c r="I7711" s="1092"/>
    </row>
    <row r="7712" spans="8:9">
      <c r="H7712" s="1092"/>
      <c r="I7712" s="1092"/>
    </row>
    <row r="7713" spans="8:9">
      <c r="H7713" s="1092"/>
      <c r="I7713" s="1092"/>
    </row>
    <row r="7714" spans="8:9">
      <c r="H7714" s="1092"/>
      <c r="I7714" s="1092"/>
    </row>
    <row r="7715" spans="8:9">
      <c r="H7715" s="1092"/>
      <c r="I7715" s="1092"/>
    </row>
    <row r="7716" spans="8:9">
      <c r="H7716" s="1092"/>
      <c r="I7716" s="1092"/>
    </row>
    <row r="7717" spans="8:9">
      <c r="H7717" s="1092"/>
      <c r="I7717" s="1092"/>
    </row>
    <row r="7718" spans="8:9">
      <c r="H7718" s="1092"/>
      <c r="I7718" s="1092"/>
    </row>
    <row r="7719" spans="8:9">
      <c r="H7719" s="1092"/>
      <c r="I7719" s="1092"/>
    </row>
    <row r="7720" spans="8:9">
      <c r="H7720" s="1092"/>
      <c r="I7720" s="1092"/>
    </row>
    <row r="7721" spans="8:9">
      <c r="H7721" s="1092"/>
      <c r="I7721" s="1092"/>
    </row>
    <row r="7722" spans="8:9">
      <c r="H7722" s="1092"/>
      <c r="I7722" s="1092"/>
    </row>
    <row r="7723" spans="8:9">
      <c r="H7723" s="1092"/>
      <c r="I7723" s="1092"/>
    </row>
    <row r="7724" spans="8:9">
      <c r="H7724" s="1092"/>
      <c r="I7724" s="1092"/>
    </row>
    <row r="7725" spans="8:9">
      <c r="H7725" s="1092"/>
      <c r="I7725" s="1092"/>
    </row>
    <row r="7726" spans="8:9">
      <c r="H7726" s="1092"/>
      <c r="I7726" s="1092"/>
    </row>
    <row r="7727" spans="8:9">
      <c r="H7727" s="1092"/>
      <c r="I7727" s="1092"/>
    </row>
    <row r="7728" spans="8:9">
      <c r="H7728" s="1092"/>
      <c r="I7728" s="1092"/>
    </row>
    <row r="7729" spans="8:9">
      <c r="H7729" s="1092"/>
      <c r="I7729" s="1092"/>
    </row>
    <row r="7730" spans="8:9">
      <c r="H7730" s="1092"/>
      <c r="I7730" s="1092"/>
    </row>
    <row r="7731" spans="8:9">
      <c r="H7731" s="1092"/>
      <c r="I7731" s="1092"/>
    </row>
    <row r="7732" spans="8:9">
      <c r="H7732" s="1092"/>
      <c r="I7732" s="1092"/>
    </row>
    <row r="7733" spans="8:9">
      <c r="H7733" s="1092"/>
      <c r="I7733" s="1092"/>
    </row>
    <row r="7734" spans="8:9">
      <c r="H7734" s="1092"/>
      <c r="I7734" s="1092"/>
    </row>
    <row r="7735" spans="8:9">
      <c r="H7735" s="1092"/>
      <c r="I7735" s="1092"/>
    </row>
    <row r="7736" spans="8:9">
      <c r="H7736" s="1092"/>
      <c r="I7736" s="1092"/>
    </row>
    <row r="7737" spans="8:9">
      <c r="H7737" s="1092"/>
      <c r="I7737" s="1092"/>
    </row>
    <row r="7738" spans="8:9">
      <c r="H7738" s="1092"/>
      <c r="I7738" s="1092"/>
    </row>
    <row r="7739" spans="8:9">
      <c r="H7739" s="1092"/>
      <c r="I7739" s="1092"/>
    </row>
    <row r="7740" spans="8:9">
      <c r="H7740" s="1092"/>
      <c r="I7740" s="1092"/>
    </row>
    <row r="7741" spans="8:9">
      <c r="H7741" s="1092"/>
      <c r="I7741" s="1092"/>
    </row>
    <row r="7742" spans="8:9">
      <c r="H7742" s="1092"/>
      <c r="I7742" s="1092"/>
    </row>
    <row r="7743" spans="8:9">
      <c r="H7743" s="1092"/>
      <c r="I7743" s="1092"/>
    </row>
    <row r="7744" spans="8:9">
      <c r="H7744" s="1092"/>
      <c r="I7744" s="1092"/>
    </row>
    <row r="7745" spans="8:9">
      <c r="H7745" s="1092"/>
      <c r="I7745" s="1092"/>
    </row>
    <row r="7746" spans="8:9">
      <c r="H7746" s="1092"/>
      <c r="I7746" s="1092"/>
    </row>
    <row r="7747" spans="8:9">
      <c r="H7747" s="1092"/>
      <c r="I7747" s="1092"/>
    </row>
    <row r="7748" spans="8:9">
      <c r="H7748" s="1092"/>
      <c r="I7748" s="1092"/>
    </row>
    <row r="7749" spans="8:9">
      <c r="H7749" s="1092"/>
      <c r="I7749" s="1092"/>
    </row>
    <row r="7750" spans="8:9">
      <c r="H7750" s="1092"/>
      <c r="I7750" s="1092"/>
    </row>
    <row r="7751" spans="8:9">
      <c r="H7751" s="1092"/>
      <c r="I7751" s="1092"/>
    </row>
    <row r="7752" spans="8:9">
      <c r="H7752" s="1092"/>
      <c r="I7752" s="1092"/>
    </row>
    <row r="7753" spans="8:9">
      <c r="H7753" s="1092"/>
      <c r="I7753" s="1092"/>
    </row>
    <row r="7754" spans="8:9">
      <c r="H7754" s="1092"/>
      <c r="I7754" s="1092"/>
    </row>
    <row r="7755" spans="8:9">
      <c r="H7755" s="1092"/>
      <c r="I7755" s="1092"/>
    </row>
    <row r="7756" spans="8:9">
      <c r="H7756" s="1092"/>
      <c r="I7756" s="1092"/>
    </row>
    <row r="7757" spans="8:9">
      <c r="H7757" s="1092"/>
      <c r="I7757" s="1092"/>
    </row>
    <row r="7758" spans="8:9">
      <c r="H7758" s="1092"/>
      <c r="I7758" s="1092"/>
    </row>
    <row r="7759" spans="8:9">
      <c r="H7759" s="1092"/>
      <c r="I7759" s="1092"/>
    </row>
    <row r="7760" spans="8:9">
      <c r="H7760" s="1092"/>
      <c r="I7760" s="1092"/>
    </row>
    <row r="7761" spans="8:9">
      <c r="H7761" s="1092"/>
      <c r="I7761" s="1092"/>
    </row>
    <row r="7762" spans="8:9">
      <c r="H7762" s="1092"/>
      <c r="I7762" s="1092"/>
    </row>
    <row r="7763" spans="8:9">
      <c r="H7763" s="1092"/>
      <c r="I7763" s="1092"/>
    </row>
    <row r="7764" spans="8:9">
      <c r="H7764" s="1092"/>
      <c r="I7764" s="1092"/>
    </row>
    <row r="7765" spans="8:9">
      <c r="H7765" s="1092"/>
      <c r="I7765" s="1092"/>
    </row>
    <row r="7766" spans="8:9">
      <c r="H7766" s="1092"/>
      <c r="I7766" s="1092"/>
    </row>
    <row r="7767" spans="8:9">
      <c r="H7767" s="1092"/>
      <c r="I7767" s="1092"/>
    </row>
    <row r="7768" spans="8:9">
      <c r="H7768" s="1092"/>
      <c r="I7768" s="1092"/>
    </row>
    <row r="7769" spans="8:9">
      <c r="H7769" s="1092"/>
      <c r="I7769" s="1092"/>
    </row>
    <row r="7770" spans="8:9">
      <c r="H7770" s="1092"/>
      <c r="I7770" s="1092"/>
    </row>
    <row r="7771" spans="8:9">
      <c r="H7771" s="1092"/>
      <c r="I7771" s="1092"/>
    </row>
    <row r="7772" spans="8:9">
      <c r="H7772" s="1092"/>
      <c r="I7772" s="1092"/>
    </row>
    <row r="7773" spans="8:9">
      <c r="H7773" s="1092"/>
      <c r="I7773" s="1092"/>
    </row>
    <row r="7774" spans="8:9">
      <c r="H7774" s="1092"/>
      <c r="I7774" s="1092"/>
    </row>
    <row r="7775" spans="8:9">
      <c r="H7775" s="1092"/>
      <c r="I7775" s="1092"/>
    </row>
    <row r="7776" spans="8:9">
      <c r="H7776" s="1092"/>
      <c r="I7776" s="1092"/>
    </row>
    <row r="7777" spans="8:9">
      <c r="H7777" s="1092"/>
      <c r="I7777" s="1092"/>
    </row>
    <row r="7778" spans="8:9">
      <c r="H7778" s="1092"/>
      <c r="I7778" s="1092"/>
    </row>
    <row r="7779" spans="8:9">
      <c r="H7779" s="1092"/>
      <c r="I7779" s="1092"/>
    </row>
    <row r="7780" spans="8:9">
      <c r="H7780" s="1092"/>
      <c r="I7780" s="1092"/>
    </row>
    <row r="7781" spans="8:9">
      <c r="H7781" s="1092"/>
      <c r="I7781" s="1092"/>
    </row>
    <row r="7782" spans="8:9">
      <c r="H7782" s="1092"/>
      <c r="I7782" s="1092"/>
    </row>
    <row r="7783" spans="8:9">
      <c r="H7783" s="1092"/>
      <c r="I7783" s="1092"/>
    </row>
    <row r="7784" spans="8:9">
      <c r="H7784" s="1092"/>
      <c r="I7784" s="1092"/>
    </row>
    <row r="7785" spans="8:9">
      <c r="H7785" s="1092"/>
      <c r="I7785" s="1092"/>
    </row>
    <row r="7786" spans="8:9">
      <c r="H7786" s="1092"/>
      <c r="I7786" s="1092"/>
    </row>
    <row r="7787" spans="8:9">
      <c r="H7787" s="1092"/>
      <c r="I7787" s="1092"/>
    </row>
    <row r="7788" spans="8:9">
      <c r="H7788" s="1092"/>
      <c r="I7788" s="1092"/>
    </row>
    <row r="7789" spans="8:9">
      <c r="H7789" s="1092"/>
      <c r="I7789" s="1092"/>
    </row>
    <row r="7790" spans="8:9">
      <c r="H7790" s="1092"/>
      <c r="I7790" s="1092"/>
    </row>
    <row r="7791" spans="8:9">
      <c r="H7791" s="1092"/>
      <c r="I7791" s="1092"/>
    </row>
    <row r="7792" spans="8:9">
      <c r="H7792" s="1092"/>
      <c r="I7792" s="1092"/>
    </row>
    <row r="7793" spans="8:9">
      <c r="H7793" s="1092"/>
      <c r="I7793" s="1092"/>
    </row>
    <row r="7794" spans="8:9">
      <c r="H7794" s="1092"/>
      <c r="I7794" s="1092"/>
    </row>
    <row r="7795" spans="8:9">
      <c r="H7795" s="1092"/>
      <c r="I7795" s="1092"/>
    </row>
    <row r="7796" spans="8:9">
      <c r="H7796" s="1092"/>
      <c r="I7796" s="1092"/>
    </row>
    <row r="7797" spans="8:9">
      <c r="H7797" s="1092"/>
      <c r="I7797" s="1092"/>
    </row>
    <row r="7798" spans="8:9">
      <c r="H7798" s="1092"/>
      <c r="I7798" s="1092"/>
    </row>
    <row r="7799" spans="8:9">
      <c r="H7799" s="1092"/>
      <c r="I7799" s="1092"/>
    </row>
    <row r="7800" spans="8:9">
      <c r="H7800" s="1092"/>
      <c r="I7800" s="1092"/>
    </row>
    <row r="7801" spans="8:9">
      <c r="H7801" s="1092"/>
      <c r="I7801" s="1092"/>
    </row>
    <row r="7802" spans="8:9">
      <c r="H7802" s="1092"/>
      <c r="I7802" s="1092"/>
    </row>
    <row r="7803" spans="8:9">
      <c r="H7803" s="1092"/>
      <c r="I7803" s="1092"/>
    </row>
    <row r="7804" spans="8:9">
      <c r="H7804" s="1092"/>
      <c r="I7804" s="1092"/>
    </row>
    <row r="7805" spans="8:9">
      <c r="H7805" s="1092"/>
      <c r="I7805" s="1092"/>
    </row>
    <row r="7806" spans="8:9">
      <c r="H7806" s="1092"/>
      <c r="I7806" s="1092"/>
    </row>
    <row r="7807" spans="8:9">
      <c r="H7807" s="1092"/>
      <c r="I7807" s="1092"/>
    </row>
    <row r="7808" spans="8:9">
      <c r="H7808" s="1092"/>
      <c r="I7808" s="1092"/>
    </row>
    <row r="7809" spans="8:9">
      <c r="H7809" s="1092"/>
      <c r="I7809" s="1092"/>
    </row>
    <row r="7810" spans="8:9">
      <c r="H7810" s="1092"/>
      <c r="I7810" s="1092"/>
    </row>
    <row r="7811" spans="8:9">
      <c r="H7811" s="1092"/>
      <c r="I7811" s="1092"/>
    </row>
    <row r="7812" spans="8:9">
      <c r="H7812" s="1092"/>
      <c r="I7812" s="1092"/>
    </row>
    <row r="7813" spans="8:9">
      <c r="H7813" s="1092"/>
      <c r="I7813" s="1092"/>
    </row>
    <row r="7814" spans="8:9">
      <c r="H7814" s="1092"/>
      <c r="I7814" s="1092"/>
    </row>
    <row r="7815" spans="8:9">
      <c r="H7815" s="1092"/>
      <c r="I7815" s="1092"/>
    </row>
    <row r="7816" spans="8:9">
      <c r="H7816" s="1092"/>
      <c r="I7816" s="1092"/>
    </row>
    <row r="7817" spans="8:9">
      <c r="H7817" s="1092"/>
      <c r="I7817" s="1092"/>
    </row>
    <row r="7818" spans="8:9">
      <c r="H7818" s="1092"/>
      <c r="I7818" s="1092"/>
    </row>
    <row r="7819" spans="8:9">
      <c r="H7819" s="1092"/>
      <c r="I7819" s="1092"/>
    </row>
    <row r="7820" spans="8:9">
      <c r="H7820" s="1092"/>
      <c r="I7820" s="1092"/>
    </row>
    <row r="7821" spans="8:9">
      <c r="H7821" s="1092"/>
      <c r="I7821" s="1092"/>
    </row>
    <row r="7822" spans="8:9">
      <c r="H7822" s="1092"/>
      <c r="I7822" s="1092"/>
    </row>
    <row r="7823" spans="8:9">
      <c r="H7823" s="1092"/>
      <c r="I7823" s="1092"/>
    </row>
    <row r="7824" spans="8:9">
      <c r="H7824" s="1092"/>
      <c r="I7824" s="1092"/>
    </row>
    <row r="7825" spans="8:9">
      <c r="H7825" s="1092"/>
      <c r="I7825" s="1092"/>
    </row>
    <row r="7826" spans="8:9">
      <c r="H7826" s="1092"/>
      <c r="I7826" s="1092"/>
    </row>
    <row r="7827" spans="8:9">
      <c r="H7827" s="1092"/>
      <c r="I7827" s="1092"/>
    </row>
    <row r="7828" spans="8:9">
      <c r="H7828" s="1092"/>
      <c r="I7828" s="1092"/>
    </row>
    <row r="7829" spans="8:9">
      <c r="H7829" s="1092"/>
      <c r="I7829" s="1092"/>
    </row>
    <row r="7830" spans="8:9">
      <c r="H7830" s="1092"/>
      <c r="I7830" s="1092"/>
    </row>
    <row r="7831" spans="8:9">
      <c r="H7831" s="1092"/>
      <c r="I7831" s="1092"/>
    </row>
    <row r="7832" spans="8:9">
      <c r="H7832" s="1092"/>
      <c r="I7832" s="1092"/>
    </row>
    <row r="7833" spans="8:9">
      <c r="H7833" s="1092"/>
      <c r="I7833" s="1092"/>
    </row>
    <row r="7834" spans="8:9">
      <c r="H7834" s="1092"/>
      <c r="I7834" s="1092"/>
    </row>
    <row r="7835" spans="8:9">
      <c r="H7835" s="1092"/>
      <c r="I7835" s="1092"/>
    </row>
    <row r="7836" spans="8:9">
      <c r="H7836" s="1092"/>
      <c r="I7836" s="1092"/>
    </row>
    <row r="7837" spans="8:9">
      <c r="H7837" s="1092"/>
      <c r="I7837" s="1092"/>
    </row>
    <row r="7838" spans="8:9">
      <c r="H7838" s="1092"/>
      <c r="I7838" s="1092"/>
    </row>
    <row r="7839" spans="8:9">
      <c r="H7839" s="1092"/>
      <c r="I7839" s="1092"/>
    </row>
    <row r="7840" spans="8:9">
      <c r="H7840" s="1092"/>
      <c r="I7840" s="1092"/>
    </row>
    <row r="7841" spans="8:9">
      <c r="H7841" s="1092"/>
      <c r="I7841" s="1092"/>
    </row>
    <row r="7842" spans="8:9">
      <c r="H7842" s="1092"/>
      <c r="I7842" s="1092"/>
    </row>
    <row r="7843" spans="8:9">
      <c r="H7843" s="1092"/>
      <c r="I7843" s="1092"/>
    </row>
    <row r="7844" spans="8:9">
      <c r="H7844" s="1092"/>
      <c r="I7844" s="1092"/>
    </row>
    <row r="7845" spans="8:9">
      <c r="H7845" s="1092"/>
      <c r="I7845" s="1092"/>
    </row>
    <row r="7846" spans="8:9">
      <c r="H7846" s="1092"/>
      <c r="I7846" s="1092"/>
    </row>
    <row r="7847" spans="8:9">
      <c r="H7847" s="1092"/>
      <c r="I7847" s="1092"/>
    </row>
    <row r="7848" spans="8:9">
      <c r="H7848" s="1092"/>
      <c r="I7848" s="1092"/>
    </row>
    <row r="7849" spans="8:9">
      <c r="H7849" s="1092"/>
      <c r="I7849" s="1092"/>
    </row>
    <row r="7850" spans="8:9">
      <c r="H7850" s="1092"/>
      <c r="I7850" s="1092"/>
    </row>
    <row r="7851" spans="8:9">
      <c r="H7851" s="1092"/>
      <c r="I7851" s="1092"/>
    </row>
    <row r="7852" spans="8:9">
      <c r="H7852" s="1092"/>
      <c r="I7852" s="1092"/>
    </row>
    <row r="7853" spans="8:9">
      <c r="H7853" s="1092"/>
      <c r="I7853" s="1092"/>
    </row>
    <row r="7854" spans="8:9">
      <c r="H7854" s="1092"/>
      <c r="I7854" s="1092"/>
    </row>
    <row r="7855" spans="8:9">
      <c r="H7855" s="1092"/>
      <c r="I7855" s="1092"/>
    </row>
    <row r="7856" spans="8:9">
      <c r="H7856" s="1092"/>
      <c r="I7856" s="1092"/>
    </row>
    <row r="7857" spans="8:9">
      <c r="H7857" s="1092"/>
      <c r="I7857" s="1092"/>
    </row>
    <row r="7858" spans="8:9">
      <c r="H7858" s="1092"/>
      <c r="I7858" s="1092"/>
    </row>
    <row r="7859" spans="8:9">
      <c r="H7859" s="1092"/>
      <c r="I7859" s="1092"/>
    </row>
    <row r="7860" spans="8:9">
      <c r="H7860" s="1092"/>
      <c r="I7860" s="1092"/>
    </row>
    <row r="7861" spans="8:9">
      <c r="H7861" s="1092"/>
      <c r="I7861" s="1092"/>
    </row>
    <row r="7862" spans="8:9">
      <c r="H7862" s="1092"/>
      <c r="I7862" s="1092"/>
    </row>
    <row r="7863" spans="8:9">
      <c r="H7863" s="1092"/>
      <c r="I7863" s="1092"/>
    </row>
    <row r="7864" spans="8:9">
      <c r="H7864" s="1092"/>
      <c r="I7864" s="1092"/>
    </row>
    <row r="7865" spans="8:9">
      <c r="H7865" s="1092"/>
      <c r="I7865" s="1092"/>
    </row>
    <row r="7866" spans="8:9">
      <c r="H7866" s="1092"/>
      <c r="I7866" s="1092"/>
    </row>
    <row r="7867" spans="8:9">
      <c r="H7867" s="1092"/>
      <c r="I7867" s="1092"/>
    </row>
    <row r="7868" spans="8:9">
      <c r="H7868" s="1092"/>
      <c r="I7868" s="1092"/>
    </row>
    <row r="7869" spans="8:9">
      <c r="H7869" s="1092"/>
      <c r="I7869" s="1092"/>
    </row>
    <row r="7870" spans="8:9">
      <c r="H7870" s="1092"/>
      <c r="I7870" s="1092"/>
    </row>
    <row r="7871" spans="8:9">
      <c r="H7871" s="1092"/>
      <c r="I7871" s="1092"/>
    </row>
    <row r="7872" spans="8:9">
      <c r="H7872" s="1092"/>
      <c r="I7872" s="1092"/>
    </row>
    <row r="7873" spans="8:9">
      <c r="H7873" s="1092"/>
      <c r="I7873" s="1092"/>
    </row>
    <row r="7874" spans="8:9">
      <c r="H7874" s="1092"/>
      <c r="I7874" s="1092"/>
    </row>
    <row r="7875" spans="8:9">
      <c r="H7875" s="1092"/>
      <c r="I7875" s="1092"/>
    </row>
    <row r="7876" spans="8:9">
      <c r="H7876" s="1092"/>
      <c r="I7876" s="1092"/>
    </row>
    <row r="7877" spans="8:9">
      <c r="H7877" s="1092"/>
      <c r="I7877" s="1092"/>
    </row>
    <row r="7878" spans="8:9">
      <c r="H7878" s="1092"/>
      <c r="I7878" s="1092"/>
    </row>
    <row r="7879" spans="8:9">
      <c r="H7879" s="1092"/>
      <c r="I7879" s="1092"/>
    </row>
    <row r="7880" spans="8:9">
      <c r="H7880" s="1092"/>
      <c r="I7880" s="1092"/>
    </row>
    <row r="7881" spans="8:9">
      <c r="H7881" s="1092"/>
      <c r="I7881" s="1092"/>
    </row>
    <row r="7882" spans="8:9">
      <c r="H7882" s="1092"/>
      <c r="I7882" s="1092"/>
    </row>
    <row r="7883" spans="8:9">
      <c r="H7883" s="1092"/>
      <c r="I7883" s="1092"/>
    </row>
    <row r="7884" spans="8:9">
      <c r="H7884" s="1092"/>
      <c r="I7884" s="1092"/>
    </row>
    <row r="7885" spans="8:9">
      <c r="H7885" s="1092"/>
      <c r="I7885" s="1092"/>
    </row>
    <row r="7886" spans="8:9">
      <c r="H7886" s="1092"/>
      <c r="I7886" s="1092"/>
    </row>
    <row r="7887" spans="8:9">
      <c r="H7887" s="1092"/>
      <c r="I7887" s="1092"/>
    </row>
    <row r="7888" spans="8:9">
      <c r="H7888" s="1092"/>
      <c r="I7888" s="1092"/>
    </row>
    <row r="7889" spans="8:9">
      <c r="H7889" s="1092"/>
      <c r="I7889" s="1092"/>
    </row>
    <row r="7890" spans="8:9">
      <c r="H7890" s="1092"/>
      <c r="I7890" s="1092"/>
    </row>
    <row r="7891" spans="8:9">
      <c r="H7891" s="1092"/>
      <c r="I7891" s="1092"/>
    </row>
    <row r="7892" spans="8:9">
      <c r="H7892" s="1092"/>
      <c r="I7892" s="1092"/>
    </row>
    <row r="7893" spans="8:9">
      <c r="H7893" s="1092"/>
      <c r="I7893" s="1092"/>
    </row>
    <row r="7894" spans="8:9">
      <c r="H7894" s="1092"/>
      <c r="I7894" s="1092"/>
    </row>
    <row r="7895" spans="8:9">
      <c r="H7895" s="1092"/>
      <c r="I7895" s="1092"/>
    </row>
    <row r="7896" spans="8:9">
      <c r="H7896" s="1092"/>
      <c r="I7896" s="1092"/>
    </row>
    <row r="7897" spans="8:9">
      <c r="H7897" s="1092"/>
      <c r="I7897" s="1092"/>
    </row>
    <row r="7898" spans="8:9">
      <c r="H7898" s="1092"/>
      <c r="I7898" s="1092"/>
    </row>
    <row r="7899" spans="8:9">
      <c r="H7899" s="1092"/>
      <c r="I7899" s="1092"/>
    </row>
    <row r="7900" spans="8:9">
      <c r="H7900" s="1092"/>
      <c r="I7900" s="1092"/>
    </row>
    <row r="7901" spans="8:9">
      <c r="H7901" s="1092"/>
      <c r="I7901" s="1092"/>
    </row>
    <row r="7902" spans="8:9">
      <c r="H7902" s="1092"/>
      <c r="I7902" s="1092"/>
    </row>
    <row r="7903" spans="8:9">
      <c r="H7903" s="1092"/>
      <c r="I7903" s="1092"/>
    </row>
    <row r="7904" spans="8:9">
      <c r="H7904" s="1092"/>
      <c r="I7904" s="1092"/>
    </row>
    <row r="7905" spans="8:9">
      <c r="H7905" s="1092"/>
      <c r="I7905" s="1092"/>
    </row>
    <row r="7906" spans="8:9">
      <c r="H7906" s="1092"/>
      <c r="I7906" s="1092"/>
    </row>
    <row r="7907" spans="8:9">
      <c r="H7907" s="1092"/>
      <c r="I7907" s="1092"/>
    </row>
    <row r="7908" spans="8:9">
      <c r="H7908" s="1092"/>
      <c r="I7908" s="1092"/>
    </row>
    <row r="7909" spans="8:9">
      <c r="H7909" s="1092"/>
      <c r="I7909" s="1092"/>
    </row>
    <row r="7910" spans="8:9">
      <c r="H7910" s="1092"/>
      <c r="I7910" s="1092"/>
    </row>
    <row r="7911" spans="8:9">
      <c r="H7911" s="1092"/>
      <c r="I7911" s="1092"/>
    </row>
    <row r="7912" spans="8:9">
      <c r="H7912" s="1092"/>
      <c r="I7912" s="1092"/>
    </row>
    <row r="7913" spans="8:9">
      <c r="H7913" s="1092"/>
      <c r="I7913" s="1092"/>
    </row>
    <row r="7914" spans="8:9">
      <c r="H7914" s="1092"/>
      <c r="I7914" s="1092"/>
    </row>
    <row r="7915" spans="8:9">
      <c r="H7915" s="1092"/>
      <c r="I7915" s="1092"/>
    </row>
    <row r="7916" spans="8:9">
      <c r="H7916" s="1092"/>
      <c r="I7916" s="1092"/>
    </row>
    <row r="7917" spans="8:9">
      <c r="H7917" s="1092"/>
      <c r="I7917" s="1092"/>
    </row>
    <row r="7918" spans="8:9">
      <c r="H7918" s="1092"/>
      <c r="I7918" s="1092"/>
    </row>
    <row r="7919" spans="8:9">
      <c r="H7919" s="1092"/>
      <c r="I7919" s="1092"/>
    </row>
    <row r="7920" spans="8:9">
      <c r="H7920" s="1092"/>
      <c r="I7920" s="1092"/>
    </row>
    <row r="7921" spans="8:9">
      <c r="H7921" s="1092"/>
      <c r="I7921" s="1092"/>
    </row>
    <row r="7922" spans="8:9">
      <c r="H7922" s="1092"/>
      <c r="I7922" s="1092"/>
    </row>
    <row r="7923" spans="8:9">
      <c r="H7923" s="1092"/>
      <c r="I7923" s="1092"/>
    </row>
    <row r="7924" spans="8:9">
      <c r="H7924" s="1092"/>
      <c r="I7924" s="1092"/>
    </row>
    <row r="7925" spans="8:9">
      <c r="H7925" s="1092"/>
      <c r="I7925" s="1092"/>
    </row>
    <row r="7926" spans="8:9">
      <c r="H7926" s="1092"/>
      <c r="I7926" s="1092"/>
    </row>
    <row r="7927" spans="8:9">
      <c r="H7927" s="1092"/>
      <c r="I7927" s="1092"/>
    </row>
    <row r="7928" spans="8:9">
      <c r="H7928" s="1092"/>
      <c r="I7928" s="1092"/>
    </row>
    <row r="7929" spans="8:9">
      <c r="H7929" s="1092"/>
      <c r="I7929" s="1092"/>
    </row>
    <row r="7930" spans="8:9">
      <c r="H7930" s="1092"/>
      <c r="I7930" s="1092"/>
    </row>
    <row r="7931" spans="8:9">
      <c r="H7931" s="1092"/>
      <c r="I7931" s="1092"/>
    </row>
    <row r="7932" spans="8:9">
      <c r="H7932" s="1092"/>
      <c r="I7932" s="1092"/>
    </row>
    <row r="7933" spans="8:9">
      <c r="H7933" s="1092"/>
      <c r="I7933" s="1092"/>
    </row>
    <row r="7934" spans="8:9">
      <c r="H7934" s="1092"/>
      <c r="I7934" s="1092"/>
    </row>
    <row r="7935" spans="8:9">
      <c r="H7935" s="1092"/>
      <c r="I7935" s="1092"/>
    </row>
    <row r="7936" spans="8:9">
      <c r="H7936" s="1092"/>
      <c r="I7936" s="1092"/>
    </row>
    <row r="7937" spans="8:9">
      <c r="H7937" s="1092"/>
      <c r="I7937" s="1092"/>
    </row>
    <row r="7938" spans="8:9">
      <c r="H7938" s="1092"/>
      <c r="I7938" s="1092"/>
    </row>
    <row r="7939" spans="8:9">
      <c r="H7939" s="1092"/>
      <c r="I7939" s="1092"/>
    </row>
    <row r="7940" spans="8:9">
      <c r="H7940" s="1092"/>
      <c r="I7940" s="1092"/>
    </row>
    <row r="7941" spans="8:9">
      <c r="H7941" s="1092"/>
      <c r="I7941" s="1092"/>
    </row>
    <row r="7942" spans="8:9">
      <c r="H7942" s="1092"/>
      <c r="I7942" s="1092"/>
    </row>
    <row r="7943" spans="8:9">
      <c r="H7943" s="1092"/>
      <c r="I7943" s="1092"/>
    </row>
    <row r="7944" spans="8:9">
      <c r="H7944" s="1092"/>
      <c r="I7944" s="1092"/>
    </row>
    <row r="7945" spans="8:9">
      <c r="H7945" s="1092"/>
      <c r="I7945" s="1092"/>
    </row>
    <row r="7946" spans="8:9">
      <c r="H7946" s="1092"/>
      <c r="I7946" s="1092"/>
    </row>
    <row r="7947" spans="8:9">
      <c r="H7947" s="1092"/>
      <c r="I7947" s="1092"/>
    </row>
    <row r="7948" spans="8:9">
      <c r="H7948" s="1092"/>
      <c r="I7948" s="1092"/>
    </row>
    <row r="7949" spans="8:9">
      <c r="H7949" s="1092"/>
      <c r="I7949" s="1092"/>
    </row>
    <row r="7950" spans="8:9">
      <c r="H7950" s="1092"/>
      <c r="I7950" s="1092"/>
    </row>
    <row r="7951" spans="8:9">
      <c r="H7951" s="1092"/>
      <c r="I7951" s="1092"/>
    </row>
    <row r="7952" spans="8:9">
      <c r="H7952" s="1092"/>
      <c r="I7952" s="1092"/>
    </row>
    <row r="7953" spans="8:9">
      <c r="H7953" s="1092"/>
      <c r="I7953" s="1092"/>
    </row>
    <row r="7954" spans="8:9">
      <c r="H7954" s="1092"/>
      <c r="I7954" s="1092"/>
    </row>
    <row r="7955" spans="8:9">
      <c r="H7955" s="1092"/>
      <c r="I7955" s="1092"/>
    </row>
    <row r="7956" spans="8:9">
      <c r="H7956" s="1092"/>
      <c r="I7956" s="1092"/>
    </row>
    <row r="7957" spans="8:9">
      <c r="H7957" s="1092"/>
      <c r="I7957" s="1092"/>
    </row>
    <row r="7958" spans="8:9">
      <c r="H7958" s="1092"/>
      <c r="I7958" s="1092"/>
    </row>
    <row r="7959" spans="8:9">
      <c r="H7959" s="1092"/>
      <c r="I7959" s="1092"/>
    </row>
    <row r="7960" spans="8:9">
      <c r="H7960" s="1092"/>
      <c r="I7960" s="1092"/>
    </row>
    <row r="7961" spans="8:9">
      <c r="H7961" s="1092"/>
      <c r="I7961" s="1092"/>
    </row>
    <row r="7962" spans="8:9">
      <c r="H7962" s="1092"/>
      <c r="I7962" s="1092"/>
    </row>
    <row r="7963" spans="8:9">
      <c r="H7963" s="1092"/>
      <c r="I7963" s="1092"/>
    </row>
    <row r="7964" spans="8:9">
      <c r="H7964" s="1092"/>
      <c r="I7964" s="1092"/>
    </row>
    <row r="7965" spans="8:9">
      <c r="H7965" s="1092"/>
      <c r="I7965" s="1092"/>
    </row>
    <row r="7966" spans="8:9">
      <c r="H7966" s="1092"/>
      <c r="I7966" s="1092"/>
    </row>
    <row r="7967" spans="8:9">
      <c r="H7967" s="1092"/>
      <c r="I7967" s="1092"/>
    </row>
    <row r="7968" spans="8:9">
      <c r="H7968" s="1092"/>
      <c r="I7968" s="1092"/>
    </row>
    <row r="7969" spans="8:9">
      <c r="H7969" s="1092"/>
      <c r="I7969" s="1092"/>
    </row>
    <row r="7970" spans="8:9">
      <c r="H7970" s="1092"/>
      <c r="I7970" s="1092"/>
    </row>
    <row r="7971" spans="8:9">
      <c r="H7971" s="1092"/>
      <c r="I7971" s="1092"/>
    </row>
    <row r="7972" spans="8:9">
      <c r="H7972" s="1092"/>
      <c r="I7972" s="1092"/>
    </row>
    <row r="7973" spans="8:9">
      <c r="H7973" s="1092"/>
      <c r="I7973" s="1092"/>
    </row>
    <row r="7974" spans="8:9">
      <c r="H7974" s="1092"/>
      <c r="I7974" s="1092"/>
    </row>
    <row r="7975" spans="8:9">
      <c r="H7975" s="1092"/>
      <c r="I7975" s="1092"/>
    </row>
    <row r="7976" spans="8:9">
      <c r="H7976" s="1092"/>
      <c r="I7976" s="1092"/>
    </row>
    <row r="7977" spans="8:9">
      <c r="H7977" s="1092"/>
      <c r="I7977" s="1092"/>
    </row>
    <row r="7978" spans="8:9">
      <c r="H7978" s="1092"/>
      <c r="I7978" s="1092"/>
    </row>
    <row r="7979" spans="8:9">
      <c r="H7979" s="1092"/>
      <c r="I7979" s="1092"/>
    </row>
    <row r="7980" spans="8:9">
      <c r="H7980" s="1092"/>
      <c r="I7980" s="1092"/>
    </row>
    <row r="7981" spans="8:9">
      <c r="H7981" s="1092"/>
      <c r="I7981" s="1092"/>
    </row>
    <row r="7982" spans="8:9">
      <c r="H7982" s="1092"/>
      <c r="I7982" s="1092"/>
    </row>
    <row r="7983" spans="8:9">
      <c r="H7983" s="1092"/>
      <c r="I7983" s="1092"/>
    </row>
    <row r="7984" spans="8:9">
      <c r="H7984" s="1092"/>
      <c r="I7984" s="1092"/>
    </row>
    <row r="7985" spans="8:9">
      <c r="H7985" s="1092"/>
      <c r="I7985" s="1092"/>
    </row>
    <row r="7986" spans="8:9">
      <c r="H7986" s="1092"/>
      <c r="I7986" s="1092"/>
    </row>
    <row r="7987" spans="8:9">
      <c r="H7987" s="1092"/>
      <c r="I7987" s="1092"/>
    </row>
    <row r="7988" spans="8:9">
      <c r="H7988" s="1092"/>
      <c r="I7988" s="1092"/>
    </row>
    <row r="7989" spans="8:9">
      <c r="H7989" s="1092"/>
      <c r="I7989" s="1092"/>
    </row>
    <row r="7990" spans="8:9">
      <c r="H7990" s="1092"/>
      <c r="I7990" s="1092"/>
    </row>
    <row r="7991" spans="8:9">
      <c r="H7991" s="1092"/>
      <c r="I7991" s="1092"/>
    </row>
    <row r="7992" spans="8:9">
      <c r="H7992" s="1092"/>
      <c r="I7992" s="1092"/>
    </row>
    <row r="7993" spans="8:9">
      <c r="H7993" s="1092"/>
      <c r="I7993" s="1092"/>
    </row>
    <row r="7994" spans="8:9">
      <c r="H7994" s="1092"/>
      <c r="I7994" s="1092"/>
    </row>
    <row r="7995" spans="8:9">
      <c r="H7995" s="1092"/>
      <c r="I7995" s="1092"/>
    </row>
    <row r="7996" spans="8:9">
      <c r="H7996" s="1092"/>
      <c r="I7996" s="1092"/>
    </row>
    <row r="7997" spans="8:9">
      <c r="H7997" s="1092"/>
      <c r="I7997" s="1092"/>
    </row>
    <row r="7998" spans="8:9">
      <c r="H7998" s="1092"/>
      <c r="I7998" s="1092"/>
    </row>
    <row r="7999" spans="8:9">
      <c r="H7999" s="1092"/>
      <c r="I7999" s="1092"/>
    </row>
    <row r="8000" spans="8:9">
      <c r="H8000" s="1092"/>
      <c r="I8000" s="1092"/>
    </row>
    <row r="8001" spans="8:9">
      <c r="H8001" s="1092"/>
      <c r="I8001" s="1092"/>
    </row>
    <row r="8002" spans="8:9">
      <c r="H8002" s="1092"/>
      <c r="I8002" s="1092"/>
    </row>
    <row r="8003" spans="8:9">
      <c r="H8003" s="1092"/>
      <c r="I8003" s="1092"/>
    </row>
    <row r="8004" spans="8:9">
      <c r="H8004" s="1092"/>
      <c r="I8004" s="1092"/>
    </row>
    <row r="8005" spans="8:9">
      <c r="H8005" s="1092"/>
      <c r="I8005" s="1092"/>
    </row>
    <row r="8006" spans="8:9">
      <c r="H8006" s="1092"/>
      <c r="I8006" s="1092"/>
    </row>
    <row r="8007" spans="8:9">
      <c r="H8007" s="1092"/>
      <c r="I8007" s="1092"/>
    </row>
    <row r="8008" spans="8:9">
      <c r="H8008" s="1092"/>
      <c r="I8008" s="1092"/>
    </row>
    <row r="8009" spans="8:9">
      <c r="H8009" s="1092"/>
      <c r="I8009" s="1092"/>
    </row>
    <row r="8010" spans="8:9">
      <c r="H8010" s="1092"/>
      <c r="I8010" s="1092"/>
    </row>
    <row r="8011" spans="8:9">
      <c r="H8011" s="1092"/>
      <c r="I8011" s="1092"/>
    </row>
    <row r="8012" spans="8:9">
      <c r="H8012" s="1092"/>
      <c r="I8012" s="1092"/>
    </row>
    <row r="8013" spans="8:9">
      <c r="H8013" s="1092"/>
      <c r="I8013" s="1092"/>
    </row>
    <row r="8014" spans="8:9">
      <c r="H8014" s="1092"/>
      <c r="I8014" s="1092"/>
    </row>
    <row r="8015" spans="8:9">
      <c r="H8015" s="1092"/>
      <c r="I8015" s="1092"/>
    </row>
    <row r="8016" spans="8:9">
      <c r="H8016" s="1092"/>
      <c r="I8016" s="1092"/>
    </row>
    <row r="8017" spans="8:9">
      <c r="H8017" s="1092"/>
      <c r="I8017" s="1092"/>
    </row>
    <row r="8018" spans="8:9">
      <c r="H8018" s="1092"/>
      <c r="I8018" s="1092"/>
    </row>
    <row r="8019" spans="8:9">
      <c r="H8019" s="1092"/>
      <c r="I8019" s="1092"/>
    </row>
    <row r="8020" spans="8:9">
      <c r="H8020" s="1092"/>
      <c r="I8020" s="1092"/>
    </row>
    <row r="8021" spans="8:9">
      <c r="H8021" s="1092"/>
      <c r="I8021" s="1092"/>
    </row>
    <row r="8022" spans="8:9">
      <c r="H8022" s="1092"/>
      <c r="I8022" s="1092"/>
    </row>
    <row r="8023" spans="8:9">
      <c r="H8023" s="1092"/>
      <c r="I8023" s="1092"/>
    </row>
    <row r="8024" spans="8:9">
      <c r="H8024" s="1092"/>
      <c r="I8024" s="1092"/>
    </row>
    <row r="8025" spans="8:9">
      <c r="H8025" s="1092"/>
      <c r="I8025" s="1092"/>
    </row>
    <row r="8026" spans="8:9">
      <c r="H8026" s="1092"/>
      <c r="I8026" s="1092"/>
    </row>
    <row r="8027" spans="8:9">
      <c r="H8027" s="1092"/>
      <c r="I8027" s="1092"/>
    </row>
    <row r="8028" spans="8:9">
      <c r="H8028" s="1092"/>
      <c r="I8028" s="1092"/>
    </row>
    <row r="8029" spans="8:9">
      <c r="H8029" s="1092"/>
      <c r="I8029" s="1092"/>
    </row>
    <row r="8030" spans="8:9">
      <c r="H8030" s="1092"/>
      <c r="I8030" s="1092"/>
    </row>
    <row r="8031" spans="8:9">
      <c r="H8031" s="1092"/>
      <c r="I8031" s="1092"/>
    </row>
    <row r="8032" spans="8:9">
      <c r="H8032" s="1092"/>
      <c r="I8032" s="1092"/>
    </row>
    <row r="8033" spans="8:9">
      <c r="H8033" s="1092"/>
      <c r="I8033" s="1092"/>
    </row>
    <row r="8034" spans="8:9">
      <c r="H8034" s="1092"/>
      <c r="I8034" s="1092"/>
    </row>
    <row r="8035" spans="8:9">
      <c r="H8035" s="1092"/>
      <c r="I8035" s="1092"/>
    </row>
    <row r="8036" spans="8:9">
      <c r="H8036" s="1092"/>
      <c r="I8036" s="1092"/>
    </row>
    <row r="8037" spans="8:9">
      <c r="H8037" s="1092"/>
      <c r="I8037" s="1092"/>
    </row>
    <row r="8038" spans="8:9">
      <c r="H8038" s="1092"/>
      <c r="I8038" s="1092"/>
    </row>
    <row r="8039" spans="8:9">
      <c r="H8039" s="1092"/>
      <c r="I8039" s="1092"/>
    </row>
    <row r="8040" spans="8:9">
      <c r="H8040" s="1092"/>
      <c r="I8040" s="1092"/>
    </row>
    <row r="8041" spans="8:9">
      <c r="H8041" s="1092"/>
      <c r="I8041" s="1092"/>
    </row>
    <row r="8042" spans="8:9">
      <c r="H8042" s="1092"/>
      <c r="I8042" s="1092"/>
    </row>
    <row r="8043" spans="8:9">
      <c r="H8043" s="1092"/>
      <c r="I8043" s="1092"/>
    </row>
    <row r="8044" spans="8:9">
      <c r="H8044" s="1092"/>
      <c r="I8044" s="1092"/>
    </row>
    <row r="8045" spans="8:9">
      <c r="H8045" s="1092"/>
      <c r="I8045" s="1092"/>
    </row>
    <row r="8046" spans="8:9">
      <c r="H8046" s="1092"/>
      <c r="I8046" s="1092"/>
    </row>
    <row r="8047" spans="8:9">
      <c r="H8047" s="1092"/>
      <c r="I8047" s="1092"/>
    </row>
    <row r="8048" spans="8:9">
      <c r="H8048" s="1092"/>
      <c r="I8048" s="1092"/>
    </row>
    <row r="8049" spans="8:9">
      <c r="H8049" s="1092"/>
      <c r="I8049" s="1092"/>
    </row>
    <row r="8050" spans="8:9">
      <c r="H8050" s="1092"/>
      <c r="I8050" s="1092"/>
    </row>
    <row r="8051" spans="8:9">
      <c r="H8051" s="1092"/>
      <c r="I8051" s="1092"/>
    </row>
    <row r="8052" spans="8:9">
      <c r="H8052" s="1092"/>
      <c r="I8052" s="1092"/>
    </row>
    <row r="8053" spans="8:9">
      <c r="H8053" s="1092"/>
      <c r="I8053" s="1092"/>
    </row>
    <row r="8054" spans="8:9">
      <c r="H8054" s="1092"/>
      <c r="I8054" s="1092"/>
    </row>
    <row r="8055" spans="8:9">
      <c r="H8055" s="1092"/>
      <c r="I8055" s="1092"/>
    </row>
    <row r="8056" spans="8:9">
      <c r="H8056" s="1092"/>
      <c r="I8056" s="1092"/>
    </row>
    <row r="8057" spans="8:9">
      <c r="H8057" s="1092"/>
      <c r="I8057" s="1092"/>
    </row>
    <row r="8058" spans="8:9">
      <c r="H8058" s="1092"/>
      <c r="I8058" s="1092"/>
    </row>
    <row r="8059" spans="8:9">
      <c r="H8059" s="1092"/>
      <c r="I8059" s="1092"/>
    </row>
    <row r="8060" spans="8:9">
      <c r="H8060" s="1092"/>
      <c r="I8060" s="1092"/>
    </row>
    <row r="8061" spans="8:9">
      <c r="H8061" s="1092"/>
      <c r="I8061" s="1092"/>
    </row>
    <row r="8062" spans="8:9">
      <c r="H8062" s="1092"/>
      <c r="I8062" s="1092"/>
    </row>
    <row r="8063" spans="8:9">
      <c r="H8063" s="1092"/>
      <c r="I8063" s="1092"/>
    </row>
    <row r="8064" spans="8:9">
      <c r="H8064" s="1092"/>
      <c r="I8064" s="1092"/>
    </row>
    <row r="8065" spans="8:9">
      <c r="H8065" s="1092"/>
      <c r="I8065" s="1092"/>
    </row>
    <row r="8066" spans="8:9">
      <c r="H8066" s="1092"/>
      <c r="I8066" s="1092"/>
    </row>
    <row r="8067" spans="8:9">
      <c r="H8067" s="1092"/>
      <c r="I8067" s="1092"/>
    </row>
    <row r="8068" spans="8:9">
      <c r="H8068" s="1092"/>
      <c r="I8068" s="1092"/>
    </row>
    <row r="8069" spans="8:9">
      <c r="H8069" s="1092"/>
      <c r="I8069" s="1092"/>
    </row>
    <row r="8070" spans="8:9">
      <c r="H8070" s="1092"/>
      <c r="I8070" s="1092"/>
    </row>
    <row r="8071" spans="8:9">
      <c r="H8071" s="1092"/>
      <c r="I8071" s="1092"/>
    </row>
    <row r="8072" spans="8:9">
      <c r="H8072" s="1092"/>
      <c r="I8072" s="1092"/>
    </row>
    <row r="8073" spans="8:9">
      <c r="H8073" s="1092"/>
      <c r="I8073" s="1092"/>
    </row>
    <row r="8074" spans="8:9">
      <c r="H8074" s="1092"/>
      <c r="I8074" s="1092"/>
    </row>
    <row r="8075" spans="8:9">
      <c r="H8075" s="1092"/>
      <c r="I8075" s="1092"/>
    </row>
    <row r="8076" spans="8:9">
      <c r="H8076" s="1092"/>
      <c r="I8076" s="1092"/>
    </row>
    <row r="8077" spans="8:9">
      <c r="H8077" s="1092"/>
      <c r="I8077" s="1092"/>
    </row>
    <row r="8078" spans="8:9">
      <c r="H8078" s="1092"/>
      <c r="I8078" s="1092"/>
    </row>
    <row r="8079" spans="8:9">
      <c r="H8079" s="1092"/>
      <c r="I8079" s="1092"/>
    </row>
    <row r="8080" spans="8:9">
      <c r="H8080" s="1092"/>
      <c r="I8080" s="1092"/>
    </row>
    <row r="8081" spans="8:9">
      <c r="H8081" s="1092"/>
      <c r="I8081" s="1092"/>
    </row>
    <row r="8082" spans="8:9">
      <c r="H8082" s="1092"/>
      <c r="I8082" s="1092"/>
    </row>
    <row r="8083" spans="8:9">
      <c r="H8083" s="1092"/>
      <c r="I8083" s="1092"/>
    </row>
    <row r="8084" spans="8:9">
      <c r="H8084" s="1092"/>
      <c r="I8084" s="1092"/>
    </row>
    <row r="8085" spans="8:9">
      <c r="H8085" s="1092"/>
      <c r="I8085" s="1092"/>
    </row>
    <row r="8086" spans="8:9">
      <c r="H8086" s="1092"/>
      <c r="I8086" s="1092"/>
    </row>
    <row r="8087" spans="8:9">
      <c r="H8087" s="1092"/>
      <c r="I8087" s="1092"/>
    </row>
    <row r="8088" spans="8:9">
      <c r="H8088" s="1092"/>
      <c r="I8088" s="1092"/>
    </row>
    <row r="8089" spans="8:9">
      <c r="H8089" s="1092"/>
      <c r="I8089" s="1092"/>
    </row>
    <row r="8090" spans="8:9">
      <c r="H8090" s="1092"/>
      <c r="I8090" s="1092"/>
    </row>
    <row r="8091" spans="8:9">
      <c r="H8091" s="1092"/>
      <c r="I8091" s="1092"/>
    </row>
    <row r="8092" spans="8:9">
      <c r="H8092" s="1092"/>
      <c r="I8092" s="1092"/>
    </row>
    <row r="8093" spans="8:9">
      <c r="H8093" s="1092"/>
      <c r="I8093" s="1092"/>
    </row>
    <row r="8094" spans="8:9">
      <c r="H8094" s="1092"/>
      <c r="I8094" s="1092"/>
    </row>
    <row r="8095" spans="8:9">
      <c r="H8095" s="1092"/>
      <c r="I8095" s="1092"/>
    </row>
    <row r="8096" spans="8:9">
      <c r="H8096" s="1092"/>
      <c r="I8096" s="1092"/>
    </row>
    <row r="8097" spans="8:9">
      <c r="H8097" s="1092"/>
      <c r="I8097" s="1092"/>
    </row>
    <row r="8098" spans="8:9">
      <c r="H8098" s="1092"/>
      <c r="I8098" s="1092"/>
    </row>
    <row r="8099" spans="8:9">
      <c r="H8099" s="1092"/>
      <c r="I8099" s="1092"/>
    </row>
    <row r="8100" spans="8:9">
      <c r="H8100" s="1092"/>
      <c r="I8100" s="1092"/>
    </row>
    <row r="8101" spans="8:9">
      <c r="H8101" s="1092"/>
      <c r="I8101" s="1092"/>
    </row>
    <row r="8102" spans="8:9">
      <c r="H8102" s="1092"/>
      <c r="I8102" s="1092"/>
    </row>
    <row r="8103" spans="8:9">
      <c r="H8103" s="1092"/>
      <c r="I8103" s="1092"/>
    </row>
    <row r="8104" spans="8:9">
      <c r="H8104" s="1092"/>
      <c r="I8104" s="1092"/>
    </row>
    <row r="8105" spans="8:9">
      <c r="H8105" s="1092"/>
      <c r="I8105" s="1092"/>
    </row>
    <row r="8106" spans="8:9">
      <c r="H8106" s="1092"/>
      <c r="I8106" s="1092"/>
    </row>
    <row r="8107" spans="8:9">
      <c r="H8107" s="1092"/>
      <c r="I8107" s="1092"/>
    </row>
    <row r="8108" spans="8:9">
      <c r="H8108" s="1092"/>
      <c r="I8108" s="1092"/>
    </row>
    <row r="8109" spans="8:9">
      <c r="H8109" s="1092"/>
      <c r="I8109" s="1092"/>
    </row>
    <row r="8110" spans="8:9">
      <c r="H8110" s="1092"/>
      <c r="I8110" s="1092"/>
    </row>
    <row r="8111" spans="8:9">
      <c r="H8111" s="1092"/>
      <c r="I8111" s="1092"/>
    </row>
    <row r="8112" spans="8:9">
      <c r="H8112" s="1092"/>
      <c r="I8112" s="1092"/>
    </row>
    <row r="8113" spans="8:9">
      <c r="H8113" s="1092"/>
      <c r="I8113" s="1092"/>
    </row>
    <row r="8114" spans="8:9">
      <c r="H8114" s="1092"/>
      <c r="I8114" s="1092"/>
    </row>
    <row r="8115" spans="8:9">
      <c r="H8115" s="1092"/>
      <c r="I8115" s="1092"/>
    </row>
    <row r="8116" spans="8:9">
      <c r="H8116" s="1092"/>
      <c r="I8116" s="1092"/>
    </row>
    <row r="8117" spans="8:9">
      <c r="H8117" s="1092"/>
      <c r="I8117" s="1092"/>
    </row>
    <row r="8118" spans="8:9">
      <c r="H8118" s="1092"/>
      <c r="I8118" s="1092"/>
    </row>
    <row r="8119" spans="8:9">
      <c r="H8119" s="1092"/>
      <c r="I8119" s="1092"/>
    </row>
    <row r="8120" spans="8:9">
      <c r="H8120" s="1092"/>
      <c r="I8120" s="1092"/>
    </row>
    <row r="8121" spans="8:9">
      <c r="H8121" s="1092"/>
      <c r="I8121" s="1092"/>
    </row>
    <row r="8122" spans="8:9">
      <c r="H8122" s="1092"/>
      <c r="I8122" s="1092"/>
    </row>
    <row r="8123" spans="8:9">
      <c r="H8123" s="1092"/>
      <c r="I8123" s="1092"/>
    </row>
    <row r="8124" spans="8:9">
      <c r="H8124" s="1092"/>
      <c r="I8124" s="1092"/>
    </row>
    <row r="8125" spans="8:9">
      <c r="H8125" s="1092"/>
      <c r="I8125" s="1092"/>
    </row>
    <row r="8126" spans="8:9">
      <c r="H8126" s="1092"/>
      <c r="I8126" s="1092"/>
    </row>
    <row r="8127" spans="8:9">
      <c r="H8127" s="1092"/>
      <c r="I8127" s="1092"/>
    </row>
    <row r="8128" spans="8:9">
      <c r="H8128" s="1092"/>
      <c r="I8128" s="1092"/>
    </row>
    <row r="8129" spans="8:9">
      <c r="H8129" s="1092"/>
      <c r="I8129" s="1092"/>
    </row>
    <row r="8130" spans="8:9">
      <c r="H8130" s="1092"/>
      <c r="I8130" s="1092"/>
    </row>
    <row r="8131" spans="8:9">
      <c r="H8131" s="1092"/>
      <c r="I8131" s="1092"/>
    </row>
    <row r="8132" spans="8:9">
      <c r="H8132" s="1092"/>
      <c r="I8132" s="1092"/>
    </row>
    <row r="8133" spans="8:9">
      <c r="H8133" s="1092"/>
      <c r="I8133" s="1092"/>
    </row>
    <row r="8134" spans="8:9">
      <c r="H8134" s="1092"/>
      <c r="I8134" s="1092"/>
    </row>
    <row r="8135" spans="8:9">
      <c r="H8135" s="1092"/>
      <c r="I8135" s="1092"/>
    </row>
    <row r="8136" spans="8:9">
      <c r="H8136" s="1092"/>
      <c r="I8136" s="1092"/>
    </row>
    <row r="8137" spans="8:9">
      <c r="H8137" s="1092"/>
      <c r="I8137" s="1092"/>
    </row>
    <row r="8138" spans="8:9">
      <c r="H8138" s="1092"/>
      <c r="I8138" s="1092"/>
    </row>
    <row r="8139" spans="8:9">
      <c r="H8139" s="1092"/>
      <c r="I8139" s="1092"/>
    </row>
    <row r="8140" spans="8:9">
      <c r="H8140" s="1092"/>
      <c r="I8140" s="1092"/>
    </row>
    <row r="8141" spans="8:9">
      <c r="H8141" s="1092"/>
      <c r="I8141" s="1092"/>
    </row>
    <row r="8142" spans="8:9">
      <c r="H8142" s="1092"/>
      <c r="I8142" s="1092"/>
    </row>
    <row r="8143" spans="8:9">
      <c r="H8143" s="1092"/>
      <c r="I8143" s="1092"/>
    </row>
    <row r="8144" spans="8:9">
      <c r="H8144" s="1092"/>
      <c r="I8144" s="1092"/>
    </row>
    <row r="8145" spans="8:9">
      <c r="H8145" s="1092"/>
      <c r="I8145" s="1092"/>
    </row>
    <row r="8146" spans="8:9">
      <c r="H8146" s="1092"/>
      <c r="I8146" s="1092"/>
    </row>
    <row r="8147" spans="8:9">
      <c r="H8147" s="1092"/>
      <c r="I8147" s="1092"/>
    </row>
    <row r="8148" spans="8:9">
      <c r="H8148" s="1092"/>
      <c r="I8148" s="1092"/>
    </row>
    <row r="8149" spans="8:9">
      <c r="H8149" s="1092"/>
      <c r="I8149" s="1092"/>
    </row>
    <row r="8150" spans="8:9">
      <c r="H8150" s="1092"/>
      <c r="I8150" s="1092"/>
    </row>
    <row r="8151" spans="8:9">
      <c r="H8151" s="1092"/>
      <c r="I8151" s="1092"/>
    </row>
    <row r="8152" spans="8:9">
      <c r="H8152" s="1092"/>
      <c r="I8152" s="1092"/>
    </row>
    <row r="8153" spans="8:9">
      <c r="H8153" s="1092"/>
      <c r="I8153" s="1092"/>
    </row>
    <row r="8154" spans="8:9">
      <c r="H8154" s="1092"/>
      <c r="I8154" s="1092"/>
    </row>
    <row r="8155" spans="8:9">
      <c r="H8155" s="1092"/>
      <c r="I8155" s="1092"/>
    </row>
    <row r="8156" spans="8:9">
      <c r="H8156" s="1092"/>
      <c r="I8156" s="1092"/>
    </row>
    <row r="8157" spans="8:9">
      <c r="H8157" s="1092"/>
      <c r="I8157" s="1092"/>
    </row>
    <row r="8158" spans="8:9">
      <c r="H8158" s="1092"/>
      <c r="I8158" s="1092"/>
    </row>
    <row r="8159" spans="8:9">
      <c r="H8159" s="1092"/>
      <c r="I8159" s="1092"/>
    </row>
    <row r="8160" spans="8:9">
      <c r="H8160" s="1092"/>
      <c r="I8160" s="1092"/>
    </row>
    <row r="8161" spans="8:9">
      <c r="H8161" s="1092"/>
      <c r="I8161" s="1092"/>
    </row>
    <row r="8162" spans="8:9">
      <c r="H8162" s="1092"/>
      <c r="I8162" s="1092"/>
    </row>
    <row r="8163" spans="8:9">
      <c r="H8163" s="1092"/>
      <c r="I8163" s="1092"/>
    </row>
    <row r="8164" spans="8:9">
      <c r="H8164" s="1092"/>
      <c r="I8164" s="1092"/>
    </row>
    <row r="8165" spans="8:9">
      <c r="H8165" s="1092"/>
      <c r="I8165" s="1092"/>
    </row>
    <row r="8166" spans="8:9">
      <c r="H8166" s="1092"/>
      <c r="I8166" s="1092"/>
    </row>
    <row r="8167" spans="8:9">
      <c r="H8167" s="1092"/>
      <c r="I8167" s="1092"/>
    </row>
    <row r="8168" spans="8:9">
      <c r="H8168" s="1092"/>
      <c r="I8168" s="1092"/>
    </row>
    <row r="8169" spans="8:9">
      <c r="H8169" s="1092"/>
      <c r="I8169" s="1092"/>
    </row>
    <row r="8170" spans="8:9">
      <c r="H8170" s="1092"/>
      <c r="I8170" s="1092"/>
    </row>
    <row r="8171" spans="8:9">
      <c r="H8171" s="1092"/>
      <c r="I8171" s="1092"/>
    </row>
    <row r="8172" spans="8:9">
      <c r="H8172" s="1092"/>
      <c r="I8172" s="1092"/>
    </row>
    <row r="8173" spans="8:9">
      <c r="H8173" s="1092"/>
      <c r="I8173" s="1092"/>
    </row>
    <row r="8174" spans="8:9">
      <c r="H8174" s="1092"/>
      <c r="I8174" s="1092"/>
    </row>
    <row r="8175" spans="8:9">
      <c r="H8175" s="1092"/>
      <c r="I8175" s="1092"/>
    </row>
    <row r="8176" spans="8:9">
      <c r="H8176" s="1092"/>
      <c r="I8176" s="1092"/>
    </row>
    <row r="8177" spans="8:9">
      <c r="H8177" s="1092"/>
      <c r="I8177" s="1092"/>
    </row>
    <row r="8178" spans="8:9">
      <c r="H8178" s="1092"/>
      <c r="I8178" s="1092"/>
    </row>
    <row r="8179" spans="8:9">
      <c r="H8179" s="1092"/>
      <c r="I8179" s="1092"/>
    </row>
    <row r="8180" spans="8:9">
      <c r="H8180" s="1092"/>
      <c r="I8180" s="1092"/>
    </row>
    <row r="8181" spans="8:9">
      <c r="H8181" s="1092"/>
      <c r="I8181" s="1092"/>
    </row>
    <row r="8182" spans="8:9">
      <c r="H8182" s="1092"/>
      <c r="I8182" s="1092"/>
    </row>
    <row r="8183" spans="8:9">
      <c r="H8183" s="1092"/>
      <c r="I8183" s="1092"/>
    </row>
    <row r="8184" spans="8:9">
      <c r="H8184" s="1092"/>
      <c r="I8184" s="1092"/>
    </row>
    <row r="8185" spans="8:9">
      <c r="H8185" s="1092"/>
      <c r="I8185" s="1092"/>
    </row>
    <row r="8186" spans="8:9">
      <c r="H8186" s="1092"/>
      <c r="I8186" s="1092"/>
    </row>
    <row r="8187" spans="8:9">
      <c r="H8187" s="1092"/>
      <c r="I8187" s="1092"/>
    </row>
    <row r="8188" spans="8:9">
      <c r="H8188" s="1092"/>
      <c r="I8188" s="1092"/>
    </row>
    <row r="8189" spans="8:9">
      <c r="H8189" s="1092"/>
      <c r="I8189" s="1092"/>
    </row>
    <row r="8190" spans="8:9">
      <c r="H8190" s="1092"/>
      <c r="I8190" s="1092"/>
    </row>
    <row r="8191" spans="8:9">
      <c r="H8191" s="1092"/>
      <c r="I8191" s="1092"/>
    </row>
    <row r="8192" spans="8:9">
      <c r="H8192" s="1092"/>
      <c r="I8192" s="1092"/>
    </row>
    <row r="8193" spans="8:9">
      <c r="H8193" s="1092"/>
      <c r="I8193" s="1092"/>
    </row>
    <row r="8194" spans="8:9">
      <c r="H8194" s="1092"/>
      <c r="I8194" s="1092"/>
    </row>
    <row r="8195" spans="8:9">
      <c r="H8195" s="1092"/>
      <c r="I8195" s="1092"/>
    </row>
    <row r="8196" spans="8:9">
      <c r="H8196" s="1092"/>
      <c r="I8196" s="1092"/>
    </row>
    <row r="8197" spans="8:9">
      <c r="H8197" s="1092"/>
      <c r="I8197" s="1092"/>
    </row>
    <row r="8198" spans="8:9">
      <c r="H8198" s="1092"/>
      <c r="I8198" s="1092"/>
    </row>
    <row r="8199" spans="8:9">
      <c r="H8199" s="1092"/>
      <c r="I8199" s="1092"/>
    </row>
    <row r="8200" spans="8:9">
      <c r="H8200" s="1092"/>
      <c r="I8200" s="1092"/>
    </row>
    <row r="8201" spans="8:9">
      <c r="H8201" s="1092"/>
      <c r="I8201" s="1092"/>
    </row>
    <row r="8202" spans="8:9">
      <c r="H8202" s="1092"/>
      <c r="I8202" s="1092"/>
    </row>
    <row r="8203" spans="8:9">
      <c r="H8203" s="1092"/>
      <c r="I8203" s="1092"/>
    </row>
    <row r="8204" spans="8:9">
      <c r="H8204" s="1092"/>
      <c r="I8204" s="1092"/>
    </row>
    <row r="8205" spans="8:9">
      <c r="H8205" s="1092"/>
      <c r="I8205" s="1092"/>
    </row>
    <row r="8206" spans="8:9">
      <c r="H8206" s="1092"/>
      <c r="I8206" s="1092"/>
    </row>
    <row r="8207" spans="8:9">
      <c r="H8207" s="1092"/>
      <c r="I8207" s="1092"/>
    </row>
    <row r="8208" spans="8:9">
      <c r="H8208" s="1092"/>
      <c r="I8208" s="1092"/>
    </row>
    <row r="8209" spans="8:9">
      <c r="H8209" s="1092"/>
      <c r="I8209" s="1092"/>
    </row>
    <row r="8210" spans="8:9">
      <c r="H8210" s="1092"/>
      <c r="I8210" s="1092"/>
    </row>
    <row r="8211" spans="8:9">
      <c r="H8211" s="1092"/>
      <c r="I8211" s="1092"/>
    </row>
    <row r="8212" spans="8:9">
      <c r="H8212" s="1092"/>
      <c r="I8212" s="1092"/>
    </row>
    <row r="8213" spans="8:9">
      <c r="H8213" s="1092"/>
      <c r="I8213" s="1092"/>
    </row>
    <row r="8214" spans="8:9">
      <c r="H8214" s="1092"/>
      <c r="I8214" s="1092"/>
    </row>
    <row r="8215" spans="8:9">
      <c r="H8215" s="1092"/>
      <c r="I8215" s="1092"/>
    </row>
    <row r="8216" spans="8:9">
      <c r="H8216" s="1092"/>
      <c r="I8216" s="1092"/>
    </row>
    <row r="8217" spans="8:9">
      <c r="H8217" s="1092"/>
      <c r="I8217" s="1092"/>
    </row>
    <row r="8218" spans="8:9">
      <c r="H8218" s="1092"/>
      <c r="I8218" s="1092"/>
    </row>
    <row r="8219" spans="8:9">
      <c r="H8219" s="1092"/>
      <c r="I8219" s="1092"/>
    </row>
    <row r="8220" spans="8:9">
      <c r="H8220" s="1092"/>
      <c r="I8220" s="1092"/>
    </row>
    <row r="8221" spans="8:9">
      <c r="H8221" s="1092"/>
      <c r="I8221" s="1092"/>
    </row>
    <row r="8222" spans="8:9">
      <c r="H8222" s="1092"/>
      <c r="I8222" s="1092"/>
    </row>
    <row r="8223" spans="8:9">
      <c r="H8223" s="1092"/>
      <c r="I8223" s="1092"/>
    </row>
    <row r="8224" spans="8:9">
      <c r="H8224" s="1092"/>
      <c r="I8224" s="1092"/>
    </row>
    <row r="8225" spans="8:9">
      <c r="H8225" s="1092"/>
      <c r="I8225" s="1092"/>
    </row>
    <row r="8226" spans="8:9">
      <c r="H8226" s="1092"/>
      <c r="I8226" s="1092"/>
    </row>
    <row r="8227" spans="8:9">
      <c r="H8227" s="1092"/>
      <c r="I8227" s="1092"/>
    </row>
    <row r="8228" spans="8:9">
      <c r="H8228" s="1092"/>
      <c r="I8228" s="1092"/>
    </row>
    <row r="8229" spans="8:9">
      <c r="H8229" s="1092"/>
      <c r="I8229" s="1092"/>
    </row>
    <row r="8230" spans="8:9">
      <c r="H8230" s="1092"/>
      <c r="I8230" s="1092"/>
    </row>
    <row r="8231" spans="8:9">
      <c r="H8231" s="1092"/>
      <c r="I8231" s="1092"/>
    </row>
    <row r="8232" spans="8:9">
      <c r="H8232" s="1092"/>
      <c r="I8232" s="1092"/>
    </row>
    <row r="8233" spans="8:9">
      <c r="H8233" s="1092"/>
      <c r="I8233" s="1092"/>
    </row>
    <row r="8234" spans="8:9">
      <c r="H8234" s="1092"/>
      <c r="I8234" s="1092"/>
    </row>
    <row r="8235" spans="8:9">
      <c r="H8235" s="1092"/>
      <c r="I8235" s="1092"/>
    </row>
    <row r="8236" spans="8:9">
      <c r="H8236" s="1092"/>
      <c r="I8236" s="1092"/>
    </row>
    <row r="8237" spans="8:9">
      <c r="H8237" s="1092"/>
      <c r="I8237" s="1092"/>
    </row>
    <row r="8238" spans="8:9">
      <c r="H8238" s="1092"/>
      <c r="I8238" s="1092"/>
    </row>
    <row r="8239" spans="8:9">
      <c r="H8239" s="1092"/>
      <c r="I8239" s="1092"/>
    </row>
    <row r="8240" spans="8:9">
      <c r="H8240" s="1092"/>
      <c r="I8240" s="1092"/>
    </row>
    <row r="8241" spans="8:9">
      <c r="H8241" s="1092"/>
      <c r="I8241" s="1092"/>
    </row>
    <row r="8242" spans="8:9">
      <c r="H8242" s="1092"/>
      <c r="I8242" s="1092"/>
    </row>
    <row r="8243" spans="8:9">
      <c r="H8243" s="1092"/>
      <c r="I8243" s="1092"/>
    </row>
    <row r="8244" spans="8:9">
      <c r="H8244" s="1092"/>
      <c r="I8244" s="1092"/>
    </row>
    <row r="8245" spans="8:9">
      <c r="H8245" s="1092"/>
      <c r="I8245" s="1092"/>
    </row>
    <row r="8246" spans="8:9">
      <c r="H8246" s="1092"/>
      <c r="I8246" s="1092"/>
    </row>
    <row r="8247" spans="8:9">
      <c r="H8247" s="1092"/>
      <c r="I8247" s="1092"/>
    </row>
    <row r="8248" spans="8:9">
      <c r="H8248" s="1092"/>
      <c r="I8248" s="1092"/>
    </row>
    <row r="8249" spans="8:9">
      <c r="H8249" s="1092"/>
      <c r="I8249" s="1092"/>
    </row>
    <row r="8250" spans="8:9">
      <c r="H8250" s="1092"/>
      <c r="I8250" s="1092"/>
    </row>
    <row r="8251" spans="8:9">
      <c r="H8251" s="1092"/>
      <c r="I8251" s="1092"/>
    </row>
    <row r="8252" spans="8:9">
      <c r="H8252" s="1092"/>
      <c r="I8252" s="1092"/>
    </row>
    <row r="8253" spans="8:9">
      <c r="H8253" s="1092"/>
      <c r="I8253" s="1092"/>
    </row>
    <row r="8254" spans="8:9">
      <c r="H8254" s="1092"/>
      <c r="I8254" s="1092"/>
    </row>
    <row r="8255" spans="8:9">
      <c r="H8255" s="1092"/>
      <c r="I8255" s="1092"/>
    </row>
    <row r="8256" spans="8:9">
      <c r="H8256" s="1092"/>
      <c r="I8256" s="1092"/>
    </row>
    <row r="8257" spans="8:9">
      <c r="H8257" s="1092"/>
      <c r="I8257" s="1092"/>
    </row>
    <row r="8258" spans="8:9">
      <c r="H8258" s="1092"/>
      <c r="I8258" s="1092"/>
    </row>
    <row r="8259" spans="8:9">
      <c r="H8259" s="1092"/>
      <c r="I8259" s="1092"/>
    </row>
    <row r="8260" spans="8:9">
      <c r="H8260" s="1092"/>
      <c r="I8260" s="1092"/>
    </row>
    <row r="8261" spans="8:9">
      <c r="H8261" s="1092"/>
      <c r="I8261" s="1092"/>
    </row>
    <row r="8262" spans="8:9">
      <c r="H8262" s="1092"/>
      <c r="I8262" s="1092"/>
    </row>
    <row r="8263" spans="8:9">
      <c r="H8263" s="1092"/>
      <c r="I8263" s="1092"/>
    </row>
    <row r="8264" spans="8:9">
      <c r="H8264" s="1092"/>
      <c r="I8264" s="1092"/>
    </row>
    <row r="8265" spans="8:9">
      <c r="H8265" s="1092"/>
      <c r="I8265" s="1092"/>
    </row>
    <row r="8266" spans="8:9">
      <c r="H8266" s="1092"/>
      <c r="I8266" s="1092"/>
    </row>
    <row r="8267" spans="8:9">
      <c r="H8267" s="1092"/>
      <c r="I8267" s="1092"/>
    </row>
    <row r="8268" spans="8:9">
      <c r="H8268" s="1092"/>
      <c r="I8268" s="1092"/>
    </row>
    <row r="8269" spans="8:9">
      <c r="H8269" s="1092"/>
      <c r="I8269" s="1092"/>
    </row>
    <row r="8270" spans="8:9">
      <c r="H8270" s="1092"/>
      <c r="I8270" s="1092"/>
    </row>
    <row r="8271" spans="8:9">
      <c r="H8271" s="1092"/>
      <c r="I8271" s="1092"/>
    </row>
    <row r="8272" spans="8:9">
      <c r="H8272" s="1092"/>
      <c r="I8272" s="1092"/>
    </row>
    <row r="8273" spans="8:9">
      <c r="H8273" s="1092"/>
      <c r="I8273" s="1092"/>
    </row>
    <row r="8274" spans="8:9">
      <c r="H8274" s="1092"/>
      <c r="I8274" s="1092"/>
    </row>
    <row r="8275" spans="8:9">
      <c r="H8275" s="1092"/>
      <c r="I8275" s="1092"/>
    </row>
    <row r="8276" spans="8:9">
      <c r="H8276" s="1092"/>
      <c r="I8276" s="1092"/>
    </row>
    <row r="8277" spans="8:9">
      <c r="H8277" s="1092"/>
      <c r="I8277" s="1092"/>
    </row>
    <row r="8278" spans="8:9">
      <c r="H8278" s="1092"/>
      <c r="I8278" s="1092"/>
    </row>
    <row r="8279" spans="8:9">
      <c r="H8279" s="1092"/>
      <c r="I8279" s="1092"/>
    </row>
    <row r="8280" spans="8:9">
      <c r="H8280" s="1092"/>
      <c r="I8280" s="1092"/>
    </row>
    <row r="8281" spans="8:9">
      <c r="H8281" s="1092"/>
      <c r="I8281" s="1092"/>
    </row>
    <row r="8282" spans="8:9">
      <c r="H8282" s="1092"/>
      <c r="I8282" s="1092"/>
    </row>
    <row r="8283" spans="8:9">
      <c r="H8283" s="1092"/>
      <c r="I8283" s="1092"/>
    </row>
    <row r="8284" spans="8:9">
      <c r="H8284" s="1092"/>
      <c r="I8284" s="1092"/>
    </row>
    <row r="8285" spans="8:9">
      <c r="H8285" s="1092"/>
      <c r="I8285" s="1092"/>
    </row>
    <row r="8286" spans="8:9">
      <c r="H8286" s="1092"/>
      <c r="I8286" s="1092"/>
    </row>
    <row r="8287" spans="8:9">
      <c r="H8287" s="1092"/>
      <c r="I8287" s="1092"/>
    </row>
    <row r="8288" spans="8:9">
      <c r="H8288" s="1092"/>
      <c r="I8288" s="1092"/>
    </row>
    <row r="8289" spans="8:9">
      <c r="H8289" s="1092"/>
      <c r="I8289" s="1092"/>
    </row>
    <row r="8290" spans="8:9">
      <c r="H8290" s="1092"/>
      <c r="I8290" s="1092"/>
    </row>
    <row r="8291" spans="8:9">
      <c r="H8291" s="1092"/>
      <c r="I8291" s="1092"/>
    </row>
    <row r="8292" spans="8:9">
      <c r="H8292" s="1092"/>
      <c r="I8292" s="1092"/>
    </row>
    <row r="8293" spans="8:9">
      <c r="H8293" s="1092"/>
      <c r="I8293" s="1092"/>
    </row>
    <row r="8294" spans="8:9">
      <c r="H8294" s="1092"/>
      <c r="I8294" s="1092"/>
    </row>
    <row r="8295" spans="8:9">
      <c r="H8295" s="1092"/>
      <c r="I8295" s="1092"/>
    </row>
    <row r="8296" spans="8:9">
      <c r="H8296" s="1092"/>
      <c r="I8296" s="1092"/>
    </row>
    <row r="8297" spans="8:9">
      <c r="H8297" s="1092"/>
      <c r="I8297" s="1092"/>
    </row>
    <row r="8298" spans="8:9">
      <c r="H8298" s="1092"/>
      <c r="I8298" s="1092"/>
    </row>
    <row r="8299" spans="8:9">
      <c r="H8299" s="1092"/>
      <c r="I8299" s="1092"/>
    </row>
    <row r="8300" spans="8:9">
      <c r="H8300" s="1092"/>
      <c r="I8300" s="1092"/>
    </row>
    <row r="8301" spans="8:9">
      <c r="H8301" s="1092"/>
      <c r="I8301" s="1092"/>
    </row>
    <row r="8302" spans="8:9">
      <c r="H8302" s="1092"/>
      <c r="I8302" s="1092"/>
    </row>
    <row r="8303" spans="8:9">
      <c r="H8303" s="1092"/>
      <c r="I8303" s="1092"/>
    </row>
    <row r="8304" spans="8:9">
      <c r="H8304" s="1092"/>
      <c r="I8304" s="1092"/>
    </row>
    <row r="8305" spans="8:9">
      <c r="H8305" s="1092"/>
      <c r="I8305" s="1092"/>
    </row>
    <row r="8306" spans="8:9">
      <c r="H8306" s="1092"/>
      <c r="I8306" s="1092"/>
    </row>
    <row r="8307" spans="8:9">
      <c r="H8307" s="1092"/>
      <c r="I8307" s="1092"/>
    </row>
    <row r="8308" spans="8:9">
      <c r="H8308" s="1092"/>
      <c r="I8308" s="1092"/>
    </row>
    <row r="8309" spans="8:9">
      <c r="H8309" s="1092"/>
      <c r="I8309" s="1092"/>
    </row>
    <row r="8310" spans="8:9">
      <c r="H8310" s="1092"/>
      <c r="I8310" s="1092"/>
    </row>
    <row r="8311" spans="8:9">
      <c r="H8311" s="1092"/>
      <c r="I8311" s="1092"/>
    </row>
    <row r="8312" spans="8:9">
      <c r="H8312" s="1092"/>
      <c r="I8312" s="1092"/>
    </row>
    <row r="8313" spans="8:9">
      <c r="H8313" s="1092"/>
      <c r="I8313" s="1092"/>
    </row>
    <row r="8314" spans="8:9">
      <c r="H8314" s="1092"/>
      <c r="I8314" s="1092"/>
    </row>
    <row r="8315" spans="8:9">
      <c r="H8315" s="1092"/>
      <c r="I8315" s="1092"/>
    </row>
    <row r="8316" spans="8:9">
      <c r="H8316" s="1092"/>
      <c r="I8316" s="1092"/>
    </row>
    <row r="8317" spans="8:9">
      <c r="H8317" s="1092"/>
      <c r="I8317" s="1092"/>
    </row>
    <row r="8318" spans="8:9">
      <c r="H8318" s="1092"/>
      <c r="I8318" s="1092"/>
    </row>
    <row r="8319" spans="8:9">
      <c r="H8319" s="1092"/>
      <c r="I8319" s="1092"/>
    </row>
    <row r="8320" spans="8:9">
      <c r="H8320" s="1092"/>
      <c r="I8320" s="1092"/>
    </row>
    <row r="8321" spans="8:9">
      <c r="H8321" s="1092"/>
      <c r="I8321" s="1092"/>
    </row>
    <row r="8322" spans="8:9">
      <c r="H8322" s="1092"/>
      <c r="I8322" s="1092"/>
    </row>
    <row r="8323" spans="8:9">
      <c r="H8323" s="1092"/>
      <c r="I8323" s="1092"/>
    </row>
    <row r="8324" spans="8:9">
      <c r="H8324" s="1092"/>
      <c r="I8324" s="1092"/>
    </row>
    <row r="8325" spans="8:9">
      <c r="H8325" s="1092"/>
      <c r="I8325" s="1092"/>
    </row>
    <row r="8326" spans="8:9">
      <c r="H8326" s="1092"/>
      <c r="I8326" s="1092"/>
    </row>
    <row r="8327" spans="8:9">
      <c r="H8327" s="1092"/>
      <c r="I8327" s="1092"/>
    </row>
    <row r="8328" spans="8:9">
      <c r="H8328" s="1092"/>
      <c r="I8328" s="1092"/>
    </row>
    <row r="8329" spans="8:9">
      <c r="H8329" s="1092"/>
      <c r="I8329" s="1092"/>
    </row>
    <row r="8330" spans="8:9">
      <c r="H8330" s="1092"/>
      <c r="I8330" s="1092"/>
    </row>
    <row r="8331" spans="8:9">
      <c r="H8331" s="1092"/>
      <c r="I8331" s="1092"/>
    </row>
    <row r="8332" spans="8:9">
      <c r="H8332" s="1092"/>
      <c r="I8332" s="1092"/>
    </row>
    <row r="8333" spans="8:9">
      <c r="H8333" s="1092"/>
      <c r="I8333" s="1092"/>
    </row>
    <row r="8334" spans="8:9">
      <c r="H8334" s="1092"/>
      <c r="I8334" s="1092"/>
    </row>
    <row r="8335" spans="8:9">
      <c r="H8335" s="1092"/>
      <c r="I8335" s="1092"/>
    </row>
    <row r="8336" spans="8:9">
      <c r="H8336" s="1092"/>
      <c r="I8336" s="1092"/>
    </row>
    <row r="8337" spans="8:9">
      <c r="H8337" s="1092"/>
      <c r="I8337" s="1092"/>
    </row>
    <row r="8338" spans="8:9">
      <c r="H8338" s="1092"/>
      <c r="I8338" s="1092"/>
    </row>
    <row r="8339" spans="8:9">
      <c r="H8339" s="1092"/>
      <c r="I8339" s="1092"/>
    </row>
    <row r="8340" spans="8:9">
      <c r="H8340" s="1092"/>
      <c r="I8340" s="1092"/>
    </row>
    <row r="8341" spans="8:9">
      <c r="H8341" s="1092"/>
      <c r="I8341" s="1092"/>
    </row>
    <row r="8342" spans="8:9">
      <c r="H8342" s="1092"/>
      <c r="I8342" s="1092"/>
    </row>
    <row r="8343" spans="8:9">
      <c r="H8343" s="1092"/>
      <c r="I8343" s="1092"/>
    </row>
    <row r="8344" spans="8:9">
      <c r="H8344" s="1092"/>
      <c r="I8344" s="1092"/>
    </row>
    <row r="8345" spans="8:9">
      <c r="H8345" s="1092"/>
      <c r="I8345" s="1092"/>
    </row>
    <row r="8346" spans="8:9">
      <c r="H8346" s="1092"/>
      <c r="I8346" s="1092"/>
    </row>
    <row r="8347" spans="8:9">
      <c r="H8347" s="1092"/>
      <c r="I8347" s="1092"/>
    </row>
    <row r="8348" spans="8:9">
      <c r="H8348" s="1092"/>
      <c r="I8348" s="1092"/>
    </row>
    <row r="8349" spans="8:9">
      <c r="H8349" s="1092"/>
      <c r="I8349" s="1092"/>
    </row>
    <row r="8350" spans="8:9">
      <c r="H8350" s="1092"/>
      <c r="I8350" s="1092"/>
    </row>
    <row r="8351" spans="8:9">
      <c r="H8351" s="1092"/>
      <c r="I8351" s="1092"/>
    </row>
    <row r="8352" spans="8:9">
      <c r="H8352" s="1092"/>
      <c r="I8352" s="1092"/>
    </row>
    <row r="8353" spans="8:9">
      <c r="H8353" s="1092"/>
      <c r="I8353" s="1092"/>
    </row>
    <row r="8354" spans="8:9">
      <c r="H8354" s="1092"/>
      <c r="I8354" s="1092"/>
    </row>
    <row r="8355" spans="8:9">
      <c r="H8355" s="1092"/>
      <c r="I8355" s="1092"/>
    </row>
    <row r="8356" spans="8:9">
      <c r="H8356" s="1092"/>
      <c r="I8356" s="1092"/>
    </row>
    <row r="8357" spans="8:9">
      <c r="H8357" s="1092"/>
      <c r="I8357" s="1092"/>
    </row>
    <row r="8358" spans="8:9">
      <c r="H8358" s="1092"/>
      <c r="I8358" s="1092"/>
    </row>
    <row r="8359" spans="8:9">
      <c r="H8359" s="1092"/>
      <c r="I8359" s="1092"/>
    </row>
    <row r="8360" spans="8:9">
      <c r="H8360" s="1092"/>
      <c r="I8360" s="1092"/>
    </row>
    <row r="8361" spans="8:9">
      <c r="H8361" s="1092"/>
      <c r="I8361" s="1092"/>
    </row>
    <row r="8362" spans="8:9">
      <c r="H8362" s="1092"/>
      <c r="I8362" s="1092"/>
    </row>
    <row r="8363" spans="8:9">
      <c r="H8363" s="1092"/>
      <c r="I8363" s="1092"/>
    </row>
    <row r="8364" spans="8:9">
      <c r="H8364" s="1092"/>
      <c r="I8364" s="1092"/>
    </row>
    <row r="8365" spans="8:9">
      <c r="H8365" s="1092"/>
      <c r="I8365" s="1092"/>
    </row>
    <row r="8366" spans="8:9">
      <c r="H8366" s="1092"/>
      <c r="I8366" s="1092"/>
    </row>
    <row r="8367" spans="8:9">
      <c r="H8367" s="1092"/>
      <c r="I8367" s="1092"/>
    </row>
    <row r="8368" spans="8:9">
      <c r="H8368" s="1092"/>
      <c r="I8368" s="1092"/>
    </row>
    <row r="8369" spans="8:9">
      <c r="H8369" s="1092"/>
      <c r="I8369" s="1092"/>
    </row>
    <row r="8370" spans="8:9">
      <c r="H8370" s="1092"/>
      <c r="I8370" s="1092"/>
    </row>
    <row r="8371" spans="8:9">
      <c r="H8371" s="1092"/>
      <c r="I8371" s="1092"/>
    </row>
    <row r="8372" spans="8:9">
      <c r="H8372" s="1092"/>
      <c r="I8372" s="1092"/>
    </row>
    <row r="8373" spans="8:9">
      <c r="H8373" s="1092"/>
      <c r="I8373" s="1092"/>
    </row>
    <row r="8374" spans="8:9">
      <c r="H8374" s="1092"/>
      <c r="I8374" s="1092"/>
    </row>
    <row r="8375" spans="8:9">
      <c r="H8375" s="1092"/>
      <c r="I8375" s="1092"/>
    </row>
    <row r="8376" spans="8:9">
      <c r="H8376" s="1092"/>
      <c r="I8376" s="1092"/>
    </row>
    <row r="8377" spans="8:9">
      <c r="H8377" s="1092"/>
      <c r="I8377" s="1092"/>
    </row>
    <row r="8378" spans="8:9">
      <c r="H8378" s="1092"/>
      <c r="I8378" s="1092"/>
    </row>
    <row r="8379" spans="8:9">
      <c r="H8379" s="1092"/>
      <c r="I8379" s="1092"/>
    </row>
    <row r="8380" spans="8:9">
      <c r="H8380" s="1092"/>
      <c r="I8380" s="1092"/>
    </row>
    <row r="8381" spans="8:9">
      <c r="H8381" s="1092"/>
      <c r="I8381" s="1092"/>
    </row>
    <row r="8382" spans="8:9">
      <c r="H8382" s="1092"/>
      <c r="I8382" s="1092"/>
    </row>
    <row r="8383" spans="8:9">
      <c r="H8383" s="1092"/>
      <c r="I8383" s="1092"/>
    </row>
    <row r="8384" spans="8:9">
      <c r="H8384" s="1092"/>
      <c r="I8384" s="1092"/>
    </row>
    <row r="8385" spans="8:9">
      <c r="H8385" s="1092"/>
      <c r="I8385" s="1092"/>
    </row>
    <row r="8386" spans="8:9">
      <c r="H8386" s="1092"/>
      <c r="I8386" s="1092"/>
    </row>
    <row r="8387" spans="8:9">
      <c r="H8387" s="1092"/>
      <c r="I8387" s="1092"/>
    </row>
    <row r="8388" spans="8:9">
      <c r="H8388" s="1092"/>
      <c r="I8388" s="1092"/>
    </row>
    <row r="8389" spans="8:9">
      <c r="H8389" s="1092"/>
      <c r="I8389" s="1092"/>
    </row>
    <row r="8390" spans="8:9">
      <c r="H8390" s="1092"/>
      <c r="I8390" s="1092"/>
    </row>
    <row r="8391" spans="8:9">
      <c r="H8391" s="1092"/>
      <c r="I8391" s="1092"/>
    </row>
    <row r="8392" spans="8:9">
      <c r="H8392" s="1092"/>
      <c r="I8392" s="1092"/>
    </row>
    <row r="8393" spans="8:9">
      <c r="H8393" s="1092"/>
      <c r="I8393" s="1092"/>
    </row>
    <row r="8394" spans="8:9">
      <c r="H8394" s="1092"/>
      <c r="I8394" s="1092"/>
    </row>
    <row r="8395" spans="8:9">
      <c r="H8395" s="1092"/>
      <c r="I8395" s="1092"/>
    </row>
    <row r="8396" spans="8:9">
      <c r="H8396" s="1092"/>
      <c r="I8396" s="1092"/>
    </row>
    <row r="8397" spans="8:9">
      <c r="H8397" s="1092"/>
      <c r="I8397" s="1092"/>
    </row>
    <row r="8398" spans="8:9">
      <c r="H8398" s="1092"/>
      <c r="I8398" s="1092"/>
    </row>
    <row r="8399" spans="8:9">
      <c r="H8399" s="1092"/>
      <c r="I8399" s="1092"/>
    </row>
    <row r="8400" spans="8:9">
      <c r="H8400" s="1092"/>
      <c r="I8400" s="1092"/>
    </row>
    <row r="8401" spans="8:9">
      <c r="H8401" s="1092"/>
      <c r="I8401" s="1092"/>
    </row>
    <row r="8402" spans="8:9">
      <c r="H8402" s="1092"/>
      <c r="I8402" s="1092"/>
    </row>
    <row r="8403" spans="8:9">
      <c r="H8403" s="1092"/>
      <c r="I8403" s="1092"/>
    </row>
    <row r="8404" spans="8:9">
      <c r="H8404" s="1092"/>
      <c r="I8404" s="1092"/>
    </row>
    <row r="8405" spans="8:9">
      <c r="H8405" s="1092"/>
      <c r="I8405" s="1092"/>
    </row>
    <row r="8406" spans="8:9">
      <c r="H8406" s="1092"/>
      <c r="I8406" s="1092"/>
    </row>
    <row r="8407" spans="8:9">
      <c r="H8407" s="1092"/>
      <c r="I8407" s="1092"/>
    </row>
    <row r="8408" spans="8:9">
      <c r="H8408" s="1092"/>
      <c r="I8408" s="1092"/>
    </row>
    <row r="8409" spans="8:9">
      <c r="H8409" s="1092"/>
      <c r="I8409" s="1092"/>
    </row>
    <row r="8410" spans="8:9">
      <c r="H8410" s="1092"/>
      <c r="I8410" s="1092"/>
    </row>
    <row r="8411" spans="8:9">
      <c r="H8411" s="1092"/>
      <c r="I8411" s="1092"/>
    </row>
    <row r="8412" spans="8:9">
      <c r="H8412" s="1092"/>
      <c r="I8412" s="1092"/>
    </row>
    <row r="8413" spans="8:9">
      <c r="H8413" s="1092"/>
      <c r="I8413" s="1092"/>
    </row>
    <row r="8414" spans="8:9">
      <c r="H8414" s="1092"/>
      <c r="I8414" s="1092"/>
    </row>
    <row r="8415" spans="8:9">
      <c r="H8415" s="1092"/>
      <c r="I8415" s="1092"/>
    </row>
    <row r="8416" spans="8:9">
      <c r="H8416" s="1092"/>
      <c r="I8416" s="1092"/>
    </row>
    <row r="8417" spans="8:9">
      <c r="H8417" s="1092"/>
      <c r="I8417" s="1092"/>
    </row>
    <row r="8418" spans="8:9">
      <c r="H8418" s="1092"/>
      <c r="I8418" s="1092"/>
    </row>
    <row r="8419" spans="8:9">
      <c r="H8419" s="1092"/>
      <c r="I8419" s="1092"/>
    </row>
    <row r="8420" spans="8:9">
      <c r="H8420" s="1092"/>
      <c r="I8420" s="1092"/>
    </row>
    <row r="8421" spans="8:9">
      <c r="H8421" s="1092"/>
      <c r="I8421" s="1092"/>
    </row>
    <row r="8422" spans="8:9">
      <c r="H8422" s="1092"/>
      <c r="I8422" s="1092"/>
    </row>
    <row r="8423" spans="8:9">
      <c r="H8423" s="1092"/>
      <c r="I8423" s="1092"/>
    </row>
    <row r="8424" spans="8:9">
      <c r="H8424" s="1092"/>
      <c r="I8424" s="1092"/>
    </row>
    <row r="8425" spans="8:9">
      <c r="H8425" s="1092"/>
      <c r="I8425" s="1092"/>
    </row>
    <row r="8426" spans="8:9">
      <c r="H8426" s="1092"/>
      <c r="I8426" s="1092"/>
    </row>
    <row r="8427" spans="8:9">
      <c r="H8427" s="1092"/>
      <c r="I8427" s="1092"/>
    </row>
    <row r="8428" spans="8:9">
      <c r="H8428" s="1092"/>
      <c r="I8428" s="1092"/>
    </row>
    <row r="8429" spans="8:9">
      <c r="H8429" s="1092"/>
      <c r="I8429" s="1092"/>
    </row>
    <row r="8430" spans="8:9">
      <c r="H8430" s="1092"/>
      <c r="I8430" s="1092"/>
    </row>
    <row r="8431" spans="8:9">
      <c r="H8431" s="1092"/>
      <c r="I8431" s="1092"/>
    </row>
    <row r="8432" spans="8:9">
      <c r="H8432" s="1092"/>
      <c r="I8432" s="1092"/>
    </row>
    <row r="8433" spans="8:9">
      <c r="H8433" s="1092"/>
      <c r="I8433" s="1092"/>
    </row>
    <row r="8434" spans="8:9">
      <c r="H8434" s="1092"/>
      <c r="I8434" s="1092"/>
    </row>
    <row r="8435" spans="8:9">
      <c r="H8435" s="1092"/>
      <c r="I8435" s="1092"/>
    </row>
    <row r="8436" spans="8:9">
      <c r="H8436" s="1092"/>
      <c r="I8436" s="1092"/>
    </row>
    <row r="8437" spans="8:9">
      <c r="H8437" s="1092"/>
      <c r="I8437" s="1092"/>
    </row>
    <row r="8438" spans="8:9">
      <c r="H8438" s="1092"/>
      <c r="I8438" s="1092"/>
    </row>
    <row r="8439" spans="8:9">
      <c r="H8439" s="1092"/>
      <c r="I8439" s="1092"/>
    </row>
    <row r="8440" spans="8:9">
      <c r="H8440" s="1092"/>
      <c r="I8440" s="1092"/>
    </row>
    <row r="8441" spans="8:9">
      <c r="H8441" s="1092"/>
      <c r="I8441" s="1092"/>
    </row>
    <row r="8442" spans="8:9">
      <c r="H8442" s="1092"/>
      <c r="I8442" s="1092"/>
    </row>
    <row r="8443" spans="8:9">
      <c r="H8443" s="1092"/>
      <c r="I8443" s="1092"/>
    </row>
    <row r="8444" spans="8:9">
      <c r="H8444" s="1092"/>
      <c r="I8444" s="1092"/>
    </row>
    <row r="8445" spans="8:9">
      <c r="H8445" s="1092"/>
      <c r="I8445" s="1092"/>
    </row>
    <row r="8446" spans="8:9">
      <c r="H8446" s="1092"/>
      <c r="I8446" s="1092"/>
    </row>
    <row r="8447" spans="8:9">
      <c r="H8447" s="1092"/>
      <c r="I8447" s="1092"/>
    </row>
    <row r="8448" spans="8:9">
      <c r="H8448" s="1092"/>
      <c r="I8448" s="1092"/>
    </row>
    <row r="8449" spans="8:9">
      <c r="H8449" s="1092"/>
      <c r="I8449" s="1092"/>
    </row>
    <row r="8450" spans="8:9">
      <c r="H8450" s="1092"/>
      <c r="I8450" s="1092"/>
    </row>
    <row r="8451" spans="8:9">
      <c r="H8451" s="1092"/>
      <c r="I8451" s="1092"/>
    </row>
    <row r="8452" spans="8:9">
      <c r="H8452" s="1092"/>
      <c r="I8452" s="1092"/>
    </row>
    <row r="8453" spans="8:9">
      <c r="H8453" s="1092"/>
      <c r="I8453" s="1092"/>
    </row>
    <row r="8454" spans="8:9">
      <c r="H8454" s="1092"/>
      <c r="I8454" s="1092"/>
    </row>
    <row r="8455" spans="8:9">
      <c r="H8455" s="1092"/>
      <c r="I8455" s="1092"/>
    </row>
    <row r="8456" spans="8:9">
      <c r="H8456" s="1092"/>
      <c r="I8456" s="1092"/>
    </row>
    <row r="8457" spans="8:9">
      <c r="H8457" s="1092"/>
      <c r="I8457" s="1092"/>
    </row>
    <row r="8458" spans="8:9">
      <c r="H8458" s="1092"/>
      <c r="I8458" s="1092"/>
    </row>
    <row r="8459" spans="8:9">
      <c r="H8459" s="1092"/>
      <c r="I8459" s="1092"/>
    </row>
    <row r="8460" spans="8:9">
      <c r="H8460" s="1092"/>
      <c r="I8460" s="1092"/>
    </row>
    <row r="8461" spans="8:9">
      <c r="H8461" s="1092"/>
      <c r="I8461" s="1092"/>
    </row>
    <row r="8462" spans="8:9">
      <c r="H8462" s="1092"/>
      <c r="I8462" s="1092"/>
    </row>
    <row r="8463" spans="8:9">
      <c r="H8463" s="1092"/>
      <c r="I8463" s="1092"/>
    </row>
    <row r="8464" spans="8:9">
      <c r="H8464" s="1092"/>
      <c r="I8464" s="1092"/>
    </row>
    <row r="8465" spans="8:9">
      <c r="H8465" s="1092"/>
      <c r="I8465" s="1092"/>
    </row>
    <row r="8466" spans="8:9">
      <c r="H8466" s="1092"/>
      <c r="I8466" s="1092"/>
    </row>
    <row r="8467" spans="8:9">
      <c r="H8467" s="1092"/>
      <c r="I8467" s="1092"/>
    </row>
    <row r="8468" spans="8:9">
      <c r="H8468" s="1092"/>
      <c r="I8468" s="1092"/>
    </row>
    <row r="8469" spans="8:9">
      <c r="H8469" s="1092"/>
      <c r="I8469" s="1092"/>
    </row>
    <row r="8470" spans="8:9">
      <c r="H8470" s="1092"/>
      <c r="I8470" s="1092"/>
    </row>
    <row r="8471" spans="8:9">
      <c r="H8471" s="1092"/>
      <c r="I8471" s="1092"/>
    </row>
    <row r="8472" spans="8:9">
      <c r="H8472" s="1092"/>
      <c r="I8472" s="1092"/>
    </row>
    <row r="8473" spans="8:9">
      <c r="H8473" s="1092"/>
      <c r="I8473" s="1092"/>
    </row>
    <row r="8474" spans="8:9">
      <c r="H8474" s="1092"/>
      <c r="I8474" s="1092"/>
    </row>
    <row r="8475" spans="8:9">
      <c r="H8475" s="1092"/>
      <c r="I8475" s="1092"/>
    </row>
    <row r="8476" spans="8:9">
      <c r="H8476" s="1092"/>
      <c r="I8476" s="1092"/>
    </row>
    <row r="8477" spans="8:9">
      <c r="H8477" s="1092"/>
      <c r="I8477" s="1092"/>
    </row>
    <row r="8478" spans="8:9">
      <c r="H8478" s="1092"/>
      <c r="I8478" s="1092"/>
    </row>
    <row r="8479" spans="8:9">
      <c r="H8479" s="1092"/>
      <c r="I8479" s="1092"/>
    </row>
    <row r="8480" spans="8:9">
      <c r="H8480" s="1092"/>
      <c r="I8480" s="1092"/>
    </row>
    <row r="8481" spans="8:9">
      <c r="H8481" s="1092"/>
      <c r="I8481" s="1092"/>
    </row>
    <row r="8482" spans="8:9">
      <c r="H8482" s="1092"/>
      <c r="I8482" s="1092"/>
    </row>
    <row r="8483" spans="8:9">
      <c r="H8483" s="1092"/>
      <c r="I8483" s="1092"/>
    </row>
    <row r="8484" spans="8:9">
      <c r="H8484" s="1092"/>
      <c r="I8484" s="1092"/>
    </row>
    <row r="8485" spans="8:9">
      <c r="H8485" s="1092"/>
      <c r="I8485" s="1092"/>
    </row>
    <row r="8486" spans="8:9">
      <c r="H8486" s="1092"/>
      <c r="I8486" s="1092"/>
    </row>
    <row r="8487" spans="8:9">
      <c r="H8487" s="1092"/>
      <c r="I8487" s="1092"/>
    </row>
    <row r="8488" spans="8:9">
      <c r="H8488" s="1092"/>
      <c r="I8488" s="1092"/>
    </row>
    <row r="8489" spans="8:9">
      <c r="H8489" s="1092"/>
      <c r="I8489" s="1092"/>
    </row>
    <row r="8490" spans="8:9">
      <c r="H8490" s="1092"/>
      <c r="I8490" s="1092"/>
    </row>
    <row r="8491" spans="8:9">
      <c r="H8491" s="1092"/>
      <c r="I8491" s="1092"/>
    </row>
    <row r="8492" spans="8:9">
      <c r="H8492" s="1092"/>
      <c r="I8492" s="1092"/>
    </row>
    <row r="8493" spans="8:9">
      <c r="H8493" s="1092"/>
      <c r="I8493" s="1092"/>
    </row>
    <row r="8494" spans="8:9">
      <c r="H8494" s="1092"/>
      <c r="I8494" s="1092"/>
    </row>
    <row r="8495" spans="8:9">
      <c r="H8495" s="1092"/>
      <c r="I8495" s="1092"/>
    </row>
    <row r="8496" spans="8:9">
      <c r="H8496" s="1092"/>
      <c r="I8496" s="1092"/>
    </row>
    <row r="8497" spans="8:9">
      <c r="H8497" s="1092"/>
      <c r="I8497" s="1092"/>
    </row>
    <row r="8498" spans="8:9">
      <c r="H8498" s="1092"/>
      <c r="I8498" s="1092"/>
    </row>
    <row r="8499" spans="8:9">
      <c r="H8499" s="1092"/>
      <c r="I8499" s="1092"/>
    </row>
    <row r="8500" spans="8:9">
      <c r="H8500" s="1092"/>
      <c r="I8500" s="1092"/>
    </row>
    <row r="8501" spans="8:9">
      <c r="H8501" s="1092"/>
      <c r="I8501" s="1092"/>
    </row>
    <row r="8502" spans="8:9">
      <c r="H8502" s="1092"/>
      <c r="I8502" s="1092"/>
    </row>
    <row r="8503" spans="8:9">
      <c r="H8503" s="1092"/>
      <c r="I8503" s="1092"/>
    </row>
    <row r="8504" spans="8:9">
      <c r="H8504" s="1092"/>
      <c r="I8504" s="1092"/>
    </row>
    <row r="8505" spans="8:9">
      <c r="H8505" s="1092"/>
      <c r="I8505" s="1092"/>
    </row>
    <row r="8506" spans="8:9">
      <c r="H8506" s="1092"/>
      <c r="I8506" s="1092"/>
    </row>
    <row r="8507" spans="8:9">
      <c r="H8507" s="1092"/>
      <c r="I8507" s="1092"/>
    </row>
    <row r="8508" spans="8:9">
      <c r="H8508" s="1092"/>
      <c r="I8508" s="1092"/>
    </row>
    <row r="8509" spans="8:9">
      <c r="H8509" s="1092"/>
      <c r="I8509" s="1092"/>
    </row>
    <row r="8510" spans="8:9">
      <c r="H8510" s="1092"/>
      <c r="I8510" s="1092"/>
    </row>
    <row r="8511" spans="8:9">
      <c r="H8511" s="1092"/>
      <c r="I8511" s="1092"/>
    </row>
    <row r="8512" spans="8:9">
      <c r="H8512" s="1092"/>
      <c r="I8512" s="1092"/>
    </row>
    <row r="8513" spans="8:9">
      <c r="H8513" s="1092"/>
      <c r="I8513" s="1092"/>
    </row>
    <row r="8514" spans="8:9">
      <c r="H8514" s="1092"/>
      <c r="I8514" s="1092"/>
    </row>
    <row r="8515" spans="8:9">
      <c r="H8515" s="1092"/>
      <c r="I8515" s="1092"/>
    </row>
    <row r="8516" spans="8:9">
      <c r="H8516" s="1092"/>
      <c r="I8516" s="1092"/>
    </row>
    <row r="8517" spans="8:9">
      <c r="H8517" s="1092"/>
      <c r="I8517" s="1092"/>
    </row>
    <row r="8518" spans="8:9">
      <c r="H8518" s="1092"/>
      <c r="I8518" s="1092"/>
    </row>
    <row r="8519" spans="8:9">
      <c r="H8519" s="1092"/>
      <c r="I8519" s="1092"/>
    </row>
    <row r="8520" spans="8:9">
      <c r="H8520" s="1092"/>
      <c r="I8520" s="1092"/>
    </row>
    <row r="8521" spans="8:9">
      <c r="H8521" s="1092"/>
      <c r="I8521" s="1092"/>
    </row>
    <row r="8522" spans="8:9">
      <c r="H8522" s="1092"/>
      <c r="I8522" s="1092"/>
    </row>
    <row r="8523" spans="8:9">
      <c r="H8523" s="1092"/>
      <c r="I8523" s="1092"/>
    </row>
    <row r="8524" spans="8:9">
      <c r="H8524" s="1092"/>
      <c r="I8524" s="1092"/>
    </row>
    <row r="8525" spans="8:9">
      <c r="H8525" s="1092"/>
      <c r="I8525" s="1092"/>
    </row>
    <row r="8526" spans="8:9">
      <c r="H8526" s="1092"/>
      <c r="I8526" s="1092"/>
    </row>
    <row r="8527" spans="8:9">
      <c r="H8527" s="1092"/>
      <c r="I8527" s="1092"/>
    </row>
    <row r="8528" spans="8:9">
      <c r="H8528" s="1092"/>
      <c r="I8528" s="1092"/>
    </row>
    <row r="8529" spans="8:9">
      <c r="H8529" s="1092"/>
      <c r="I8529" s="1092"/>
    </row>
    <row r="8530" spans="8:9">
      <c r="H8530" s="1092"/>
      <c r="I8530" s="1092"/>
    </row>
    <row r="8531" spans="8:9">
      <c r="H8531" s="1092"/>
      <c r="I8531" s="1092"/>
    </row>
    <row r="8532" spans="8:9">
      <c r="H8532" s="1092"/>
      <c r="I8532" s="1092"/>
    </row>
    <row r="8533" spans="8:9">
      <c r="H8533" s="1092"/>
      <c r="I8533" s="1092"/>
    </row>
    <row r="8534" spans="8:9">
      <c r="H8534" s="1092"/>
      <c r="I8534" s="1092"/>
    </row>
    <row r="8535" spans="8:9">
      <c r="H8535" s="1092"/>
      <c r="I8535" s="1092"/>
    </row>
    <row r="8536" spans="8:9">
      <c r="H8536" s="1092"/>
      <c r="I8536" s="1092"/>
    </row>
    <row r="8537" spans="8:9">
      <c r="H8537" s="1092"/>
      <c r="I8537" s="1092"/>
    </row>
    <row r="8538" spans="8:9">
      <c r="H8538" s="1092"/>
      <c r="I8538" s="1092"/>
    </row>
    <row r="8539" spans="8:9">
      <c r="H8539" s="1092"/>
      <c r="I8539" s="1092"/>
    </row>
    <row r="8540" spans="8:9">
      <c r="H8540" s="1092"/>
      <c r="I8540" s="1092"/>
    </row>
    <row r="8541" spans="8:9">
      <c r="H8541" s="1092"/>
      <c r="I8541" s="1092"/>
    </row>
    <row r="8542" spans="8:9">
      <c r="H8542" s="1092"/>
      <c r="I8542" s="1092"/>
    </row>
    <row r="8543" spans="8:9">
      <c r="H8543" s="1092"/>
      <c r="I8543" s="1092"/>
    </row>
    <row r="8544" spans="8:9">
      <c r="H8544" s="1092"/>
      <c r="I8544" s="1092"/>
    </row>
    <row r="8545" spans="8:9">
      <c r="H8545" s="1092"/>
      <c r="I8545" s="1092"/>
    </row>
    <row r="8546" spans="8:9">
      <c r="H8546" s="1092"/>
      <c r="I8546" s="1092"/>
    </row>
    <row r="8547" spans="8:9">
      <c r="H8547" s="1092"/>
      <c r="I8547" s="1092"/>
    </row>
    <row r="8548" spans="8:9">
      <c r="H8548" s="1092"/>
      <c r="I8548" s="1092"/>
    </row>
    <row r="8549" spans="8:9">
      <c r="H8549" s="1092"/>
      <c r="I8549" s="1092"/>
    </row>
    <row r="8550" spans="8:9">
      <c r="H8550" s="1092"/>
      <c r="I8550" s="1092"/>
    </row>
    <row r="8551" spans="8:9">
      <c r="H8551" s="1092"/>
      <c r="I8551" s="1092"/>
    </row>
    <row r="8552" spans="8:9">
      <c r="H8552" s="1092"/>
      <c r="I8552" s="1092"/>
    </row>
    <row r="8553" spans="8:9">
      <c r="H8553" s="1092"/>
      <c r="I8553" s="1092"/>
    </row>
    <row r="8554" spans="8:9">
      <c r="H8554" s="1092"/>
      <c r="I8554" s="1092"/>
    </row>
    <row r="8555" spans="8:9">
      <c r="H8555" s="1092"/>
      <c r="I8555" s="1092"/>
    </row>
    <row r="8556" spans="8:9">
      <c r="H8556" s="1092"/>
      <c r="I8556" s="1092"/>
    </row>
    <row r="8557" spans="8:9">
      <c r="H8557" s="1092"/>
      <c r="I8557" s="1092"/>
    </row>
    <row r="8558" spans="8:9">
      <c r="H8558" s="1092"/>
      <c r="I8558" s="1092"/>
    </row>
    <row r="8559" spans="8:9">
      <c r="H8559" s="1092"/>
      <c r="I8559" s="1092"/>
    </row>
    <row r="8560" spans="8:9">
      <c r="H8560" s="1092"/>
      <c r="I8560" s="1092"/>
    </row>
    <row r="8561" spans="8:9">
      <c r="H8561" s="1092"/>
      <c r="I8561" s="1092"/>
    </row>
    <row r="8562" spans="8:9">
      <c r="H8562" s="1092"/>
      <c r="I8562" s="1092"/>
    </row>
    <row r="8563" spans="8:9">
      <c r="H8563" s="1092"/>
      <c r="I8563" s="1092"/>
    </row>
    <row r="8564" spans="8:9">
      <c r="H8564" s="1092"/>
      <c r="I8564" s="1092"/>
    </row>
    <row r="8565" spans="8:9">
      <c r="H8565" s="1092"/>
      <c r="I8565" s="1092"/>
    </row>
    <row r="8566" spans="8:9">
      <c r="H8566" s="1092"/>
      <c r="I8566" s="1092"/>
    </row>
    <row r="8567" spans="8:9">
      <c r="H8567" s="1092"/>
      <c r="I8567" s="1092"/>
    </row>
    <row r="8568" spans="8:9">
      <c r="H8568" s="1092"/>
      <c r="I8568" s="1092"/>
    </row>
    <row r="8569" spans="8:9">
      <c r="H8569" s="1092"/>
      <c r="I8569" s="1092"/>
    </row>
    <row r="8570" spans="8:9">
      <c r="H8570" s="1092"/>
      <c r="I8570" s="1092"/>
    </row>
    <row r="8571" spans="8:9">
      <c r="H8571" s="1092"/>
      <c r="I8571" s="1092"/>
    </row>
    <row r="8572" spans="8:9">
      <c r="H8572" s="1092"/>
      <c r="I8572" s="1092"/>
    </row>
    <row r="8573" spans="8:9">
      <c r="H8573" s="1092"/>
      <c r="I8573" s="1092"/>
    </row>
    <row r="8574" spans="8:9">
      <c r="H8574" s="1092"/>
      <c r="I8574" s="1092"/>
    </row>
    <row r="8575" spans="8:9">
      <c r="H8575" s="1092"/>
      <c r="I8575" s="1092"/>
    </row>
    <row r="8576" spans="8:9">
      <c r="H8576" s="1092"/>
      <c r="I8576" s="1092"/>
    </row>
    <row r="8577" spans="8:9">
      <c r="H8577" s="1092"/>
      <c r="I8577" s="1092"/>
    </row>
    <row r="8578" spans="8:9">
      <c r="H8578" s="1092"/>
      <c r="I8578" s="1092"/>
    </row>
    <row r="8579" spans="8:9">
      <c r="H8579" s="1092"/>
      <c r="I8579" s="1092"/>
    </row>
    <row r="8580" spans="8:9">
      <c r="H8580" s="1092"/>
      <c r="I8580" s="1092"/>
    </row>
    <row r="8581" spans="8:9">
      <c r="H8581" s="1092"/>
      <c r="I8581" s="1092"/>
    </row>
    <row r="8582" spans="8:9">
      <c r="H8582" s="1092"/>
      <c r="I8582" s="1092"/>
    </row>
    <row r="8583" spans="8:9">
      <c r="H8583" s="1092"/>
      <c r="I8583" s="1092"/>
    </row>
    <row r="8584" spans="8:9">
      <c r="H8584" s="1092"/>
      <c r="I8584" s="1092"/>
    </row>
    <row r="8585" spans="8:9">
      <c r="H8585" s="1092"/>
      <c r="I8585" s="1092"/>
    </row>
    <row r="8586" spans="8:9">
      <c r="H8586" s="1092"/>
      <c r="I8586" s="1092"/>
    </row>
    <row r="8587" spans="8:9">
      <c r="H8587" s="1092"/>
      <c r="I8587" s="1092"/>
    </row>
    <row r="8588" spans="8:9">
      <c r="H8588" s="1092"/>
      <c r="I8588" s="1092"/>
    </row>
    <row r="8589" spans="8:9">
      <c r="H8589" s="1092"/>
      <c r="I8589" s="1092"/>
    </row>
    <row r="8590" spans="8:9">
      <c r="H8590" s="1092"/>
      <c r="I8590" s="1092"/>
    </row>
    <row r="8591" spans="8:9">
      <c r="H8591" s="1092"/>
      <c r="I8591" s="1092"/>
    </row>
    <row r="8592" spans="8:9">
      <c r="H8592" s="1092"/>
      <c r="I8592" s="1092"/>
    </row>
    <row r="8593" spans="8:9">
      <c r="H8593" s="1092"/>
      <c r="I8593" s="1092"/>
    </row>
    <row r="8594" spans="8:9">
      <c r="H8594" s="1092"/>
      <c r="I8594" s="1092"/>
    </row>
    <row r="8595" spans="8:9">
      <c r="H8595" s="1092"/>
      <c r="I8595" s="1092"/>
    </row>
    <row r="8596" spans="8:9">
      <c r="H8596" s="1092"/>
      <c r="I8596" s="1092"/>
    </row>
    <row r="8597" spans="8:9">
      <c r="H8597" s="1092"/>
      <c r="I8597" s="1092"/>
    </row>
    <row r="8598" spans="8:9">
      <c r="H8598" s="1092"/>
      <c r="I8598" s="1092"/>
    </row>
    <row r="8599" spans="8:9">
      <c r="H8599" s="1092"/>
      <c r="I8599" s="1092"/>
    </row>
    <row r="8600" spans="8:9">
      <c r="H8600" s="1092"/>
      <c r="I8600" s="1092"/>
    </row>
    <row r="8601" spans="8:9">
      <c r="H8601" s="1092"/>
      <c r="I8601" s="1092"/>
    </row>
    <row r="8602" spans="8:9">
      <c r="H8602" s="1092"/>
      <c r="I8602" s="1092"/>
    </row>
    <row r="8603" spans="8:9">
      <c r="H8603" s="1092"/>
      <c r="I8603" s="1092"/>
    </row>
    <row r="8604" spans="8:9">
      <c r="H8604" s="1092"/>
      <c r="I8604" s="1092"/>
    </row>
    <row r="8605" spans="8:9">
      <c r="H8605" s="1092"/>
      <c r="I8605" s="1092"/>
    </row>
    <row r="8606" spans="8:9">
      <c r="H8606" s="1092"/>
      <c r="I8606" s="1092"/>
    </row>
    <row r="8607" spans="8:9">
      <c r="H8607" s="1092"/>
      <c r="I8607" s="1092"/>
    </row>
    <row r="8608" spans="8:9">
      <c r="H8608" s="1092"/>
      <c r="I8608" s="1092"/>
    </row>
    <row r="8609" spans="8:9">
      <c r="H8609" s="1092"/>
      <c r="I8609" s="1092"/>
    </row>
    <row r="8610" spans="8:9">
      <c r="H8610" s="1092"/>
      <c r="I8610" s="1092"/>
    </row>
    <row r="8611" spans="8:9">
      <c r="H8611" s="1092"/>
      <c r="I8611" s="1092"/>
    </row>
    <row r="8612" spans="8:9">
      <c r="H8612" s="1092"/>
      <c r="I8612" s="1092"/>
    </row>
    <row r="8613" spans="8:9">
      <c r="H8613" s="1092"/>
      <c r="I8613" s="1092"/>
    </row>
    <row r="8614" spans="8:9">
      <c r="H8614" s="1092"/>
      <c r="I8614" s="1092"/>
    </row>
    <row r="8615" spans="8:9">
      <c r="H8615" s="1092"/>
      <c r="I8615" s="1092"/>
    </row>
    <row r="8616" spans="8:9">
      <c r="H8616" s="1092"/>
      <c r="I8616" s="1092"/>
    </row>
    <row r="8617" spans="8:9">
      <c r="H8617" s="1092"/>
      <c r="I8617" s="1092"/>
    </row>
    <row r="8618" spans="8:9">
      <c r="H8618" s="1092"/>
      <c r="I8618" s="1092"/>
    </row>
    <row r="8619" spans="8:9">
      <c r="H8619" s="1092"/>
      <c r="I8619" s="1092"/>
    </row>
    <row r="8620" spans="8:9">
      <c r="H8620" s="1092"/>
      <c r="I8620" s="1092"/>
    </row>
    <row r="8621" spans="8:9">
      <c r="H8621" s="1092"/>
      <c r="I8621" s="1092"/>
    </row>
    <row r="8622" spans="8:9">
      <c r="H8622" s="1092"/>
      <c r="I8622" s="1092"/>
    </row>
    <row r="8623" spans="8:9">
      <c r="H8623" s="1092"/>
      <c r="I8623" s="1092"/>
    </row>
    <row r="8624" spans="8:9">
      <c r="H8624" s="1092"/>
      <c r="I8624" s="1092"/>
    </row>
    <row r="8625" spans="8:9">
      <c r="H8625" s="1092"/>
      <c r="I8625" s="1092"/>
    </row>
    <row r="8626" spans="8:9">
      <c r="H8626" s="1092"/>
      <c r="I8626" s="1092"/>
    </row>
    <row r="8627" spans="8:9">
      <c r="H8627" s="1092"/>
      <c r="I8627" s="1092"/>
    </row>
    <row r="8628" spans="8:9">
      <c r="H8628" s="1092"/>
      <c r="I8628" s="1092"/>
    </row>
    <row r="8629" spans="8:9">
      <c r="H8629" s="1092"/>
      <c r="I8629" s="1092"/>
    </row>
    <row r="8630" spans="8:9">
      <c r="H8630" s="1092"/>
      <c r="I8630" s="1092"/>
    </row>
    <row r="8631" spans="8:9">
      <c r="H8631" s="1092"/>
      <c r="I8631" s="1092"/>
    </row>
    <row r="8632" spans="8:9">
      <c r="H8632" s="1092"/>
      <c r="I8632" s="1092"/>
    </row>
    <row r="8633" spans="8:9">
      <c r="H8633" s="1092"/>
      <c r="I8633" s="1092"/>
    </row>
    <row r="8634" spans="8:9">
      <c r="H8634" s="1092"/>
      <c r="I8634" s="1092"/>
    </row>
    <row r="8635" spans="8:9">
      <c r="H8635" s="1092"/>
      <c r="I8635" s="1092"/>
    </row>
    <row r="8636" spans="8:9">
      <c r="H8636" s="1092"/>
      <c r="I8636" s="1092"/>
    </row>
    <row r="8637" spans="8:9">
      <c r="H8637" s="1092"/>
      <c r="I8637" s="1092"/>
    </row>
    <row r="8638" spans="8:9">
      <c r="H8638" s="1092"/>
      <c r="I8638" s="1092"/>
    </row>
    <row r="8639" spans="8:9">
      <c r="H8639" s="1092"/>
      <c r="I8639" s="1092"/>
    </row>
    <row r="8640" spans="8:9">
      <c r="H8640" s="1092"/>
      <c r="I8640" s="1092"/>
    </row>
    <row r="8641" spans="8:9">
      <c r="H8641" s="1092"/>
      <c r="I8641" s="1092"/>
    </row>
    <row r="8642" spans="8:9">
      <c r="H8642" s="1092"/>
      <c r="I8642" s="1092"/>
    </row>
    <row r="8643" spans="8:9">
      <c r="H8643" s="1092"/>
      <c r="I8643" s="1092"/>
    </row>
    <row r="8644" spans="8:9">
      <c r="H8644" s="1092"/>
      <c r="I8644" s="1092"/>
    </row>
    <row r="8645" spans="8:9">
      <c r="H8645" s="1092"/>
      <c r="I8645" s="1092"/>
    </row>
    <row r="8646" spans="8:9">
      <c r="H8646" s="1092"/>
      <c r="I8646" s="1092"/>
    </row>
    <row r="8647" spans="8:9">
      <c r="H8647" s="1092"/>
      <c r="I8647" s="1092"/>
    </row>
    <row r="8648" spans="8:9">
      <c r="H8648" s="1092"/>
      <c r="I8648" s="1092"/>
    </row>
    <row r="8649" spans="8:9">
      <c r="H8649" s="1092"/>
      <c r="I8649" s="1092"/>
    </row>
    <row r="8650" spans="8:9">
      <c r="H8650" s="1092"/>
      <c r="I8650" s="1092"/>
    </row>
    <row r="8651" spans="8:9">
      <c r="H8651" s="1092"/>
      <c r="I8651" s="1092"/>
    </row>
    <row r="8652" spans="8:9">
      <c r="H8652" s="1092"/>
      <c r="I8652" s="1092"/>
    </row>
    <row r="8653" spans="8:9">
      <c r="H8653" s="1092"/>
      <c r="I8653" s="1092"/>
    </row>
    <row r="8654" spans="8:9">
      <c r="H8654" s="1092"/>
      <c r="I8654" s="1092"/>
    </row>
    <row r="8655" spans="8:9">
      <c r="H8655" s="1092"/>
      <c r="I8655" s="1092"/>
    </row>
    <row r="8656" spans="8:9">
      <c r="H8656" s="1092"/>
      <c r="I8656" s="1092"/>
    </row>
    <row r="8657" spans="8:9">
      <c r="H8657" s="1092"/>
      <c r="I8657" s="1092"/>
    </row>
    <row r="8658" spans="8:9">
      <c r="H8658" s="1092"/>
      <c r="I8658" s="1092"/>
    </row>
    <row r="8659" spans="8:9">
      <c r="H8659" s="1092"/>
      <c r="I8659" s="1092"/>
    </row>
    <row r="8660" spans="8:9">
      <c r="H8660" s="1092"/>
      <c r="I8660" s="1092"/>
    </row>
    <row r="8661" spans="8:9">
      <c r="H8661" s="1092"/>
      <c r="I8661" s="1092"/>
    </row>
    <row r="8662" spans="8:9">
      <c r="H8662" s="1092"/>
      <c r="I8662" s="1092"/>
    </row>
    <row r="8663" spans="8:9">
      <c r="H8663" s="1092"/>
      <c r="I8663" s="1092"/>
    </row>
    <row r="8664" spans="8:9">
      <c r="H8664" s="1092"/>
      <c r="I8664" s="1092"/>
    </row>
    <row r="8665" spans="8:9">
      <c r="H8665" s="1092"/>
      <c r="I8665" s="1092"/>
    </row>
    <row r="8666" spans="8:9">
      <c r="H8666" s="1092"/>
      <c r="I8666" s="1092"/>
    </row>
    <row r="8667" spans="8:9">
      <c r="H8667" s="1092"/>
      <c r="I8667" s="1092"/>
    </row>
    <row r="8668" spans="8:9">
      <c r="H8668" s="1092"/>
      <c r="I8668" s="1092"/>
    </row>
    <row r="8669" spans="8:9">
      <c r="H8669" s="1092"/>
      <c r="I8669" s="1092"/>
    </row>
    <row r="8670" spans="8:9">
      <c r="H8670" s="1092"/>
      <c r="I8670" s="1092"/>
    </row>
    <row r="8671" spans="8:9">
      <c r="H8671" s="1092"/>
      <c r="I8671" s="1092"/>
    </row>
    <row r="8672" spans="8:9">
      <c r="H8672" s="1092"/>
      <c r="I8672" s="1092"/>
    </row>
    <row r="8673" spans="8:9">
      <c r="H8673" s="1092"/>
      <c r="I8673" s="1092"/>
    </row>
    <row r="8674" spans="8:9">
      <c r="H8674" s="1092"/>
      <c r="I8674" s="1092"/>
    </row>
    <row r="8675" spans="8:9">
      <c r="H8675" s="1092"/>
      <c r="I8675" s="1092"/>
    </row>
    <row r="8676" spans="8:9">
      <c r="H8676" s="1092"/>
      <c r="I8676" s="1092"/>
    </row>
    <row r="8677" spans="8:9">
      <c r="H8677" s="1092"/>
      <c r="I8677" s="1092"/>
    </row>
    <row r="8678" spans="8:9">
      <c r="H8678" s="1092"/>
      <c r="I8678" s="1092"/>
    </row>
    <row r="8679" spans="8:9">
      <c r="H8679" s="1092"/>
      <c r="I8679" s="1092"/>
    </row>
    <row r="8680" spans="8:9">
      <c r="H8680" s="1092"/>
      <c r="I8680" s="1092"/>
    </row>
    <row r="8681" spans="8:9">
      <c r="H8681" s="1092"/>
      <c r="I8681" s="1092"/>
    </row>
    <row r="8682" spans="8:9">
      <c r="H8682" s="1092"/>
      <c r="I8682" s="1092"/>
    </row>
    <row r="8683" spans="8:9">
      <c r="H8683" s="1092"/>
      <c r="I8683" s="1092"/>
    </row>
    <row r="8684" spans="8:9">
      <c r="H8684" s="1092"/>
      <c r="I8684" s="1092"/>
    </row>
    <row r="8685" spans="8:9">
      <c r="H8685" s="1092"/>
      <c r="I8685" s="1092"/>
    </row>
    <row r="8686" spans="8:9">
      <c r="H8686" s="1092"/>
      <c r="I8686" s="1092"/>
    </row>
    <row r="8687" spans="8:9">
      <c r="H8687" s="1092"/>
      <c r="I8687" s="1092"/>
    </row>
    <row r="8688" spans="8:9">
      <c r="H8688" s="1092"/>
      <c r="I8688" s="1092"/>
    </row>
    <row r="8689" spans="8:9">
      <c r="H8689" s="1092"/>
      <c r="I8689" s="1092"/>
    </row>
    <row r="8690" spans="8:9">
      <c r="H8690" s="1092"/>
      <c r="I8690" s="1092"/>
    </row>
    <row r="8691" spans="8:9">
      <c r="H8691" s="1092"/>
      <c r="I8691" s="1092"/>
    </row>
    <row r="8692" spans="8:9">
      <c r="H8692" s="1092"/>
      <c r="I8692" s="1092"/>
    </row>
    <row r="8693" spans="8:9">
      <c r="H8693" s="1092"/>
      <c r="I8693" s="1092"/>
    </row>
    <row r="8694" spans="8:9">
      <c r="H8694" s="1092"/>
      <c r="I8694" s="1092"/>
    </row>
    <row r="8695" spans="8:9">
      <c r="H8695" s="1092"/>
      <c r="I8695" s="1092"/>
    </row>
    <row r="8696" spans="8:9">
      <c r="H8696" s="1092"/>
      <c r="I8696" s="1092"/>
    </row>
    <row r="8697" spans="8:9">
      <c r="H8697" s="1092"/>
      <c r="I8697" s="1092"/>
    </row>
    <row r="8698" spans="8:9">
      <c r="H8698" s="1092"/>
      <c r="I8698" s="1092"/>
    </row>
    <row r="8699" spans="8:9">
      <c r="H8699" s="1092"/>
      <c r="I8699" s="1092"/>
    </row>
    <row r="8700" spans="8:9">
      <c r="H8700" s="1092"/>
      <c r="I8700" s="1092"/>
    </row>
    <row r="8701" spans="8:9">
      <c r="H8701" s="1092"/>
      <c r="I8701" s="1092"/>
    </row>
    <row r="8702" spans="8:9">
      <c r="H8702" s="1092"/>
      <c r="I8702" s="1092"/>
    </row>
    <row r="8703" spans="8:9">
      <c r="H8703" s="1092"/>
      <c r="I8703" s="1092"/>
    </row>
    <row r="8704" spans="8:9">
      <c r="H8704" s="1092"/>
      <c r="I8704" s="1092"/>
    </row>
    <row r="8705" spans="8:9">
      <c r="H8705" s="1092"/>
      <c r="I8705" s="1092"/>
    </row>
    <row r="8706" spans="8:9">
      <c r="H8706" s="1092"/>
      <c r="I8706" s="1092"/>
    </row>
    <row r="8707" spans="8:9">
      <c r="H8707" s="1092"/>
      <c r="I8707" s="1092"/>
    </row>
    <row r="8708" spans="8:9">
      <c r="H8708" s="1092"/>
      <c r="I8708" s="1092"/>
    </row>
    <row r="8709" spans="8:9">
      <c r="H8709" s="1092"/>
      <c r="I8709" s="1092"/>
    </row>
    <row r="8710" spans="8:9">
      <c r="H8710" s="1092"/>
      <c r="I8710" s="1092"/>
    </row>
    <row r="8711" spans="8:9">
      <c r="H8711" s="1092"/>
      <c r="I8711" s="1092"/>
    </row>
    <row r="8712" spans="8:9">
      <c r="H8712" s="1092"/>
      <c r="I8712" s="1092"/>
    </row>
    <row r="8713" spans="8:9">
      <c r="H8713" s="1092"/>
      <c r="I8713" s="1092"/>
    </row>
    <row r="8714" spans="8:9">
      <c r="H8714" s="1092"/>
      <c r="I8714" s="1092"/>
    </row>
    <row r="8715" spans="8:9">
      <c r="H8715" s="1092"/>
      <c r="I8715" s="1092"/>
    </row>
    <row r="8716" spans="8:9">
      <c r="H8716" s="1092"/>
      <c r="I8716" s="1092"/>
    </row>
    <row r="8717" spans="8:9">
      <c r="H8717" s="1092"/>
      <c r="I8717" s="1092"/>
    </row>
    <row r="8718" spans="8:9">
      <c r="H8718" s="1092"/>
      <c r="I8718" s="1092"/>
    </row>
    <row r="8719" spans="8:9">
      <c r="H8719" s="1092"/>
      <c r="I8719" s="1092"/>
    </row>
    <row r="8720" spans="8:9">
      <c r="H8720" s="1092"/>
      <c r="I8720" s="1092"/>
    </row>
    <row r="8721" spans="8:9">
      <c r="H8721" s="1092"/>
      <c r="I8721" s="1092"/>
    </row>
    <row r="8722" spans="8:9">
      <c r="H8722" s="1092"/>
      <c r="I8722" s="1092"/>
    </row>
    <row r="8723" spans="8:9">
      <c r="H8723" s="1092"/>
      <c r="I8723" s="1092"/>
    </row>
    <row r="8724" spans="8:9">
      <c r="H8724" s="1092"/>
      <c r="I8724" s="1092"/>
    </row>
    <row r="8725" spans="8:9">
      <c r="H8725" s="1092"/>
      <c r="I8725" s="1092"/>
    </row>
    <row r="8726" spans="8:9">
      <c r="H8726" s="1092"/>
      <c r="I8726" s="1092"/>
    </row>
    <row r="8727" spans="8:9">
      <c r="H8727" s="1092"/>
      <c r="I8727" s="1092"/>
    </row>
    <row r="8728" spans="8:9">
      <c r="H8728" s="1092"/>
      <c r="I8728" s="1092"/>
    </row>
    <row r="8729" spans="8:9">
      <c r="H8729" s="1092"/>
      <c r="I8729" s="1092"/>
    </row>
    <row r="8730" spans="8:9">
      <c r="H8730" s="1092"/>
      <c r="I8730" s="1092"/>
    </row>
    <row r="8731" spans="8:9">
      <c r="H8731" s="1092"/>
      <c r="I8731" s="1092"/>
    </row>
    <row r="8732" spans="8:9">
      <c r="H8732" s="1092"/>
      <c r="I8732" s="1092"/>
    </row>
    <row r="8733" spans="8:9">
      <c r="H8733" s="1092"/>
      <c r="I8733" s="1092"/>
    </row>
    <row r="8734" spans="8:9">
      <c r="H8734" s="1092"/>
      <c r="I8734" s="1092"/>
    </row>
    <row r="8735" spans="8:9">
      <c r="H8735" s="1092"/>
      <c r="I8735" s="1092"/>
    </row>
    <row r="8736" spans="8:9">
      <c r="H8736" s="1092"/>
      <c r="I8736" s="1092"/>
    </row>
    <row r="8737" spans="8:9">
      <c r="H8737" s="1092"/>
      <c r="I8737" s="1092"/>
    </row>
    <row r="8738" spans="8:9">
      <c r="H8738" s="1092"/>
      <c r="I8738" s="1092"/>
    </row>
    <row r="8739" spans="8:9">
      <c r="H8739" s="1092"/>
      <c r="I8739" s="1092"/>
    </row>
    <row r="8740" spans="8:9">
      <c r="H8740" s="1092"/>
      <c r="I8740" s="1092"/>
    </row>
    <row r="8741" spans="8:9">
      <c r="H8741" s="1092"/>
      <c r="I8741" s="1092"/>
    </row>
    <row r="8742" spans="8:9">
      <c r="H8742" s="1092"/>
      <c r="I8742" s="1092"/>
    </row>
    <row r="8743" spans="8:9">
      <c r="H8743" s="1092"/>
      <c r="I8743" s="1092"/>
    </row>
    <row r="8744" spans="8:9">
      <c r="H8744" s="1092"/>
      <c r="I8744" s="1092"/>
    </row>
    <row r="8745" spans="8:9">
      <c r="H8745" s="1092"/>
      <c r="I8745" s="1092"/>
    </row>
    <row r="8746" spans="8:9">
      <c r="H8746" s="1092"/>
      <c r="I8746" s="1092"/>
    </row>
    <row r="8747" spans="8:9">
      <c r="H8747" s="1092"/>
      <c r="I8747" s="1092"/>
    </row>
    <row r="8748" spans="8:9">
      <c r="H8748" s="1092"/>
      <c r="I8748" s="1092"/>
    </row>
    <row r="8749" spans="8:9">
      <c r="H8749" s="1092"/>
      <c r="I8749" s="1092"/>
    </row>
    <row r="8750" spans="8:9">
      <c r="H8750" s="1092"/>
      <c r="I8750" s="1092"/>
    </row>
    <row r="8751" spans="8:9">
      <c r="H8751" s="1092"/>
      <c r="I8751" s="1092"/>
    </row>
    <row r="8752" spans="8:9">
      <c r="H8752" s="1092"/>
      <c r="I8752" s="1092"/>
    </row>
    <row r="8753" spans="8:9">
      <c r="H8753" s="1092"/>
      <c r="I8753" s="1092"/>
    </row>
    <row r="8754" spans="8:9">
      <c r="H8754" s="1092"/>
      <c r="I8754" s="1092"/>
    </row>
    <row r="8755" spans="8:9">
      <c r="H8755" s="1092"/>
      <c r="I8755" s="1092"/>
    </row>
    <row r="8756" spans="8:9">
      <c r="H8756" s="1092"/>
      <c r="I8756" s="1092"/>
    </row>
    <row r="8757" spans="8:9">
      <c r="H8757" s="1092"/>
      <c r="I8757" s="1092"/>
    </row>
    <row r="8758" spans="8:9">
      <c r="H8758" s="1092"/>
      <c r="I8758" s="1092"/>
    </row>
    <row r="8759" spans="8:9">
      <c r="H8759" s="1092"/>
      <c r="I8759" s="1092"/>
    </row>
    <row r="8760" spans="8:9">
      <c r="H8760" s="1092"/>
      <c r="I8760" s="1092"/>
    </row>
    <row r="8761" spans="8:9">
      <c r="H8761" s="1092"/>
      <c r="I8761" s="1092"/>
    </row>
    <row r="8762" spans="8:9">
      <c r="H8762" s="1092"/>
      <c r="I8762" s="1092"/>
    </row>
    <row r="8763" spans="8:9">
      <c r="H8763" s="1092"/>
      <c r="I8763" s="1092"/>
    </row>
    <row r="8764" spans="8:9">
      <c r="H8764" s="1092"/>
      <c r="I8764" s="1092"/>
    </row>
    <row r="8765" spans="8:9">
      <c r="H8765" s="1092"/>
      <c r="I8765" s="1092"/>
    </row>
    <row r="8766" spans="8:9">
      <c r="H8766" s="1092"/>
      <c r="I8766" s="1092"/>
    </row>
    <row r="8767" spans="8:9">
      <c r="H8767" s="1092"/>
      <c r="I8767" s="1092"/>
    </row>
    <row r="8768" spans="8:9">
      <c r="H8768" s="1092"/>
      <c r="I8768" s="1092"/>
    </row>
    <row r="8769" spans="8:9">
      <c r="H8769" s="1092"/>
      <c r="I8769" s="1092"/>
    </row>
    <row r="8770" spans="8:9">
      <c r="H8770" s="1092"/>
      <c r="I8770" s="1092"/>
    </row>
    <row r="8771" spans="8:9">
      <c r="H8771" s="1092"/>
      <c r="I8771" s="1092"/>
    </row>
    <row r="8772" spans="8:9">
      <c r="H8772" s="1092"/>
      <c r="I8772" s="1092"/>
    </row>
    <row r="8773" spans="8:9">
      <c r="H8773" s="1092"/>
      <c r="I8773" s="1092"/>
    </row>
    <row r="8774" spans="8:9">
      <c r="H8774" s="1092"/>
      <c r="I8774" s="1092"/>
    </row>
    <row r="8775" spans="8:9">
      <c r="H8775" s="1092"/>
      <c r="I8775" s="1092"/>
    </row>
    <row r="8776" spans="8:9">
      <c r="H8776" s="1092"/>
      <c r="I8776" s="1092"/>
    </row>
    <row r="8777" spans="8:9">
      <c r="H8777" s="1092"/>
      <c r="I8777" s="1092"/>
    </row>
    <row r="8778" spans="8:9">
      <c r="H8778" s="1092"/>
      <c r="I8778" s="1092"/>
    </row>
    <row r="8779" spans="8:9">
      <c r="H8779" s="1092"/>
      <c r="I8779" s="1092"/>
    </row>
    <row r="8780" spans="8:9">
      <c r="H8780" s="1092"/>
      <c r="I8780" s="1092"/>
    </row>
    <row r="8781" spans="8:9">
      <c r="H8781" s="1092"/>
      <c r="I8781" s="1092"/>
    </row>
    <row r="8782" spans="8:9">
      <c r="H8782" s="1092"/>
      <c r="I8782" s="1092"/>
    </row>
    <row r="8783" spans="8:9">
      <c r="H8783" s="1092"/>
      <c r="I8783" s="1092"/>
    </row>
    <row r="8784" spans="8:9">
      <c r="H8784" s="1092"/>
      <c r="I8784" s="1092"/>
    </row>
    <row r="8785" spans="8:9">
      <c r="H8785" s="1092"/>
      <c r="I8785" s="1092"/>
    </row>
    <row r="8786" spans="8:9">
      <c r="H8786" s="1092"/>
      <c r="I8786" s="1092"/>
    </row>
    <row r="8787" spans="8:9">
      <c r="H8787" s="1092"/>
      <c r="I8787" s="1092"/>
    </row>
    <row r="8788" spans="8:9">
      <c r="H8788" s="1092"/>
      <c r="I8788" s="1092"/>
    </row>
    <row r="8789" spans="8:9">
      <c r="H8789" s="1092"/>
      <c r="I8789" s="1092"/>
    </row>
    <row r="8790" spans="8:9">
      <c r="H8790" s="1092"/>
      <c r="I8790" s="1092"/>
    </row>
    <row r="8791" spans="8:9">
      <c r="H8791" s="1092"/>
      <c r="I8791" s="1092"/>
    </row>
    <row r="8792" spans="8:9">
      <c r="H8792" s="1092"/>
      <c r="I8792" s="1092"/>
    </row>
    <row r="8793" spans="8:9">
      <c r="H8793" s="1092"/>
      <c r="I8793" s="1092"/>
    </row>
    <row r="8794" spans="8:9">
      <c r="H8794" s="1092"/>
      <c r="I8794" s="1092"/>
    </row>
    <row r="8795" spans="8:9">
      <c r="H8795" s="1092"/>
      <c r="I8795" s="1092"/>
    </row>
    <row r="8796" spans="8:9">
      <c r="H8796" s="1092"/>
      <c r="I8796" s="1092"/>
    </row>
    <row r="8797" spans="8:9">
      <c r="H8797" s="1092"/>
      <c r="I8797" s="1092"/>
    </row>
    <row r="8798" spans="8:9">
      <c r="H8798" s="1092"/>
      <c r="I8798" s="1092"/>
    </row>
    <row r="8799" spans="8:9">
      <c r="H8799" s="1092"/>
      <c r="I8799" s="1092"/>
    </row>
    <row r="8800" spans="8:9">
      <c r="H8800" s="1092"/>
      <c r="I8800" s="1092"/>
    </row>
    <row r="8801" spans="8:9">
      <c r="H8801" s="1092"/>
      <c r="I8801" s="1092"/>
    </row>
    <row r="8802" spans="8:9">
      <c r="H8802" s="1092"/>
      <c r="I8802" s="1092"/>
    </row>
    <row r="8803" spans="8:9">
      <c r="H8803" s="1092"/>
      <c r="I8803" s="1092"/>
    </row>
    <row r="8804" spans="8:9">
      <c r="H8804" s="1092"/>
      <c r="I8804" s="1092"/>
    </row>
    <row r="8805" spans="8:9">
      <c r="H8805" s="1092"/>
      <c r="I8805" s="1092"/>
    </row>
    <row r="8806" spans="8:9">
      <c r="H8806" s="1092"/>
      <c r="I8806" s="1092"/>
    </row>
    <row r="8807" spans="8:9">
      <c r="H8807" s="1092"/>
      <c r="I8807" s="1092"/>
    </row>
    <row r="8808" spans="8:9">
      <c r="H8808" s="1092"/>
      <c r="I8808" s="1092"/>
    </row>
    <row r="8809" spans="8:9">
      <c r="H8809" s="1092"/>
      <c r="I8809" s="1092"/>
    </row>
    <row r="8810" spans="8:9">
      <c r="H8810" s="1092"/>
      <c r="I8810" s="1092"/>
    </row>
    <row r="8811" spans="8:9">
      <c r="H8811" s="1092"/>
      <c r="I8811" s="1092"/>
    </row>
    <row r="8812" spans="8:9">
      <c r="H8812" s="1092"/>
      <c r="I8812" s="1092"/>
    </row>
    <row r="8813" spans="8:9">
      <c r="H8813" s="1092"/>
      <c r="I8813" s="1092"/>
    </row>
    <row r="8814" spans="8:9">
      <c r="H8814" s="1092"/>
      <c r="I8814" s="1092"/>
    </row>
    <row r="8815" spans="8:9">
      <c r="H8815" s="1092"/>
      <c r="I8815" s="1092"/>
    </row>
    <row r="8816" spans="8:9">
      <c r="H8816" s="1092"/>
      <c r="I8816" s="1092"/>
    </row>
    <row r="8817" spans="8:9">
      <c r="H8817" s="1092"/>
      <c r="I8817" s="1092"/>
    </row>
    <row r="8818" spans="8:9">
      <c r="H8818" s="1092"/>
      <c r="I8818" s="1092"/>
    </row>
    <row r="8819" spans="8:9">
      <c r="H8819" s="1092"/>
      <c r="I8819" s="1092"/>
    </row>
    <row r="8820" spans="8:9">
      <c r="H8820" s="1092"/>
      <c r="I8820" s="1092"/>
    </row>
    <row r="8821" spans="8:9">
      <c r="H8821" s="1092"/>
      <c r="I8821" s="1092"/>
    </row>
    <row r="8822" spans="8:9">
      <c r="H8822" s="1092"/>
      <c r="I8822" s="1092"/>
    </row>
    <row r="8823" spans="8:9">
      <c r="H8823" s="1092"/>
      <c r="I8823" s="1092"/>
    </row>
    <row r="8824" spans="8:9">
      <c r="H8824" s="1092"/>
      <c r="I8824" s="1092"/>
    </row>
    <row r="8825" spans="8:9">
      <c r="H8825" s="1092"/>
      <c r="I8825" s="1092"/>
    </row>
    <row r="8826" spans="8:9">
      <c r="H8826" s="1092"/>
      <c r="I8826" s="1092"/>
    </row>
    <row r="8827" spans="8:9">
      <c r="H8827" s="1092"/>
      <c r="I8827" s="1092"/>
    </row>
    <row r="8828" spans="8:9">
      <c r="H8828" s="1092"/>
      <c r="I8828" s="1092"/>
    </row>
    <row r="8829" spans="8:9">
      <c r="H8829" s="1092"/>
      <c r="I8829" s="1092"/>
    </row>
    <row r="8830" spans="8:9">
      <c r="H8830" s="1092"/>
      <c r="I8830" s="1092"/>
    </row>
    <row r="8831" spans="8:9">
      <c r="H8831" s="1092"/>
      <c r="I8831" s="1092"/>
    </row>
    <row r="8832" spans="8:9">
      <c r="H8832" s="1092"/>
      <c r="I8832" s="1092"/>
    </row>
    <row r="8833" spans="8:9">
      <c r="H8833" s="1092"/>
      <c r="I8833" s="1092"/>
    </row>
    <row r="8834" spans="8:9">
      <c r="H8834" s="1092"/>
      <c r="I8834" s="1092"/>
    </row>
    <row r="8835" spans="8:9">
      <c r="H8835" s="1092"/>
      <c r="I8835" s="1092"/>
    </row>
    <row r="8836" spans="8:9">
      <c r="H8836" s="1092"/>
      <c r="I8836" s="1092"/>
    </row>
    <row r="8837" spans="8:9">
      <c r="H8837" s="1092"/>
      <c r="I8837" s="1092"/>
    </row>
    <row r="8838" spans="8:9">
      <c r="H8838" s="1092"/>
      <c r="I8838" s="1092"/>
    </row>
    <row r="8839" spans="8:9">
      <c r="H8839" s="1092"/>
      <c r="I8839" s="1092"/>
    </row>
    <row r="8840" spans="8:9">
      <c r="H8840" s="1092"/>
      <c r="I8840" s="1092"/>
    </row>
    <row r="8841" spans="8:9">
      <c r="H8841" s="1092"/>
      <c r="I8841" s="1092"/>
    </row>
    <row r="8842" spans="8:9">
      <c r="H8842" s="1092"/>
      <c r="I8842" s="1092"/>
    </row>
    <row r="8843" spans="8:9">
      <c r="H8843" s="1092"/>
      <c r="I8843" s="1092"/>
    </row>
    <row r="8844" spans="8:9">
      <c r="H8844" s="1092"/>
      <c r="I8844" s="1092"/>
    </row>
    <row r="8845" spans="8:9">
      <c r="H8845" s="1092"/>
      <c r="I8845" s="1092"/>
    </row>
    <row r="8846" spans="8:9">
      <c r="H8846" s="1092"/>
      <c r="I8846" s="1092"/>
    </row>
    <row r="8847" spans="8:9">
      <c r="H8847" s="1092"/>
      <c r="I8847" s="1092"/>
    </row>
    <row r="8848" spans="8:9">
      <c r="H8848" s="1092"/>
      <c r="I8848" s="1092"/>
    </row>
    <row r="8849" spans="8:9">
      <c r="H8849" s="1092"/>
      <c r="I8849" s="1092"/>
    </row>
    <row r="8850" spans="8:9">
      <c r="H8850" s="1092"/>
      <c r="I8850" s="1092"/>
    </row>
    <row r="8851" spans="8:9">
      <c r="H8851" s="1092"/>
      <c r="I8851" s="1092"/>
    </row>
    <row r="8852" spans="8:9">
      <c r="H8852" s="1092"/>
      <c r="I8852" s="1092"/>
    </row>
    <row r="8853" spans="8:9">
      <c r="H8853" s="1092"/>
      <c r="I8853" s="1092"/>
    </row>
    <row r="8854" spans="8:9">
      <c r="H8854" s="1092"/>
      <c r="I8854" s="1092"/>
    </row>
    <row r="8855" spans="8:9">
      <c r="H8855" s="1092"/>
      <c r="I8855" s="1092"/>
    </row>
    <row r="8856" spans="8:9">
      <c r="H8856" s="1092"/>
      <c r="I8856" s="1092"/>
    </row>
    <row r="8857" spans="8:9">
      <c r="H8857" s="1092"/>
      <c r="I8857" s="1092"/>
    </row>
    <row r="8858" spans="8:9">
      <c r="H8858" s="1092"/>
      <c r="I8858" s="1092"/>
    </row>
    <row r="8859" spans="8:9">
      <c r="H8859" s="1092"/>
      <c r="I8859" s="1092"/>
    </row>
    <row r="8860" spans="8:9">
      <c r="H8860" s="1092"/>
      <c r="I8860" s="1092"/>
    </row>
    <row r="8861" spans="8:9">
      <c r="H8861" s="1092"/>
      <c r="I8861" s="1092"/>
    </row>
    <row r="8862" spans="8:9">
      <c r="H8862" s="1092"/>
      <c r="I8862" s="1092"/>
    </row>
    <row r="8863" spans="8:9">
      <c r="H8863" s="1092"/>
      <c r="I8863" s="1092"/>
    </row>
    <row r="8864" spans="8:9">
      <c r="H8864" s="1092"/>
      <c r="I8864" s="1092"/>
    </row>
    <row r="8865" spans="8:9">
      <c r="H8865" s="1092"/>
      <c r="I8865" s="1092"/>
    </row>
    <row r="8866" spans="8:9">
      <c r="H8866" s="1092"/>
      <c r="I8866" s="1092"/>
    </row>
    <row r="8867" spans="8:9">
      <c r="H8867" s="1092"/>
      <c r="I8867" s="1092"/>
    </row>
    <row r="8868" spans="8:9">
      <c r="H8868" s="1092"/>
      <c r="I8868" s="1092"/>
    </row>
    <row r="8869" spans="8:9">
      <c r="H8869" s="1092"/>
      <c r="I8869" s="1092"/>
    </row>
    <row r="8870" spans="8:9">
      <c r="H8870" s="1092"/>
      <c r="I8870" s="1092"/>
    </row>
    <row r="8871" spans="8:9">
      <c r="H8871" s="1092"/>
      <c r="I8871" s="1092"/>
    </row>
    <row r="8872" spans="8:9">
      <c r="H8872" s="1092"/>
      <c r="I8872" s="1092"/>
    </row>
    <row r="8873" spans="8:9">
      <c r="H8873" s="1092"/>
      <c r="I8873" s="1092"/>
    </row>
    <row r="8874" spans="8:9">
      <c r="H8874" s="1092"/>
      <c r="I8874" s="1092"/>
    </row>
    <row r="8875" spans="8:9">
      <c r="H8875" s="1092"/>
      <c r="I8875" s="1092"/>
    </row>
    <row r="8876" spans="8:9">
      <c r="H8876" s="1092"/>
      <c r="I8876" s="1092"/>
    </row>
    <row r="8877" spans="8:9">
      <c r="H8877" s="1092"/>
      <c r="I8877" s="1092"/>
    </row>
    <row r="8878" spans="8:9">
      <c r="H8878" s="1092"/>
      <c r="I8878" s="1092"/>
    </row>
    <row r="8879" spans="8:9">
      <c r="H8879" s="1092"/>
      <c r="I8879" s="1092"/>
    </row>
    <row r="8880" spans="8:9">
      <c r="H8880" s="1092"/>
      <c r="I8880" s="1092"/>
    </row>
    <row r="8881" spans="8:9">
      <c r="H8881" s="1092"/>
      <c r="I8881" s="1092"/>
    </row>
    <row r="8882" spans="8:9">
      <c r="H8882" s="1092"/>
      <c r="I8882" s="1092"/>
    </row>
    <row r="8883" spans="8:9">
      <c r="H8883" s="1092"/>
      <c r="I8883" s="1092"/>
    </row>
    <row r="8884" spans="8:9">
      <c r="H8884" s="1092"/>
      <c r="I8884" s="1092"/>
    </row>
    <row r="8885" spans="8:9">
      <c r="H8885" s="1092"/>
      <c r="I8885" s="1092"/>
    </row>
    <row r="8886" spans="8:9">
      <c r="H8886" s="1092"/>
      <c r="I8886" s="1092"/>
    </row>
    <row r="8887" spans="8:9">
      <c r="H8887" s="1092"/>
      <c r="I8887" s="1092"/>
    </row>
    <row r="8888" spans="8:9">
      <c r="H8888" s="1092"/>
      <c r="I8888" s="1092"/>
    </row>
    <row r="8889" spans="8:9">
      <c r="H8889" s="1092"/>
      <c r="I8889" s="1092"/>
    </row>
    <row r="8890" spans="8:9">
      <c r="H8890" s="1092"/>
      <c r="I8890" s="1092"/>
    </row>
    <row r="8891" spans="8:9">
      <c r="H8891" s="1092"/>
      <c r="I8891" s="1092"/>
    </row>
    <row r="8892" spans="8:9">
      <c r="H8892" s="1092"/>
      <c r="I8892" s="1092"/>
    </row>
    <row r="8893" spans="8:9">
      <c r="H8893" s="1092"/>
      <c r="I8893" s="1092"/>
    </row>
    <row r="8894" spans="8:9">
      <c r="H8894" s="1092"/>
      <c r="I8894" s="1092"/>
    </row>
    <row r="8895" spans="8:9">
      <c r="H8895" s="1092"/>
      <c r="I8895" s="1092"/>
    </row>
    <row r="8896" spans="8:9">
      <c r="H8896" s="1092"/>
      <c r="I8896" s="1092"/>
    </row>
    <row r="8897" spans="8:9">
      <c r="H8897" s="1092"/>
      <c r="I8897" s="1092"/>
    </row>
    <row r="8898" spans="8:9">
      <c r="H8898" s="1092"/>
      <c r="I8898" s="1092"/>
    </row>
    <row r="8899" spans="8:9">
      <c r="H8899" s="1092"/>
      <c r="I8899" s="1092"/>
    </row>
    <row r="8900" spans="8:9">
      <c r="H8900" s="1092"/>
      <c r="I8900" s="1092"/>
    </row>
    <row r="8901" spans="8:9">
      <c r="H8901" s="1092"/>
      <c r="I8901" s="1092"/>
    </row>
    <row r="8902" spans="8:9">
      <c r="H8902" s="1092"/>
      <c r="I8902" s="1092"/>
    </row>
    <row r="8903" spans="8:9">
      <c r="H8903" s="1092"/>
      <c r="I8903" s="1092"/>
    </row>
    <row r="8904" spans="8:9">
      <c r="H8904" s="1092"/>
      <c r="I8904" s="1092"/>
    </row>
    <row r="8905" spans="8:9">
      <c r="H8905" s="1092"/>
      <c r="I8905" s="1092"/>
    </row>
    <row r="8906" spans="8:9">
      <c r="H8906" s="1092"/>
      <c r="I8906" s="1092"/>
    </row>
    <row r="8907" spans="8:9">
      <c r="H8907" s="1092"/>
      <c r="I8907" s="1092"/>
    </row>
    <row r="8908" spans="8:9">
      <c r="H8908" s="1092"/>
      <c r="I8908" s="1092"/>
    </row>
    <row r="8909" spans="8:9">
      <c r="H8909" s="1092"/>
      <c r="I8909" s="1092"/>
    </row>
    <row r="8910" spans="8:9">
      <c r="H8910" s="1092"/>
      <c r="I8910" s="1092"/>
    </row>
    <row r="8911" spans="8:9">
      <c r="H8911" s="1092"/>
      <c r="I8911" s="1092"/>
    </row>
    <row r="8912" spans="8:9">
      <c r="H8912" s="1092"/>
      <c r="I8912" s="1092"/>
    </row>
    <row r="8913" spans="8:9">
      <c r="H8913" s="1092"/>
      <c r="I8913" s="1092"/>
    </row>
    <row r="8914" spans="8:9">
      <c r="H8914" s="1092"/>
      <c r="I8914" s="1092"/>
    </row>
    <row r="8915" spans="8:9">
      <c r="H8915" s="1092"/>
      <c r="I8915" s="1092"/>
    </row>
    <row r="8916" spans="8:9">
      <c r="H8916" s="1092"/>
      <c r="I8916" s="1092"/>
    </row>
    <row r="8917" spans="8:9">
      <c r="H8917" s="1092"/>
      <c r="I8917" s="1092"/>
    </row>
    <row r="8918" spans="8:9">
      <c r="H8918" s="1092"/>
      <c r="I8918" s="1092"/>
    </row>
    <row r="8919" spans="8:9">
      <c r="H8919" s="1092"/>
      <c r="I8919" s="1092"/>
    </row>
    <row r="8920" spans="8:9">
      <c r="H8920" s="1092"/>
      <c r="I8920" s="1092"/>
    </row>
    <row r="8921" spans="8:9">
      <c r="H8921" s="1092"/>
      <c r="I8921" s="1092"/>
    </row>
    <row r="8922" spans="8:9">
      <c r="H8922" s="1092"/>
      <c r="I8922" s="1092"/>
    </row>
    <row r="8923" spans="8:9">
      <c r="H8923" s="1092"/>
      <c r="I8923" s="1092"/>
    </row>
    <row r="8924" spans="8:9">
      <c r="H8924" s="1092"/>
      <c r="I8924" s="1092"/>
    </row>
    <row r="8925" spans="8:9">
      <c r="H8925" s="1092"/>
      <c r="I8925" s="1092"/>
    </row>
    <row r="8926" spans="8:9">
      <c r="H8926" s="1092"/>
      <c r="I8926" s="1092"/>
    </row>
    <row r="8927" spans="8:9">
      <c r="H8927" s="1092"/>
      <c r="I8927" s="1092"/>
    </row>
    <row r="8928" spans="8:9">
      <c r="H8928" s="1092"/>
      <c r="I8928" s="1092"/>
    </row>
    <row r="8929" spans="8:9">
      <c r="H8929" s="1092"/>
      <c r="I8929" s="1092"/>
    </row>
    <row r="8930" spans="8:9">
      <c r="H8930" s="1092"/>
      <c r="I8930" s="1092"/>
    </row>
    <row r="8931" spans="8:9">
      <c r="H8931" s="1092"/>
      <c r="I8931" s="1092"/>
    </row>
    <row r="8932" spans="8:9">
      <c r="H8932" s="1092"/>
      <c r="I8932" s="1092"/>
    </row>
    <row r="8933" spans="8:9">
      <c r="H8933" s="1092"/>
      <c r="I8933" s="1092"/>
    </row>
    <row r="8934" spans="8:9">
      <c r="H8934" s="1092"/>
      <c r="I8934" s="1092"/>
    </row>
    <row r="8935" spans="8:9">
      <c r="H8935" s="1092"/>
      <c r="I8935" s="1092"/>
    </row>
    <row r="8936" spans="8:9">
      <c r="H8936" s="1092"/>
      <c r="I8936" s="1092"/>
    </row>
    <row r="8937" spans="8:9">
      <c r="H8937" s="1092"/>
      <c r="I8937" s="1092"/>
    </row>
    <row r="8938" spans="8:9">
      <c r="H8938" s="1092"/>
      <c r="I8938" s="1092"/>
    </row>
    <row r="8939" spans="8:9">
      <c r="H8939" s="1092"/>
      <c r="I8939" s="1092"/>
    </row>
    <row r="8940" spans="8:9">
      <c r="H8940" s="1092"/>
      <c r="I8940" s="1092"/>
    </row>
    <row r="8941" spans="8:9">
      <c r="H8941" s="1092"/>
      <c r="I8941" s="1092"/>
    </row>
    <row r="8942" spans="8:9">
      <c r="H8942" s="1092"/>
      <c r="I8942" s="1092"/>
    </row>
    <row r="8943" spans="8:9">
      <c r="H8943" s="1092"/>
      <c r="I8943" s="1092"/>
    </row>
    <row r="8944" spans="8:9">
      <c r="H8944" s="1092"/>
      <c r="I8944" s="1092"/>
    </row>
    <row r="8945" spans="8:9">
      <c r="H8945" s="1092"/>
      <c r="I8945" s="1092"/>
    </row>
    <row r="8946" spans="8:9">
      <c r="H8946" s="1092"/>
      <c r="I8946" s="1092"/>
    </row>
    <row r="8947" spans="8:9">
      <c r="H8947" s="1092"/>
      <c r="I8947" s="1092"/>
    </row>
    <row r="8948" spans="8:9">
      <c r="H8948" s="1092"/>
      <c r="I8948" s="1092"/>
    </row>
    <row r="8949" spans="8:9">
      <c r="H8949" s="1092"/>
      <c r="I8949" s="1092"/>
    </row>
    <row r="8950" spans="8:9">
      <c r="H8950" s="1092"/>
      <c r="I8950" s="1092"/>
    </row>
    <row r="8951" spans="8:9">
      <c r="H8951" s="1092"/>
      <c r="I8951" s="1092"/>
    </row>
    <row r="8952" spans="8:9">
      <c r="H8952" s="1092"/>
      <c r="I8952" s="1092"/>
    </row>
    <row r="8953" spans="8:9">
      <c r="H8953" s="1092"/>
      <c r="I8953" s="1092"/>
    </row>
    <row r="8954" spans="8:9">
      <c r="H8954" s="1092"/>
      <c r="I8954" s="1092"/>
    </row>
    <row r="8955" spans="8:9">
      <c r="H8955" s="1092"/>
      <c r="I8955" s="1092"/>
    </row>
    <row r="8956" spans="8:9">
      <c r="H8956" s="1092"/>
      <c r="I8956" s="1092"/>
    </row>
    <row r="8957" spans="8:9">
      <c r="H8957" s="1092"/>
      <c r="I8957" s="1092"/>
    </row>
    <row r="8958" spans="8:9">
      <c r="H8958" s="1092"/>
      <c r="I8958" s="1092"/>
    </row>
    <row r="8959" spans="8:9">
      <c r="H8959" s="1092"/>
      <c r="I8959" s="1092"/>
    </row>
    <row r="8960" spans="8:9">
      <c r="H8960" s="1092"/>
      <c r="I8960" s="1092"/>
    </row>
    <row r="8961" spans="8:9">
      <c r="H8961" s="1092"/>
      <c r="I8961" s="1092"/>
    </row>
    <row r="8962" spans="8:9">
      <c r="H8962" s="1092"/>
      <c r="I8962" s="1092"/>
    </row>
    <row r="8963" spans="8:9">
      <c r="H8963" s="1092"/>
      <c r="I8963" s="1092"/>
    </row>
    <row r="8964" spans="8:9">
      <c r="H8964" s="1092"/>
      <c r="I8964" s="1092"/>
    </row>
    <row r="8965" spans="8:9">
      <c r="H8965" s="1092"/>
      <c r="I8965" s="1092"/>
    </row>
    <row r="8966" spans="8:9">
      <c r="H8966" s="1092"/>
      <c r="I8966" s="1092"/>
    </row>
    <row r="8967" spans="8:9">
      <c r="H8967" s="1092"/>
      <c r="I8967" s="1092"/>
    </row>
    <row r="8968" spans="8:9">
      <c r="H8968" s="1092"/>
      <c r="I8968" s="1092"/>
    </row>
    <row r="8969" spans="8:9">
      <c r="H8969" s="1092"/>
      <c r="I8969" s="1092"/>
    </row>
    <row r="8970" spans="8:9">
      <c r="H8970" s="1092"/>
      <c r="I8970" s="1092"/>
    </row>
    <row r="8971" spans="8:9">
      <c r="H8971" s="1092"/>
      <c r="I8971" s="1092"/>
    </row>
    <row r="8972" spans="8:9">
      <c r="H8972" s="1092"/>
      <c r="I8972" s="1092"/>
    </row>
    <row r="8973" spans="8:9">
      <c r="H8973" s="1092"/>
      <c r="I8973" s="1092"/>
    </row>
    <row r="8974" spans="8:9">
      <c r="H8974" s="1092"/>
      <c r="I8974" s="1092"/>
    </row>
    <row r="8975" spans="8:9">
      <c r="H8975" s="1092"/>
      <c r="I8975" s="1092"/>
    </row>
    <row r="8976" spans="8:9">
      <c r="H8976" s="1092"/>
      <c r="I8976" s="1092"/>
    </row>
    <row r="8977" spans="8:9">
      <c r="H8977" s="1092"/>
      <c r="I8977" s="1092"/>
    </row>
    <row r="8978" spans="8:9">
      <c r="H8978" s="1092"/>
      <c r="I8978" s="1092"/>
    </row>
    <row r="8979" spans="8:9">
      <c r="H8979" s="1092"/>
      <c r="I8979" s="1092"/>
    </row>
    <row r="8980" spans="8:9">
      <c r="H8980" s="1092"/>
      <c r="I8980" s="1092"/>
    </row>
    <row r="8981" spans="8:9">
      <c r="H8981" s="1092"/>
      <c r="I8981" s="1092"/>
    </row>
    <row r="8982" spans="8:9">
      <c r="H8982" s="1092"/>
      <c r="I8982" s="1092"/>
    </row>
    <row r="8983" spans="8:9">
      <c r="H8983" s="1092"/>
      <c r="I8983" s="1092"/>
    </row>
    <row r="8984" spans="8:9">
      <c r="H8984" s="1092"/>
      <c r="I8984" s="1092"/>
    </row>
    <row r="8985" spans="8:9">
      <c r="H8985" s="1092"/>
      <c r="I8985" s="1092"/>
    </row>
    <row r="8986" spans="8:9">
      <c r="H8986" s="1092"/>
      <c r="I8986" s="1092"/>
    </row>
    <row r="8987" spans="8:9">
      <c r="H8987" s="1092"/>
      <c r="I8987" s="1092"/>
    </row>
    <row r="8988" spans="8:9">
      <c r="H8988" s="1092"/>
      <c r="I8988" s="1092"/>
    </row>
    <row r="8989" spans="8:9">
      <c r="H8989" s="1092"/>
      <c r="I8989" s="1092"/>
    </row>
    <row r="8990" spans="8:9">
      <c r="H8990" s="1092"/>
      <c r="I8990" s="1092"/>
    </row>
    <row r="8991" spans="8:9">
      <c r="H8991" s="1092"/>
      <c r="I8991" s="1092"/>
    </row>
    <row r="8992" spans="8:9">
      <c r="H8992" s="1092"/>
      <c r="I8992" s="1092"/>
    </row>
    <row r="8993" spans="8:9">
      <c r="H8993" s="1092"/>
      <c r="I8993" s="1092"/>
    </row>
    <row r="8994" spans="8:9">
      <c r="H8994" s="1092"/>
      <c r="I8994" s="1092"/>
    </row>
    <row r="8995" spans="8:9">
      <c r="H8995" s="1092"/>
      <c r="I8995" s="1092"/>
    </row>
    <row r="8996" spans="8:9">
      <c r="H8996" s="1092"/>
      <c r="I8996" s="1092"/>
    </row>
    <row r="8997" spans="8:9">
      <c r="H8997" s="1092"/>
      <c r="I8997" s="1092"/>
    </row>
    <row r="8998" spans="8:9">
      <c r="H8998" s="1092"/>
      <c r="I8998" s="1092"/>
    </row>
    <row r="8999" spans="8:9">
      <c r="H8999" s="1092"/>
      <c r="I8999" s="1092"/>
    </row>
    <row r="9000" spans="8:9">
      <c r="H9000" s="1092"/>
      <c r="I9000" s="1092"/>
    </row>
    <row r="9001" spans="8:9">
      <c r="H9001" s="1092"/>
      <c r="I9001" s="1092"/>
    </row>
    <row r="9002" spans="8:9">
      <c r="H9002" s="1092"/>
      <c r="I9002" s="1092"/>
    </row>
    <row r="9003" spans="8:9">
      <c r="H9003" s="1092"/>
      <c r="I9003" s="1092"/>
    </row>
    <row r="9004" spans="8:9">
      <c r="H9004" s="1092"/>
      <c r="I9004" s="1092"/>
    </row>
    <row r="9005" spans="8:9">
      <c r="H9005" s="1092"/>
      <c r="I9005" s="1092"/>
    </row>
    <row r="9006" spans="8:9">
      <c r="H9006" s="1092"/>
      <c r="I9006" s="1092"/>
    </row>
    <row r="9007" spans="8:9">
      <c r="H9007" s="1092"/>
      <c r="I9007" s="1092"/>
    </row>
    <row r="9008" spans="8:9">
      <c r="H9008" s="1092"/>
      <c r="I9008" s="1092"/>
    </row>
    <row r="9009" spans="8:9">
      <c r="H9009" s="1092"/>
      <c r="I9009" s="1092"/>
    </row>
    <row r="9010" spans="8:9">
      <c r="H9010" s="1092"/>
      <c r="I9010" s="1092"/>
    </row>
    <row r="9011" spans="8:9">
      <c r="H9011" s="1092"/>
      <c r="I9011" s="1092"/>
    </row>
    <row r="9012" spans="8:9">
      <c r="H9012" s="1092"/>
      <c r="I9012" s="1092"/>
    </row>
    <row r="9013" spans="8:9">
      <c r="H9013" s="1092"/>
      <c r="I9013" s="1092"/>
    </row>
    <row r="9014" spans="8:9">
      <c r="H9014" s="1092"/>
      <c r="I9014" s="1092"/>
    </row>
    <row r="9015" spans="8:9">
      <c r="H9015" s="1092"/>
      <c r="I9015" s="1092"/>
    </row>
    <row r="9016" spans="8:9">
      <c r="H9016" s="1092"/>
      <c r="I9016" s="1092"/>
    </row>
    <row r="9017" spans="8:9">
      <c r="H9017" s="1092"/>
      <c r="I9017" s="1092"/>
    </row>
    <row r="9018" spans="8:9">
      <c r="H9018" s="1092"/>
      <c r="I9018" s="1092"/>
    </row>
    <row r="9019" spans="8:9">
      <c r="H9019" s="1092"/>
      <c r="I9019" s="1092"/>
    </row>
    <row r="9020" spans="8:9">
      <c r="H9020" s="1092"/>
      <c r="I9020" s="1092"/>
    </row>
    <row r="9021" spans="8:9">
      <c r="H9021" s="1092"/>
      <c r="I9021" s="1092"/>
    </row>
    <row r="9022" spans="8:9">
      <c r="H9022" s="1092"/>
      <c r="I9022" s="1092"/>
    </row>
    <row r="9023" spans="8:9">
      <c r="H9023" s="1092"/>
      <c r="I9023" s="1092"/>
    </row>
    <row r="9024" spans="8:9">
      <c r="H9024" s="1092"/>
      <c r="I9024" s="1092"/>
    </row>
    <row r="9025" spans="8:9">
      <c r="H9025" s="1092"/>
      <c r="I9025" s="1092"/>
    </row>
    <row r="9026" spans="8:9">
      <c r="H9026" s="1092"/>
      <c r="I9026" s="1092"/>
    </row>
    <row r="9027" spans="8:9">
      <c r="H9027" s="1092"/>
      <c r="I9027" s="1092"/>
    </row>
    <row r="9028" spans="8:9">
      <c r="H9028" s="1092"/>
      <c r="I9028" s="1092"/>
    </row>
    <row r="9029" spans="8:9">
      <c r="H9029" s="1092"/>
      <c r="I9029" s="1092"/>
    </row>
    <row r="9030" spans="8:9">
      <c r="H9030" s="1092"/>
      <c r="I9030" s="1092"/>
    </row>
    <row r="9031" spans="8:9">
      <c r="H9031" s="1092"/>
      <c r="I9031" s="1092"/>
    </row>
    <row r="9032" spans="8:9">
      <c r="H9032" s="1092"/>
      <c r="I9032" s="1092"/>
    </row>
    <row r="9033" spans="8:9">
      <c r="H9033" s="1092"/>
      <c r="I9033" s="1092"/>
    </row>
    <row r="9034" spans="8:9">
      <c r="H9034" s="1092"/>
      <c r="I9034" s="1092"/>
    </row>
    <row r="9035" spans="8:9">
      <c r="H9035" s="1092"/>
      <c r="I9035" s="1092"/>
    </row>
    <row r="9036" spans="8:9">
      <c r="H9036" s="1092"/>
      <c r="I9036" s="1092"/>
    </row>
    <row r="9037" spans="8:9">
      <c r="H9037" s="1092"/>
      <c r="I9037" s="1092"/>
    </row>
    <row r="9038" spans="8:9">
      <c r="H9038" s="1092"/>
      <c r="I9038" s="1092"/>
    </row>
    <row r="9039" spans="8:9">
      <c r="H9039" s="1092"/>
      <c r="I9039" s="1092"/>
    </row>
    <row r="9040" spans="8:9">
      <c r="H9040" s="1092"/>
      <c r="I9040" s="1092"/>
    </row>
    <row r="9041" spans="8:9">
      <c r="H9041" s="1092"/>
      <c r="I9041" s="1092"/>
    </row>
    <row r="9042" spans="8:9">
      <c r="H9042" s="1092"/>
      <c r="I9042" s="1092"/>
    </row>
    <row r="9043" spans="8:9">
      <c r="H9043" s="1092"/>
      <c r="I9043" s="1092"/>
    </row>
    <row r="9044" spans="8:9">
      <c r="H9044" s="1092"/>
      <c r="I9044" s="1092"/>
    </row>
    <row r="9045" spans="8:9">
      <c r="H9045" s="1092"/>
      <c r="I9045" s="1092"/>
    </row>
    <row r="9046" spans="8:9">
      <c r="H9046" s="1092"/>
      <c r="I9046" s="1092"/>
    </row>
    <row r="9047" spans="8:9">
      <c r="H9047" s="1092"/>
      <c r="I9047" s="1092"/>
    </row>
    <row r="9048" spans="8:9">
      <c r="H9048" s="1092"/>
      <c r="I9048" s="1092"/>
    </row>
    <row r="9049" spans="8:9">
      <c r="H9049" s="1092"/>
      <c r="I9049" s="1092"/>
    </row>
    <row r="9050" spans="8:9">
      <c r="H9050" s="1092"/>
      <c r="I9050" s="1092"/>
    </row>
    <row r="9051" spans="8:9">
      <c r="H9051" s="1092"/>
      <c r="I9051" s="1092"/>
    </row>
    <row r="9052" spans="8:9">
      <c r="H9052" s="1092"/>
      <c r="I9052" s="1092"/>
    </row>
    <row r="9053" spans="8:9">
      <c r="H9053" s="1092"/>
      <c r="I9053" s="1092"/>
    </row>
    <row r="9054" spans="8:9">
      <c r="H9054" s="1092"/>
      <c r="I9054" s="1092"/>
    </row>
    <row r="9055" spans="8:9">
      <c r="H9055" s="1092"/>
      <c r="I9055" s="1092"/>
    </row>
    <row r="9056" spans="8:9">
      <c r="H9056" s="1092"/>
      <c r="I9056" s="1092"/>
    </row>
    <row r="9057" spans="8:9">
      <c r="H9057" s="1092"/>
      <c r="I9057" s="1092"/>
    </row>
    <row r="9058" spans="8:9">
      <c r="H9058" s="1092"/>
      <c r="I9058" s="1092"/>
    </row>
    <row r="9059" spans="8:9">
      <c r="H9059" s="1092"/>
      <c r="I9059" s="1092"/>
    </row>
    <row r="9060" spans="8:9">
      <c r="H9060" s="1092"/>
      <c r="I9060" s="1092"/>
    </row>
    <row r="9061" spans="8:9">
      <c r="H9061" s="1092"/>
      <c r="I9061" s="1092"/>
    </row>
    <row r="9062" spans="8:9">
      <c r="H9062" s="1092"/>
      <c r="I9062" s="1092"/>
    </row>
    <row r="9063" spans="8:9">
      <c r="H9063" s="1092"/>
      <c r="I9063" s="1092"/>
    </row>
    <row r="9064" spans="8:9">
      <c r="H9064" s="1092"/>
      <c r="I9064" s="1092"/>
    </row>
    <row r="9065" spans="8:9">
      <c r="H9065" s="1092"/>
      <c r="I9065" s="1092"/>
    </row>
    <row r="9066" spans="8:9">
      <c r="H9066" s="1092"/>
      <c r="I9066" s="1092"/>
    </row>
    <row r="9067" spans="8:9">
      <c r="H9067" s="1092"/>
      <c r="I9067" s="1092"/>
    </row>
    <row r="9068" spans="8:9">
      <c r="H9068" s="1092"/>
      <c r="I9068" s="1092"/>
    </row>
    <row r="9069" spans="8:9">
      <c r="H9069" s="1092"/>
      <c r="I9069" s="1092"/>
    </row>
    <row r="9070" spans="8:9">
      <c r="H9070" s="1092"/>
      <c r="I9070" s="1092"/>
    </row>
    <row r="9071" spans="8:9">
      <c r="H9071" s="1092"/>
      <c r="I9071" s="1092"/>
    </row>
    <row r="9072" spans="8:9">
      <c r="H9072" s="1092"/>
      <c r="I9072" s="1092"/>
    </row>
    <row r="9073" spans="8:9">
      <c r="H9073" s="1092"/>
      <c r="I9073" s="1092"/>
    </row>
    <row r="9074" spans="8:9">
      <c r="H9074" s="1092"/>
      <c r="I9074" s="1092"/>
    </row>
    <row r="9075" spans="8:9">
      <c r="H9075" s="1092"/>
      <c r="I9075" s="1092"/>
    </row>
    <row r="9076" spans="8:9">
      <c r="H9076" s="1092"/>
      <c r="I9076" s="1092"/>
    </row>
    <row r="9077" spans="8:9">
      <c r="H9077" s="1092"/>
      <c r="I9077" s="1092"/>
    </row>
    <row r="9078" spans="8:9">
      <c r="H9078" s="1092"/>
      <c r="I9078" s="1092"/>
    </row>
    <row r="9079" spans="8:9">
      <c r="H9079" s="1092"/>
      <c r="I9079" s="1092"/>
    </row>
    <row r="9080" spans="8:9">
      <c r="H9080" s="1092"/>
      <c r="I9080" s="1092"/>
    </row>
    <row r="9081" spans="8:9">
      <c r="H9081" s="1092"/>
      <c r="I9081" s="1092"/>
    </row>
    <row r="9082" spans="8:9">
      <c r="H9082" s="1092"/>
      <c r="I9082" s="1092"/>
    </row>
    <row r="9083" spans="8:9">
      <c r="H9083" s="1092"/>
      <c r="I9083" s="1092"/>
    </row>
    <row r="9084" spans="8:9">
      <c r="H9084" s="1092"/>
      <c r="I9084" s="1092"/>
    </row>
    <row r="9085" spans="8:9">
      <c r="H9085" s="1092"/>
      <c r="I9085" s="1092"/>
    </row>
    <row r="9086" spans="8:9">
      <c r="H9086" s="1092"/>
      <c r="I9086" s="1092"/>
    </row>
    <row r="9087" spans="8:9">
      <c r="H9087" s="1092"/>
      <c r="I9087" s="1092"/>
    </row>
    <row r="9088" spans="8:9">
      <c r="H9088" s="1092"/>
      <c r="I9088" s="1092"/>
    </row>
    <row r="9089" spans="8:9">
      <c r="H9089" s="1092"/>
      <c r="I9089" s="1092"/>
    </row>
    <row r="9090" spans="8:9">
      <c r="H9090" s="1092"/>
      <c r="I9090" s="1092"/>
    </row>
    <row r="9091" spans="8:9">
      <c r="H9091" s="1092"/>
      <c r="I9091" s="1092"/>
    </row>
    <row r="9092" spans="8:9">
      <c r="H9092" s="1092"/>
      <c r="I9092" s="1092"/>
    </row>
    <row r="9093" spans="8:9">
      <c r="H9093" s="1092"/>
      <c r="I9093" s="1092"/>
    </row>
    <row r="9094" spans="8:9">
      <c r="H9094" s="1092"/>
      <c r="I9094" s="1092"/>
    </row>
    <row r="9095" spans="8:9">
      <c r="H9095" s="1092"/>
      <c r="I9095" s="1092"/>
    </row>
    <row r="9096" spans="8:9">
      <c r="H9096" s="1092"/>
      <c r="I9096" s="1092"/>
    </row>
    <row r="9097" spans="8:9">
      <c r="H9097" s="1092"/>
      <c r="I9097" s="1092"/>
    </row>
    <row r="9098" spans="8:9">
      <c r="H9098" s="1092"/>
      <c r="I9098" s="1092"/>
    </row>
    <row r="9099" spans="8:9">
      <c r="H9099" s="1092"/>
      <c r="I9099" s="1092"/>
    </row>
    <row r="9100" spans="8:9">
      <c r="H9100" s="1092"/>
      <c r="I9100" s="1092"/>
    </row>
    <row r="9101" spans="8:9">
      <c r="H9101" s="1092"/>
      <c r="I9101" s="1092"/>
    </row>
    <row r="9102" spans="8:9">
      <c r="H9102" s="1092"/>
      <c r="I9102" s="1092"/>
    </row>
    <row r="9103" spans="8:9">
      <c r="H9103" s="1092"/>
      <c r="I9103" s="1092"/>
    </row>
    <row r="9104" spans="8:9">
      <c r="H9104" s="1092"/>
      <c r="I9104" s="1092"/>
    </row>
    <row r="9105" spans="8:9">
      <c r="H9105" s="1092"/>
      <c r="I9105" s="1092"/>
    </row>
    <row r="9106" spans="8:9">
      <c r="H9106" s="1092"/>
      <c r="I9106" s="1092"/>
    </row>
    <row r="9107" spans="8:9">
      <c r="H9107" s="1092"/>
      <c r="I9107" s="1092"/>
    </row>
    <row r="9108" spans="8:9">
      <c r="H9108" s="1092"/>
      <c r="I9108" s="1092"/>
    </row>
    <row r="9109" spans="8:9">
      <c r="H9109" s="1092"/>
      <c r="I9109" s="1092"/>
    </row>
    <row r="9110" spans="8:9">
      <c r="H9110" s="1092"/>
      <c r="I9110" s="1092"/>
    </row>
    <row r="9111" spans="8:9">
      <c r="H9111" s="1092"/>
      <c r="I9111" s="1092"/>
    </row>
    <row r="9112" spans="8:9">
      <c r="H9112" s="1092"/>
      <c r="I9112" s="1092"/>
    </row>
    <row r="9113" spans="8:9">
      <c r="H9113" s="1092"/>
      <c r="I9113" s="1092"/>
    </row>
    <row r="9114" spans="8:9">
      <c r="H9114" s="1092"/>
      <c r="I9114" s="1092"/>
    </row>
    <row r="9115" spans="8:9">
      <c r="H9115" s="1092"/>
      <c r="I9115" s="1092"/>
    </row>
    <row r="9116" spans="8:9">
      <c r="H9116" s="1092"/>
      <c r="I9116" s="1092"/>
    </row>
    <row r="9117" spans="8:9">
      <c r="H9117" s="1092"/>
      <c r="I9117" s="1092"/>
    </row>
    <row r="9118" spans="8:9">
      <c r="H9118" s="1092"/>
      <c r="I9118" s="1092"/>
    </row>
    <row r="9119" spans="8:9">
      <c r="H9119" s="1092"/>
      <c r="I9119" s="1092"/>
    </row>
    <row r="9120" spans="8:9">
      <c r="H9120" s="1092"/>
      <c r="I9120" s="1092"/>
    </row>
    <row r="9121" spans="8:9">
      <c r="H9121" s="1092"/>
      <c r="I9121" s="1092"/>
    </row>
    <row r="9122" spans="8:9">
      <c r="H9122" s="1092"/>
      <c r="I9122" s="1092"/>
    </row>
    <row r="9123" spans="8:9">
      <c r="H9123" s="1092"/>
      <c r="I9123" s="1092"/>
    </row>
    <row r="9124" spans="8:9">
      <c r="H9124" s="1092"/>
      <c r="I9124" s="1092"/>
    </row>
    <row r="9125" spans="8:9">
      <c r="H9125" s="1092"/>
      <c r="I9125" s="1092"/>
    </row>
    <row r="9126" spans="8:9">
      <c r="H9126" s="1092"/>
      <c r="I9126" s="1092"/>
    </row>
    <row r="9127" spans="8:9">
      <c r="H9127" s="1092"/>
      <c r="I9127" s="1092"/>
    </row>
    <row r="9128" spans="8:9">
      <c r="H9128" s="1092"/>
      <c r="I9128" s="1092"/>
    </row>
    <row r="9129" spans="8:9">
      <c r="H9129" s="1092"/>
      <c r="I9129" s="1092"/>
    </row>
    <row r="9130" spans="8:9">
      <c r="H9130" s="1092"/>
      <c r="I9130" s="1092"/>
    </row>
    <row r="9131" spans="8:9">
      <c r="H9131" s="1092"/>
      <c r="I9131" s="1092"/>
    </row>
    <row r="9132" spans="8:9">
      <c r="H9132" s="1092"/>
      <c r="I9132" s="1092"/>
    </row>
    <row r="9133" spans="8:9">
      <c r="H9133" s="1092"/>
      <c r="I9133" s="1092"/>
    </row>
    <row r="9134" spans="8:9">
      <c r="H9134" s="1092"/>
      <c r="I9134" s="1092"/>
    </row>
    <row r="9135" spans="8:9">
      <c r="H9135" s="1092"/>
      <c r="I9135" s="1092"/>
    </row>
    <row r="9136" spans="8:9">
      <c r="H9136" s="1092"/>
      <c r="I9136" s="1092"/>
    </row>
    <row r="9137" spans="8:9">
      <c r="H9137" s="1092"/>
      <c r="I9137" s="1092"/>
    </row>
    <row r="9138" spans="8:9">
      <c r="H9138" s="1092"/>
      <c r="I9138" s="1092"/>
    </row>
    <row r="9139" spans="8:9">
      <c r="H9139" s="1092"/>
      <c r="I9139" s="1092"/>
    </row>
    <row r="9140" spans="8:9">
      <c r="H9140" s="1092"/>
      <c r="I9140" s="1092"/>
    </row>
    <row r="9141" spans="8:9">
      <c r="H9141" s="1092"/>
      <c r="I9141" s="1092"/>
    </row>
    <row r="9142" spans="8:9">
      <c r="H9142" s="1092"/>
      <c r="I9142" s="1092"/>
    </row>
    <row r="9143" spans="8:9">
      <c r="H9143" s="1092"/>
      <c r="I9143" s="1092"/>
    </row>
    <row r="9144" spans="8:9">
      <c r="H9144" s="1092"/>
      <c r="I9144" s="1092"/>
    </row>
    <row r="9145" spans="8:9">
      <c r="H9145" s="1092"/>
      <c r="I9145" s="1092"/>
    </row>
    <row r="9146" spans="8:9">
      <c r="H9146" s="1092"/>
      <c r="I9146" s="1092"/>
    </row>
    <row r="9147" spans="8:9">
      <c r="H9147" s="1092"/>
      <c r="I9147" s="1092"/>
    </row>
    <row r="9148" spans="8:9">
      <c r="H9148" s="1092"/>
      <c r="I9148" s="1092"/>
    </row>
    <row r="9149" spans="8:9">
      <c r="H9149" s="1092"/>
      <c r="I9149" s="1092"/>
    </row>
    <row r="9150" spans="8:9">
      <c r="H9150" s="1092"/>
      <c r="I9150" s="1092"/>
    </row>
    <row r="9151" spans="8:9">
      <c r="H9151" s="1092"/>
      <c r="I9151" s="1092"/>
    </row>
    <row r="9152" spans="8:9">
      <c r="H9152" s="1092"/>
      <c r="I9152" s="1092"/>
    </row>
    <row r="9153" spans="8:9">
      <c r="H9153" s="1092"/>
      <c r="I9153" s="1092"/>
    </row>
    <row r="9154" spans="8:9">
      <c r="H9154" s="1092"/>
      <c r="I9154" s="1092"/>
    </row>
    <row r="9155" spans="8:9">
      <c r="H9155" s="1092"/>
      <c r="I9155" s="1092"/>
    </row>
    <row r="9156" spans="8:9">
      <c r="H9156" s="1092"/>
      <c r="I9156" s="1092"/>
    </row>
    <row r="9157" spans="8:9">
      <c r="H9157" s="1092"/>
      <c r="I9157" s="1092"/>
    </row>
    <row r="9158" spans="8:9">
      <c r="H9158" s="1092"/>
      <c r="I9158" s="1092"/>
    </row>
    <row r="9159" spans="8:9">
      <c r="H9159" s="1092"/>
      <c r="I9159" s="1092"/>
    </row>
    <row r="9160" spans="8:9">
      <c r="H9160" s="1092"/>
      <c r="I9160" s="1092"/>
    </row>
    <row r="9161" spans="8:9">
      <c r="H9161" s="1092"/>
      <c r="I9161" s="1092"/>
    </row>
    <row r="9162" spans="8:9">
      <c r="H9162" s="1092"/>
      <c r="I9162" s="1092"/>
    </row>
    <row r="9163" spans="8:9">
      <c r="H9163" s="1092"/>
      <c r="I9163" s="1092"/>
    </row>
    <row r="9164" spans="8:9">
      <c r="H9164" s="1092"/>
      <c r="I9164" s="1092"/>
    </row>
    <row r="9165" spans="8:9">
      <c r="H9165" s="1092"/>
      <c r="I9165" s="1092"/>
    </row>
    <row r="9166" spans="8:9">
      <c r="H9166" s="1092"/>
      <c r="I9166" s="1092"/>
    </row>
    <row r="9167" spans="8:9">
      <c r="H9167" s="1092"/>
      <c r="I9167" s="1092"/>
    </row>
    <row r="9168" spans="8:9">
      <c r="H9168" s="1092"/>
      <c r="I9168" s="1092"/>
    </row>
    <row r="9169" spans="8:9">
      <c r="H9169" s="1092"/>
      <c r="I9169" s="1092"/>
    </row>
    <row r="9170" spans="8:9">
      <c r="H9170" s="1092"/>
      <c r="I9170" s="1092"/>
    </row>
    <row r="9171" spans="8:9">
      <c r="H9171" s="1092"/>
      <c r="I9171" s="1092"/>
    </row>
    <row r="9172" spans="8:9">
      <c r="H9172" s="1092"/>
      <c r="I9172" s="1092"/>
    </row>
    <row r="9173" spans="8:9">
      <c r="H9173" s="1092"/>
      <c r="I9173" s="1092"/>
    </row>
    <row r="9174" spans="8:9">
      <c r="H9174" s="1092"/>
      <c r="I9174" s="1092"/>
    </row>
    <row r="9175" spans="8:9">
      <c r="H9175" s="1092"/>
      <c r="I9175" s="1092"/>
    </row>
    <row r="9176" spans="8:9">
      <c r="H9176" s="1092"/>
      <c r="I9176" s="1092"/>
    </row>
    <row r="9177" spans="8:9">
      <c r="H9177" s="1092"/>
      <c r="I9177" s="1092"/>
    </row>
    <row r="9178" spans="8:9">
      <c r="H9178" s="1092"/>
      <c r="I9178" s="1092"/>
    </row>
    <row r="9179" spans="8:9">
      <c r="H9179" s="1092"/>
      <c r="I9179" s="1092"/>
    </row>
    <row r="9180" spans="8:9">
      <c r="H9180" s="1092"/>
      <c r="I9180" s="1092"/>
    </row>
    <row r="9181" spans="8:9">
      <c r="H9181" s="1092"/>
      <c r="I9181" s="1092"/>
    </row>
    <row r="9182" spans="8:9">
      <c r="H9182" s="1092"/>
      <c r="I9182" s="1092"/>
    </row>
    <row r="9183" spans="8:9">
      <c r="H9183" s="1092"/>
      <c r="I9183" s="1092"/>
    </row>
    <row r="9184" spans="8:9">
      <c r="H9184" s="1092"/>
      <c r="I9184" s="1092"/>
    </row>
    <row r="9185" spans="8:9">
      <c r="H9185" s="1092"/>
      <c r="I9185" s="1092"/>
    </row>
    <row r="9186" spans="8:9">
      <c r="H9186" s="1092"/>
      <c r="I9186" s="1092"/>
    </row>
    <row r="9187" spans="8:9">
      <c r="H9187" s="1092"/>
      <c r="I9187" s="1092"/>
    </row>
    <row r="9188" spans="8:9">
      <c r="H9188" s="1092"/>
      <c r="I9188" s="1092"/>
    </row>
    <row r="9189" spans="8:9">
      <c r="H9189" s="1092"/>
      <c r="I9189" s="1092"/>
    </row>
    <row r="9190" spans="8:9">
      <c r="H9190" s="1092"/>
      <c r="I9190" s="1092"/>
    </row>
    <row r="9191" spans="8:9">
      <c r="H9191" s="1092"/>
      <c r="I9191" s="1092"/>
    </row>
    <row r="9192" spans="8:9">
      <c r="H9192" s="1092"/>
      <c r="I9192" s="1092"/>
    </row>
    <row r="9193" spans="8:9">
      <c r="H9193" s="1092"/>
      <c r="I9193" s="1092"/>
    </row>
    <row r="9194" spans="8:9">
      <c r="H9194" s="1092"/>
      <c r="I9194" s="1092"/>
    </row>
    <row r="9195" spans="8:9">
      <c r="H9195" s="1092"/>
      <c r="I9195" s="1092"/>
    </row>
    <row r="9196" spans="8:9">
      <c r="H9196" s="1092"/>
      <c r="I9196" s="1092"/>
    </row>
    <row r="9197" spans="8:9">
      <c r="H9197" s="1092"/>
      <c r="I9197" s="1092"/>
    </row>
    <row r="9198" spans="8:9">
      <c r="H9198" s="1092"/>
      <c r="I9198" s="1092"/>
    </row>
    <row r="9199" spans="8:9">
      <c r="H9199" s="1092"/>
      <c r="I9199" s="1092"/>
    </row>
    <row r="9200" spans="8:9">
      <c r="H9200" s="1092"/>
      <c r="I9200" s="1092"/>
    </row>
    <row r="9201" spans="8:9">
      <c r="H9201" s="1092"/>
      <c r="I9201" s="1092"/>
    </row>
    <row r="9202" spans="8:9">
      <c r="H9202" s="1092"/>
      <c r="I9202" s="1092"/>
    </row>
    <row r="9203" spans="8:9">
      <c r="H9203" s="1092"/>
      <c r="I9203" s="1092"/>
    </row>
    <row r="9204" spans="8:9">
      <c r="H9204" s="1092"/>
      <c r="I9204" s="1092"/>
    </row>
    <row r="9205" spans="8:9">
      <c r="H9205" s="1092"/>
      <c r="I9205" s="1092"/>
    </row>
    <row r="9206" spans="8:9">
      <c r="H9206" s="1092"/>
      <c r="I9206" s="1092"/>
    </row>
    <row r="9207" spans="8:9">
      <c r="H9207" s="1092"/>
      <c r="I9207" s="1092"/>
    </row>
    <row r="9208" spans="8:9">
      <c r="H9208" s="1092"/>
      <c r="I9208" s="1092"/>
    </row>
    <row r="9209" spans="8:9">
      <c r="H9209" s="1092"/>
      <c r="I9209" s="1092"/>
    </row>
    <row r="9210" spans="8:9">
      <c r="H9210" s="1092"/>
      <c r="I9210" s="1092"/>
    </row>
    <row r="9211" spans="8:9">
      <c r="H9211" s="1092"/>
      <c r="I9211" s="1092"/>
    </row>
    <row r="9212" spans="8:9">
      <c r="H9212" s="1092"/>
      <c r="I9212" s="1092"/>
    </row>
    <row r="9213" spans="8:9">
      <c r="H9213" s="1092"/>
      <c r="I9213" s="1092"/>
    </row>
    <row r="9214" spans="8:9">
      <c r="H9214" s="1092"/>
      <c r="I9214" s="1092"/>
    </row>
    <row r="9215" spans="8:9">
      <c r="H9215" s="1092"/>
      <c r="I9215" s="1092"/>
    </row>
    <row r="9216" spans="8:9">
      <c r="H9216" s="1092"/>
      <c r="I9216" s="1092"/>
    </row>
    <row r="9217" spans="8:9">
      <c r="H9217" s="1092"/>
      <c r="I9217" s="1092"/>
    </row>
    <row r="9218" spans="8:9">
      <c r="H9218" s="1092"/>
      <c r="I9218" s="1092"/>
    </row>
    <row r="9219" spans="8:9">
      <c r="H9219" s="1092"/>
      <c r="I9219" s="1092"/>
    </row>
    <row r="9220" spans="8:9">
      <c r="H9220" s="1092"/>
      <c r="I9220" s="1092"/>
    </row>
    <row r="9221" spans="8:9">
      <c r="H9221" s="1092"/>
      <c r="I9221" s="1092"/>
    </row>
    <row r="9222" spans="8:9">
      <c r="H9222" s="1092"/>
      <c r="I9222" s="1092"/>
    </row>
    <row r="9223" spans="8:9">
      <c r="H9223" s="1092"/>
      <c r="I9223" s="1092"/>
    </row>
    <row r="9224" spans="8:9">
      <c r="H9224" s="1092"/>
      <c r="I9224" s="1092"/>
    </row>
    <row r="9225" spans="8:9">
      <c r="H9225" s="1092"/>
      <c r="I9225" s="1092"/>
    </row>
    <row r="9226" spans="8:9">
      <c r="H9226" s="1092"/>
      <c r="I9226" s="1092"/>
    </row>
    <row r="9227" spans="8:9">
      <c r="H9227" s="1092"/>
      <c r="I9227" s="1092"/>
    </row>
    <row r="9228" spans="8:9">
      <c r="H9228" s="1092"/>
      <c r="I9228" s="1092"/>
    </row>
    <row r="9229" spans="8:9">
      <c r="H9229" s="1092"/>
      <c r="I9229" s="1092"/>
    </row>
    <row r="9230" spans="8:9">
      <c r="H9230" s="1092"/>
      <c r="I9230" s="1092"/>
    </row>
    <row r="9231" spans="8:9">
      <c r="H9231" s="1092"/>
      <c r="I9231" s="1092"/>
    </row>
    <row r="9232" spans="8:9">
      <c r="H9232" s="1092"/>
      <c r="I9232" s="1092"/>
    </row>
    <row r="9233" spans="8:9">
      <c r="H9233" s="1092"/>
      <c r="I9233" s="1092"/>
    </row>
    <row r="9234" spans="8:9">
      <c r="H9234" s="1092"/>
      <c r="I9234" s="1092"/>
    </row>
    <row r="9235" spans="8:9">
      <c r="H9235" s="1092"/>
      <c r="I9235" s="1092"/>
    </row>
    <row r="9236" spans="8:9">
      <c r="H9236" s="1092"/>
      <c r="I9236" s="1092"/>
    </row>
    <row r="9237" spans="8:9">
      <c r="H9237" s="1092"/>
      <c r="I9237" s="1092"/>
    </row>
    <row r="9238" spans="8:9">
      <c r="H9238" s="1092"/>
      <c r="I9238" s="1092"/>
    </row>
    <row r="9239" spans="8:9">
      <c r="H9239" s="1092"/>
      <c r="I9239" s="1092"/>
    </row>
    <row r="9240" spans="8:9">
      <c r="H9240" s="1092"/>
      <c r="I9240" s="1092"/>
    </row>
    <row r="9241" spans="8:9">
      <c r="H9241" s="1092"/>
      <c r="I9241" s="1092"/>
    </row>
    <row r="9242" spans="8:9">
      <c r="H9242" s="1092"/>
      <c r="I9242" s="1092"/>
    </row>
    <row r="9243" spans="8:9">
      <c r="H9243" s="1092"/>
      <c r="I9243" s="1092"/>
    </row>
    <row r="9244" spans="8:9">
      <c r="H9244" s="1092"/>
      <c r="I9244" s="1092"/>
    </row>
    <row r="9245" spans="8:9">
      <c r="H9245" s="1092"/>
      <c r="I9245" s="1092"/>
    </row>
    <row r="9246" spans="8:9">
      <c r="H9246" s="1092"/>
      <c r="I9246" s="1092"/>
    </row>
    <row r="9247" spans="8:9">
      <c r="H9247" s="1092"/>
      <c r="I9247" s="1092"/>
    </row>
    <row r="9248" spans="8:9">
      <c r="H9248" s="1092"/>
      <c r="I9248" s="1092"/>
    </row>
    <row r="9249" spans="8:9">
      <c r="H9249" s="1092"/>
      <c r="I9249" s="1092"/>
    </row>
    <row r="9250" spans="8:9">
      <c r="H9250" s="1092"/>
      <c r="I9250" s="1092"/>
    </row>
    <row r="9251" spans="8:9">
      <c r="H9251" s="1092"/>
      <c r="I9251" s="1092"/>
    </row>
    <row r="9252" spans="8:9">
      <c r="H9252" s="1092"/>
      <c r="I9252" s="1092"/>
    </row>
    <row r="9253" spans="8:9">
      <c r="H9253" s="1092"/>
      <c r="I9253" s="1092"/>
    </row>
    <row r="9254" spans="8:9">
      <c r="H9254" s="1092"/>
      <c r="I9254" s="1092"/>
    </row>
    <row r="9255" spans="8:9">
      <c r="H9255" s="1092"/>
      <c r="I9255" s="1092"/>
    </row>
    <row r="9256" spans="8:9">
      <c r="H9256" s="1092"/>
      <c r="I9256" s="1092"/>
    </row>
    <row r="9257" spans="8:9">
      <c r="H9257" s="1092"/>
      <c r="I9257" s="1092"/>
    </row>
    <row r="9258" spans="8:9">
      <c r="H9258" s="1092"/>
      <c r="I9258" s="1092"/>
    </row>
    <row r="9259" spans="8:9">
      <c r="H9259" s="1092"/>
      <c r="I9259" s="1092"/>
    </row>
    <row r="9260" spans="8:9">
      <c r="H9260" s="1092"/>
      <c r="I9260" s="1092"/>
    </row>
    <row r="9261" spans="8:9">
      <c r="H9261" s="1092"/>
      <c r="I9261" s="1092"/>
    </row>
    <row r="9262" spans="8:9">
      <c r="H9262" s="1092"/>
      <c r="I9262" s="1092"/>
    </row>
    <row r="9263" spans="8:9">
      <c r="H9263" s="1092"/>
      <c r="I9263" s="1092"/>
    </row>
    <row r="9264" spans="8:9">
      <c r="H9264" s="1092"/>
      <c r="I9264" s="1092"/>
    </row>
    <row r="9265" spans="8:9">
      <c r="H9265" s="1092"/>
      <c r="I9265" s="1092"/>
    </row>
    <row r="9266" spans="8:9">
      <c r="H9266" s="1092"/>
      <c r="I9266" s="1092"/>
    </row>
    <row r="9267" spans="8:9">
      <c r="H9267" s="1092"/>
      <c r="I9267" s="1092"/>
    </row>
    <row r="9268" spans="8:9">
      <c r="H9268" s="1092"/>
      <c r="I9268" s="1092"/>
    </row>
    <row r="9269" spans="8:9">
      <c r="H9269" s="1092"/>
      <c r="I9269" s="1092"/>
    </row>
    <row r="9270" spans="8:9">
      <c r="H9270" s="1092"/>
      <c r="I9270" s="1092"/>
    </row>
    <row r="9271" spans="8:9">
      <c r="H9271" s="1092"/>
      <c r="I9271" s="1092"/>
    </row>
    <row r="9272" spans="8:9">
      <c r="H9272" s="1092"/>
      <c r="I9272" s="1092"/>
    </row>
    <row r="9273" spans="8:9">
      <c r="H9273" s="1092"/>
      <c r="I9273" s="1092"/>
    </row>
    <row r="9274" spans="8:9">
      <c r="H9274" s="1092"/>
      <c r="I9274" s="1092"/>
    </row>
    <row r="9275" spans="8:9">
      <c r="H9275" s="1092"/>
      <c r="I9275" s="1092"/>
    </row>
    <row r="9276" spans="8:9">
      <c r="H9276" s="1092"/>
      <c r="I9276" s="1092"/>
    </row>
    <row r="9277" spans="8:9">
      <c r="H9277" s="1092"/>
      <c r="I9277" s="1092"/>
    </row>
    <row r="9278" spans="8:9">
      <c r="H9278" s="1092"/>
      <c r="I9278" s="1092"/>
    </row>
    <row r="9279" spans="8:9">
      <c r="H9279" s="1092"/>
      <c r="I9279" s="1092"/>
    </row>
    <row r="9280" spans="8:9">
      <c r="H9280" s="1092"/>
      <c r="I9280" s="1092"/>
    </row>
    <row r="9281" spans="8:9">
      <c r="H9281" s="1092"/>
      <c r="I9281" s="1092"/>
    </row>
    <row r="9282" spans="8:9">
      <c r="H9282" s="1092"/>
      <c r="I9282" s="1092"/>
    </row>
    <row r="9283" spans="8:9">
      <c r="H9283" s="1092"/>
      <c r="I9283" s="1092"/>
    </row>
    <row r="9284" spans="8:9">
      <c r="H9284" s="1092"/>
      <c r="I9284" s="1092"/>
    </row>
    <row r="9285" spans="8:9">
      <c r="H9285" s="1092"/>
      <c r="I9285" s="1092"/>
    </row>
    <row r="9286" spans="8:9">
      <c r="H9286" s="1092"/>
      <c r="I9286" s="1092"/>
    </row>
    <row r="9287" spans="8:9">
      <c r="H9287" s="1092"/>
      <c r="I9287" s="1092"/>
    </row>
    <row r="9288" spans="8:9">
      <c r="H9288" s="1092"/>
      <c r="I9288" s="1092"/>
    </row>
    <row r="9289" spans="8:9">
      <c r="H9289" s="1092"/>
      <c r="I9289" s="1092"/>
    </row>
    <row r="9290" spans="8:9">
      <c r="H9290" s="1092"/>
      <c r="I9290" s="1092"/>
    </row>
    <row r="9291" spans="8:9">
      <c r="H9291" s="1092"/>
      <c r="I9291" s="1092"/>
    </row>
    <row r="9292" spans="8:9">
      <c r="H9292" s="1092"/>
      <c r="I9292" s="1092"/>
    </row>
    <row r="9293" spans="8:9">
      <c r="H9293" s="1092"/>
      <c r="I9293" s="1092"/>
    </row>
    <row r="9294" spans="8:9">
      <c r="H9294" s="1092"/>
      <c r="I9294" s="1092"/>
    </row>
    <row r="9295" spans="8:9">
      <c r="H9295" s="1092"/>
      <c r="I9295" s="1092"/>
    </row>
    <row r="9296" spans="8:9">
      <c r="H9296" s="1092"/>
      <c r="I9296" s="1092"/>
    </row>
    <row r="9297" spans="8:9">
      <c r="H9297" s="1092"/>
      <c r="I9297" s="1092"/>
    </row>
    <row r="9298" spans="8:9">
      <c r="H9298" s="1092"/>
      <c r="I9298" s="1092"/>
    </row>
    <row r="9299" spans="8:9">
      <c r="H9299" s="1092"/>
      <c r="I9299" s="1092"/>
    </row>
    <row r="9300" spans="8:9">
      <c r="H9300" s="1092"/>
      <c r="I9300" s="1092"/>
    </row>
    <row r="9301" spans="8:9">
      <c r="H9301" s="1092"/>
      <c r="I9301" s="1092"/>
    </row>
    <row r="9302" spans="8:9">
      <c r="H9302" s="1092"/>
      <c r="I9302" s="1092"/>
    </row>
    <row r="9303" spans="8:9">
      <c r="H9303" s="1092"/>
      <c r="I9303" s="1092"/>
    </row>
    <row r="9304" spans="8:9">
      <c r="H9304" s="1092"/>
      <c r="I9304" s="1092"/>
    </row>
    <row r="9305" spans="8:9">
      <c r="H9305" s="1092"/>
      <c r="I9305" s="1092"/>
    </row>
    <row r="9306" spans="8:9">
      <c r="H9306" s="1092"/>
      <c r="I9306" s="1092"/>
    </row>
    <row r="9307" spans="8:9">
      <c r="H9307" s="1092"/>
      <c r="I9307" s="1092"/>
    </row>
    <row r="9308" spans="8:9">
      <c r="H9308" s="1092"/>
      <c r="I9308" s="1092"/>
    </row>
    <row r="9309" spans="8:9">
      <c r="H9309" s="1092"/>
      <c r="I9309" s="1092"/>
    </row>
    <row r="9310" spans="8:9">
      <c r="H9310" s="1092"/>
      <c r="I9310" s="1092"/>
    </row>
    <row r="9311" spans="8:9">
      <c r="H9311" s="1092"/>
      <c r="I9311" s="1092"/>
    </row>
    <row r="9312" spans="8:9">
      <c r="H9312" s="1092"/>
      <c r="I9312" s="1092"/>
    </row>
    <row r="9313" spans="8:9">
      <c r="H9313" s="1092"/>
      <c r="I9313" s="1092"/>
    </row>
    <row r="9314" spans="8:9">
      <c r="H9314" s="1092"/>
      <c r="I9314" s="1092"/>
    </row>
    <row r="9315" spans="8:9">
      <c r="H9315" s="1092"/>
      <c r="I9315" s="1092"/>
    </row>
    <row r="9316" spans="8:9">
      <c r="H9316" s="1092"/>
      <c r="I9316" s="1092"/>
    </row>
    <row r="9317" spans="8:9">
      <c r="H9317" s="1092"/>
      <c r="I9317" s="1092"/>
    </row>
    <row r="9318" spans="8:9">
      <c r="H9318" s="1092"/>
      <c r="I9318" s="1092"/>
    </row>
    <row r="9319" spans="8:9">
      <c r="H9319" s="1092"/>
      <c r="I9319" s="1092"/>
    </row>
    <row r="9320" spans="8:9">
      <c r="H9320" s="1092"/>
      <c r="I9320" s="1092"/>
    </row>
    <row r="9321" spans="8:9">
      <c r="H9321" s="1092"/>
      <c r="I9321" s="1092"/>
    </row>
    <row r="9322" spans="8:9">
      <c r="H9322" s="1092"/>
      <c r="I9322" s="1092"/>
    </row>
    <row r="9323" spans="8:9">
      <c r="H9323" s="1092"/>
      <c r="I9323" s="1092"/>
    </row>
    <row r="9324" spans="8:9">
      <c r="H9324" s="1092"/>
      <c r="I9324" s="1092"/>
    </row>
    <row r="9325" spans="8:9">
      <c r="H9325" s="1092"/>
      <c r="I9325" s="1092"/>
    </row>
    <row r="9326" spans="8:9">
      <c r="H9326" s="1092"/>
      <c r="I9326" s="1092"/>
    </row>
    <row r="9327" spans="8:9">
      <c r="H9327" s="1092"/>
      <c r="I9327" s="1092"/>
    </row>
    <row r="9328" spans="8:9">
      <c r="H9328" s="1092"/>
      <c r="I9328" s="1092"/>
    </row>
    <row r="9329" spans="8:9">
      <c r="H9329" s="1092"/>
      <c r="I9329" s="1092"/>
    </row>
    <row r="9330" spans="8:9">
      <c r="H9330" s="1092"/>
      <c r="I9330" s="1092"/>
    </row>
    <row r="9331" spans="8:9">
      <c r="H9331" s="1092"/>
      <c r="I9331" s="1092"/>
    </row>
    <row r="9332" spans="8:9">
      <c r="H9332" s="1092"/>
      <c r="I9332" s="1092"/>
    </row>
    <row r="9333" spans="8:9">
      <c r="H9333" s="1092"/>
      <c r="I9333" s="1092"/>
    </row>
    <row r="9334" spans="8:9">
      <c r="H9334" s="1092"/>
      <c r="I9334" s="1092"/>
    </row>
    <row r="9335" spans="8:9">
      <c r="H9335" s="1092"/>
      <c r="I9335" s="1092"/>
    </row>
    <row r="9336" spans="8:9">
      <c r="H9336" s="1092"/>
      <c r="I9336" s="1092"/>
    </row>
    <row r="9337" spans="8:9">
      <c r="H9337" s="1092"/>
      <c r="I9337" s="1092"/>
    </row>
    <row r="9338" spans="8:9">
      <c r="H9338" s="1092"/>
      <c r="I9338" s="1092"/>
    </row>
    <row r="9339" spans="8:9">
      <c r="H9339" s="1092"/>
      <c r="I9339" s="1092"/>
    </row>
    <row r="9340" spans="8:9">
      <c r="H9340" s="1092"/>
      <c r="I9340" s="1092"/>
    </row>
    <row r="9341" spans="8:9">
      <c r="H9341" s="1092"/>
      <c r="I9341" s="1092"/>
    </row>
    <row r="9342" spans="8:9">
      <c r="H9342" s="1092"/>
      <c r="I9342" s="1092"/>
    </row>
    <row r="9343" spans="8:9">
      <c r="H9343" s="1092"/>
      <c r="I9343" s="1092"/>
    </row>
    <row r="9344" spans="8:9">
      <c r="H9344" s="1092"/>
      <c r="I9344" s="1092"/>
    </row>
    <row r="9345" spans="8:9">
      <c r="H9345" s="1092"/>
      <c r="I9345" s="1092"/>
    </row>
    <row r="9346" spans="8:9">
      <c r="H9346" s="1092"/>
      <c r="I9346" s="1092"/>
    </row>
    <row r="9347" spans="8:9">
      <c r="H9347" s="1092"/>
      <c r="I9347" s="1092"/>
    </row>
    <row r="9348" spans="8:9">
      <c r="H9348" s="1092"/>
      <c r="I9348" s="1092"/>
    </row>
    <row r="9349" spans="8:9">
      <c r="H9349" s="1092"/>
      <c r="I9349" s="1092"/>
    </row>
    <row r="9350" spans="8:9">
      <c r="H9350" s="1092"/>
      <c r="I9350" s="1092"/>
    </row>
    <row r="9351" spans="8:9">
      <c r="H9351" s="1092"/>
      <c r="I9351" s="1092"/>
    </row>
    <row r="9352" spans="8:9">
      <c r="H9352" s="1092"/>
      <c r="I9352" s="1092"/>
    </row>
    <row r="9353" spans="8:9">
      <c r="H9353" s="1092"/>
      <c r="I9353" s="1092"/>
    </row>
    <row r="9354" spans="8:9">
      <c r="H9354" s="1092"/>
      <c r="I9354" s="1092"/>
    </row>
    <row r="9355" spans="8:9">
      <c r="H9355" s="1092"/>
      <c r="I9355" s="1092"/>
    </row>
    <row r="9356" spans="8:9">
      <c r="H9356" s="1092"/>
      <c r="I9356" s="1092"/>
    </row>
    <row r="9357" spans="8:9">
      <c r="H9357" s="1092"/>
      <c r="I9357" s="1092"/>
    </row>
    <row r="9358" spans="8:9">
      <c r="H9358" s="1092"/>
      <c r="I9358" s="1092"/>
    </row>
    <row r="9359" spans="8:9">
      <c r="H9359" s="1092"/>
      <c r="I9359" s="1092"/>
    </row>
    <row r="9360" spans="8:9">
      <c r="H9360" s="1092"/>
      <c r="I9360" s="1092"/>
    </row>
    <row r="9361" spans="8:9">
      <c r="H9361" s="1092"/>
      <c r="I9361" s="1092"/>
    </row>
    <row r="9362" spans="8:9">
      <c r="H9362" s="1092"/>
      <c r="I9362" s="1092"/>
    </row>
    <row r="9363" spans="8:9">
      <c r="H9363" s="1092"/>
      <c r="I9363" s="1092"/>
    </row>
    <row r="9364" spans="8:9">
      <c r="H9364" s="1092"/>
      <c r="I9364" s="1092"/>
    </row>
    <row r="9365" spans="8:9">
      <c r="H9365" s="1092"/>
      <c r="I9365" s="1092"/>
    </row>
    <row r="9366" spans="8:9">
      <c r="H9366" s="1092"/>
      <c r="I9366" s="1092"/>
    </row>
    <row r="9367" spans="8:9">
      <c r="H9367" s="1092"/>
      <c r="I9367" s="1092"/>
    </row>
    <row r="9368" spans="8:9">
      <c r="H9368" s="1092"/>
      <c r="I9368" s="1092"/>
    </row>
    <row r="9369" spans="8:9">
      <c r="H9369" s="1092"/>
      <c r="I9369" s="1092"/>
    </row>
    <row r="9370" spans="8:9">
      <c r="H9370" s="1092"/>
      <c r="I9370" s="1092"/>
    </row>
    <row r="9371" spans="8:9">
      <c r="H9371" s="1092"/>
      <c r="I9371" s="1092"/>
    </row>
    <row r="9372" spans="8:9">
      <c r="H9372" s="1092"/>
      <c r="I9372" s="1092"/>
    </row>
    <row r="9373" spans="8:9">
      <c r="H9373" s="1092"/>
      <c r="I9373" s="1092"/>
    </row>
    <row r="9374" spans="8:9">
      <c r="H9374" s="1092"/>
      <c r="I9374" s="1092"/>
    </row>
    <row r="9375" spans="8:9">
      <c r="H9375" s="1092"/>
      <c r="I9375" s="1092"/>
    </row>
    <row r="9376" spans="8:9">
      <c r="H9376" s="1092"/>
      <c r="I9376" s="1092"/>
    </row>
    <row r="9377" spans="8:9">
      <c r="H9377" s="1092"/>
      <c r="I9377" s="1092"/>
    </row>
    <row r="9378" spans="8:9">
      <c r="H9378" s="1092"/>
      <c r="I9378" s="1092"/>
    </row>
    <row r="9379" spans="8:9">
      <c r="H9379" s="1092"/>
      <c r="I9379" s="1092"/>
    </row>
    <row r="9380" spans="8:9">
      <c r="H9380" s="1092"/>
      <c r="I9380" s="1092"/>
    </row>
    <row r="9381" spans="8:9">
      <c r="H9381" s="1092"/>
      <c r="I9381" s="1092"/>
    </row>
    <row r="9382" spans="8:9">
      <c r="H9382" s="1092"/>
      <c r="I9382" s="1092"/>
    </row>
    <row r="9383" spans="8:9">
      <c r="H9383" s="1092"/>
      <c r="I9383" s="1092"/>
    </row>
    <row r="9384" spans="8:9">
      <c r="H9384" s="1092"/>
      <c r="I9384" s="1092"/>
    </row>
    <row r="9385" spans="8:9">
      <c r="H9385" s="1092"/>
      <c r="I9385" s="1092"/>
    </row>
    <row r="9386" spans="8:9">
      <c r="H9386" s="1092"/>
      <c r="I9386" s="1092"/>
    </row>
    <row r="9387" spans="8:9">
      <c r="H9387" s="1092"/>
      <c r="I9387" s="1092"/>
    </row>
    <row r="9388" spans="8:9">
      <c r="H9388" s="1092"/>
      <c r="I9388" s="1092"/>
    </row>
    <row r="9389" spans="8:9">
      <c r="H9389" s="1092"/>
      <c r="I9389" s="1092"/>
    </row>
    <row r="9390" spans="8:9">
      <c r="H9390" s="1092"/>
      <c r="I9390" s="1092"/>
    </row>
    <row r="9391" spans="8:9">
      <c r="H9391" s="1092"/>
      <c r="I9391" s="1092"/>
    </row>
    <row r="9392" spans="8:9">
      <c r="H9392" s="1092"/>
      <c r="I9392" s="1092"/>
    </row>
    <row r="9393" spans="8:9">
      <c r="H9393" s="1092"/>
      <c r="I9393" s="1092"/>
    </row>
    <row r="9394" spans="8:9">
      <c r="H9394" s="1092"/>
      <c r="I9394" s="1092"/>
    </row>
    <row r="9395" spans="8:9">
      <c r="H9395" s="1092"/>
      <c r="I9395" s="1092"/>
    </row>
    <row r="9396" spans="8:9">
      <c r="H9396" s="1092"/>
      <c r="I9396" s="1092"/>
    </row>
    <row r="9397" spans="8:9">
      <c r="H9397" s="1092"/>
      <c r="I9397" s="1092"/>
    </row>
    <row r="9398" spans="8:9">
      <c r="H9398" s="1092"/>
      <c r="I9398" s="1092"/>
    </row>
    <row r="9399" spans="8:9">
      <c r="H9399" s="1092"/>
      <c r="I9399" s="1092"/>
    </row>
    <row r="9400" spans="8:9">
      <c r="H9400" s="1092"/>
      <c r="I9400" s="1092"/>
    </row>
    <row r="9401" spans="8:9">
      <c r="H9401" s="1092"/>
      <c r="I9401" s="1092"/>
    </row>
    <row r="9402" spans="8:9">
      <c r="H9402" s="1092"/>
      <c r="I9402" s="1092"/>
    </row>
    <row r="9403" spans="8:9">
      <c r="H9403" s="1092"/>
      <c r="I9403" s="1092"/>
    </row>
    <row r="9404" spans="8:9">
      <c r="H9404" s="1092"/>
      <c r="I9404" s="1092"/>
    </row>
    <row r="9405" spans="8:9">
      <c r="H9405" s="1092"/>
      <c r="I9405" s="1092"/>
    </row>
    <row r="9406" spans="8:9">
      <c r="H9406" s="1092"/>
      <c r="I9406" s="1092"/>
    </row>
    <row r="9407" spans="8:9">
      <c r="H9407" s="1092"/>
      <c r="I9407" s="1092"/>
    </row>
    <row r="9408" spans="8:9">
      <c r="H9408" s="1092"/>
      <c r="I9408" s="1092"/>
    </row>
    <row r="9409" spans="8:9">
      <c r="H9409" s="1092"/>
      <c r="I9409" s="1092"/>
    </row>
    <row r="9410" spans="8:9">
      <c r="H9410" s="1092"/>
      <c r="I9410" s="1092"/>
    </row>
    <row r="9411" spans="8:9">
      <c r="H9411" s="1092"/>
      <c r="I9411" s="1092"/>
    </row>
    <row r="9412" spans="8:9">
      <c r="H9412" s="1092"/>
      <c r="I9412" s="1092"/>
    </row>
    <row r="9413" spans="8:9">
      <c r="H9413" s="1092"/>
      <c r="I9413" s="1092"/>
    </row>
    <row r="9414" spans="8:9">
      <c r="H9414" s="1092"/>
      <c r="I9414" s="1092"/>
    </row>
    <row r="9415" spans="8:9">
      <c r="H9415" s="1092"/>
      <c r="I9415" s="1092"/>
    </row>
    <row r="9416" spans="8:9">
      <c r="H9416" s="1092"/>
      <c r="I9416" s="1092"/>
    </row>
    <row r="9417" spans="8:9">
      <c r="H9417" s="1092"/>
      <c r="I9417" s="1092"/>
    </row>
    <row r="9418" spans="8:9">
      <c r="H9418" s="1092"/>
      <c r="I9418" s="1092"/>
    </row>
    <row r="9419" spans="8:9">
      <c r="H9419" s="1092"/>
      <c r="I9419" s="1092"/>
    </row>
    <row r="9420" spans="8:9">
      <c r="H9420" s="1092"/>
      <c r="I9420" s="1092"/>
    </row>
    <row r="9421" spans="8:9">
      <c r="H9421" s="1092"/>
      <c r="I9421" s="1092"/>
    </row>
    <row r="9422" spans="8:9">
      <c r="H9422" s="1092"/>
      <c r="I9422" s="1092"/>
    </row>
    <row r="9423" spans="8:9">
      <c r="H9423" s="1092"/>
      <c r="I9423" s="1092"/>
    </row>
    <row r="9424" spans="8:9">
      <c r="H9424" s="1092"/>
      <c r="I9424" s="1092"/>
    </row>
    <row r="9425" spans="8:9">
      <c r="H9425" s="1092"/>
      <c r="I9425" s="1092"/>
    </row>
    <row r="9426" spans="8:9">
      <c r="H9426" s="1092"/>
      <c r="I9426" s="1092"/>
    </row>
    <row r="9427" spans="8:9">
      <c r="H9427" s="1092"/>
      <c r="I9427" s="1092"/>
    </row>
    <row r="9428" spans="8:9">
      <c r="H9428" s="1092"/>
      <c r="I9428" s="1092"/>
    </row>
    <row r="9429" spans="8:9">
      <c r="H9429" s="1092"/>
      <c r="I9429" s="1092"/>
    </row>
    <row r="9430" spans="8:9">
      <c r="H9430" s="1092"/>
      <c r="I9430" s="1092"/>
    </row>
    <row r="9431" spans="8:9">
      <c r="H9431" s="1092"/>
      <c r="I9431" s="1092"/>
    </row>
    <row r="9432" spans="8:9">
      <c r="H9432" s="1092"/>
      <c r="I9432" s="1092"/>
    </row>
    <row r="9433" spans="8:9">
      <c r="H9433" s="1092"/>
      <c r="I9433" s="1092"/>
    </row>
    <row r="9434" spans="8:9">
      <c r="H9434" s="1092"/>
      <c r="I9434" s="1092"/>
    </row>
    <row r="9435" spans="8:9">
      <c r="H9435" s="1092"/>
      <c r="I9435" s="1092"/>
    </row>
    <row r="9436" spans="8:9">
      <c r="H9436" s="1092"/>
      <c r="I9436" s="1092"/>
    </row>
    <row r="9437" spans="8:9">
      <c r="H9437" s="1092"/>
      <c r="I9437" s="1092"/>
    </row>
    <row r="9438" spans="8:9">
      <c r="H9438" s="1092"/>
      <c r="I9438" s="1092"/>
    </row>
    <row r="9439" spans="8:9">
      <c r="H9439" s="1092"/>
      <c r="I9439" s="1092"/>
    </row>
    <row r="9440" spans="8:9">
      <c r="H9440" s="1092"/>
      <c r="I9440" s="1092"/>
    </row>
    <row r="9441" spans="8:9">
      <c r="H9441" s="1092"/>
      <c r="I9441" s="1092"/>
    </row>
    <row r="9442" spans="8:9">
      <c r="H9442" s="1092"/>
      <c r="I9442" s="1092"/>
    </row>
    <row r="9443" spans="8:9">
      <c r="H9443" s="1092"/>
      <c r="I9443" s="1092"/>
    </row>
    <row r="9444" spans="8:9">
      <c r="H9444" s="1092"/>
      <c r="I9444" s="1092"/>
    </row>
    <row r="9445" spans="8:9">
      <c r="H9445" s="1092"/>
      <c r="I9445" s="1092"/>
    </row>
    <row r="9446" spans="8:9">
      <c r="H9446" s="1092"/>
      <c r="I9446" s="1092"/>
    </row>
    <row r="9447" spans="8:9">
      <c r="H9447" s="1092"/>
      <c r="I9447" s="1092"/>
    </row>
    <row r="9448" spans="8:9">
      <c r="H9448" s="1092"/>
      <c r="I9448" s="1092"/>
    </row>
    <row r="9449" spans="8:9">
      <c r="H9449" s="1092"/>
      <c r="I9449" s="1092"/>
    </row>
    <row r="9450" spans="8:9">
      <c r="H9450" s="1092"/>
      <c r="I9450" s="1092"/>
    </row>
    <row r="9451" spans="8:9">
      <c r="H9451" s="1092"/>
      <c r="I9451" s="1092"/>
    </row>
    <row r="9452" spans="8:9">
      <c r="H9452" s="1092"/>
      <c r="I9452" s="1092"/>
    </row>
    <row r="9453" spans="8:9">
      <c r="H9453" s="1092"/>
      <c r="I9453" s="1092"/>
    </row>
    <row r="9454" spans="8:9">
      <c r="H9454" s="1092"/>
      <c r="I9454" s="1092"/>
    </row>
    <row r="9455" spans="8:9">
      <c r="H9455" s="1092"/>
      <c r="I9455" s="1092"/>
    </row>
    <row r="9456" spans="8:9">
      <c r="H9456" s="1092"/>
      <c r="I9456" s="1092"/>
    </row>
    <row r="9457" spans="8:9">
      <c r="H9457" s="1092"/>
      <c r="I9457" s="1092"/>
    </row>
    <row r="9458" spans="8:9">
      <c r="H9458" s="1092"/>
      <c r="I9458" s="1092"/>
    </row>
    <row r="9459" spans="8:9">
      <c r="H9459" s="1092"/>
      <c r="I9459" s="1092"/>
    </row>
    <row r="9460" spans="8:9">
      <c r="H9460" s="1092"/>
      <c r="I9460" s="1092"/>
    </row>
    <row r="9461" spans="8:9">
      <c r="H9461" s="1092"/>
      <c r="I9461" s="1092"/>
    </row>
    <row r="9462" spans="8:9">
      <c r="H9462" s="1092"/>
      <c r="I9462" s="1092"/>
    </row>
    <row r="9463" spans="8:9">
      <c r="H9463" s="1092"/>
      <c r="I9463" s="1092"/>
    </row>
    <row r="9464" spans="8:9">
      <c r="H9464" s="1092"/>
      <c r="I9464" s="1092"/>
    </row>
    <row r="9465" spans="8:9">
      <c r="H9465" s="1092"/>
      <c r="I9465" s="1092"/>
    </row>
    <row r="9466" spans="8:9">
      <c r="H9466" s="1092"/>
      <c r="I9466" s="1092"/>
    </row>
    <row r="9467" spans="8:9">
      <c r="H9467" s="1092"/>
      <c r="I9467" s="1092"/>
    </row>
    <row r="9468" spans="8:9">
      <c r="H9468" s="1092"/>
      <c r="I9468" s="1092"/>
    </row>
    <row r="9469" spans="8:9">
      <c r="H9469" s="1092"/>
      <c r="I9469" s="1092"/>
    </row>
    <row r="9470" spans="8:9">
      <c r="H9470" s="1092"/>
      <c r="I9470" s="1092"/>
    </row>
    <row r="9471" spans="8:9">
      <c r="H9471" s="1092"/>
      <c r="I9471" s="1092"/>
    </row>
    <row r="9472" spans="8:9">
      <c r="H9472" s="1092"/>
      <c r="I9472" s="1092"/>
    </row>
    <row r="9473" spans="8:9">
      <c r="H9473" s="1092"/>
      <c r="I9473" s="1092"/>
    </row>
    <row r="9474" spans="8:9">
      <c r="H9474" s="1092"/>
      <c r="I9474" s="1092"/>
    </row>
    <row r="9475" spans="8:9">
      <c r="H9475" s="1092"/>
      <c r="I9475" s="1092"/>
    </row>
    <row r="9476" spans="8:9">
      <c r="H9476" s="1092"/>
      <c r="I9476" s="1092"/>
    </row>
    <row r="9477" spans="8:9">
      <c r="H9477" s="1092"/>
      <c r="I9477" s="1092"/>
    </row>
    <row r="9478" spans="8:9">
      <c r="H9478" s="1092"/>
      <c r="I9478" s="1092"/>
    </row>
    <row r="9479" spans="8:9">
      <c r="H9479" s="1092"/>
      <c r="I9479" s="1092"/>
    </row>
    <row r="9480" spans="8:9">
      <c r="H9480" s="1092"/>
      <c r="I9480" s="1092"/>
    </row>
    <row r="9481" spans="8:9">
      <c r="H9481" s="1092"/>
      <c r="I9481" s="1092"/>
    </row>
    <row r="9482" spans="8:9">
      <c r="H9482" s="1092"/>
      <c r="I9482" s="1092"/>
    </row>
    <row r="9483" spans="8:9">
      <c r="H9483" s="1092"/>
      <c r="I9483" s="1092"/>
    </row>
    <row r="9484" spans="8:9">
      <c r="H9484" s="1092"/>
      <c r="I9484" s="1092"/>
    </row>
    <row r="9485" spans="8:9">
      <c r="H9485" s="1092"/>
      <c r="I9485" s="1092"/>
    </row>
    <row r="9486" spans="8:9">
      <c r="H9486" s="1092"/>
      <c r="I9486" s="1092"/>
    </row>
    <row r="9487" spans="8:9">
      <c r="H9487" s="1092"/>
      <c r="I9487" s="1092"/>
    </row>
    <row r="9488" spans="8:9">
      <c r="H9488" s="1092"/>
      <c r="I9488" s="1092"/>
    </row>
    <row r="9489" spans="8:9">
      <c r="H9489" s="1092"/>
      <c r="I9489" s="1092"/>
    </row>
    <row r="9490" spans="8:9">
      <c r="H9490" s="1092"/>
      <c r="I9490" s="1092"/>
    </row>
    <row r="9491" spans="8:9">
      <c r="H9491" s="1092"/>
      <c r="I9491" s="1092"/>
    </row>
    <row r="9492" spans="8:9">
      <c r="H9492" s="1092"/>
      <c r="I9492" s="1092"/>
    </row>
    <row r="9493" spans="8:9">
      <c r="H9493" s="1092"/>
      <c r="I9493" s="1092"/>
    </row>
    <row r="9494" spans="8:9">
      <c r="H9494" s="1092"/>
      <c r="I9494" s="1092"/>
    </row>
    <row r="9495" spans="8:9">
      <c r="H9495" s="1092"/>
      <c r="I9495" s="1092"/>
    </row>
    <row r="9496" spans="8:9">
      <c r="H9496" s="1092"/>
      <c r="I9496" s="1092"/>
    </row>
    <row r="9497" spans="8:9">
      <c r="H9497" s="1092"/>
      <c r="I9497" s="1092"/>
    </row>
    <row r="9498" spans="8:9">
      <c r="H9498" s="1092"/>
      <c r="I9498" s="1092"/>
    </row>
    <row r="9499" spans="8:9">
      <c r="H9499" s="1092"/>
      <c r="I9499" s="1092"/>
    </row>
    <row r="9500" spans="8:9">
      <c r="H9500" s="1092"/>
      <c r="I9500" s="1092"/>
    </row>
    <row r="9501" spans="8:9">
      <c r="H9501" s="1092"/>
      <c r="I9501" s="1092"/>
    </row>
    <row r="9502" spans="8:9">
      <c r="H9502" s="1092"/>
      <c r="I9502" s="1092"/>
    </row>
    <row r="9503" spans="8:9">
      <c r="H9503" s="1092"/>
      <c r="I9503" s="1092"/>
    </row>
    <row r="9504" spans="8:9">
      <c r="H9504" s="1092"/>
      <c r="I9504" s="1092"/>
    </row>
    <row r="9505" spans="8:9">
      <c r="H9505" s="1092"/>
      <c r="I9505" s="1092"/>
    </row>
    <row r="9506" spans="8:9">
      <c r="H9506" s="1092"/>
      <c r="I9506" s="1092"/>
    </row>
    <row r="9507" spans="8:9">
      <c r="H9507" s="1092"/>
      <c r="I9507" s="1092"/>
    </row>
    <row r="9508" spans="8:9">
      <c r="H9508" s="1092"/>
      <c r="I9508" s="1092"/>
    </row>
    <row r="9509" spans="8:9">
      <c r="H9509" s="1092"/>
      <c r="I9509" s="1092"/>
    </row>
    <row r="9510" spans="8:9">
      <c r="H9510" s="1092"/>
      <c r="I9510" s="1092"/>
    </row>
    <row r="9511" spans="8:9">
      <c r="H9511" s="1092"/>
      <c r="I9511" s="1092"/>
    </row>
    <row r="9512" spans="8:9">
      <c r="H9512" s="1092"/>
      <c r="I9512" s="1092"/>
    </row>
    <row r="9513" spans="8:9">
      <c r="H9513" s="1092"/>
      <c r="I9513" s="1092"/>
    </row>
    <row r="9514" spans="8:9">
      <c r="H9514" s="1092"/>
      <c r="I9514" s="1092"/>
    </row>
    <row r="9515" spans="8:9">
      <c r="H9515" s="1092"/>
      <c r="I9515" s="1092"/>
    </row>
    <row r="9516" spans="8:9">
      <c r="H9516" s="1092"/>
      <c r="I9516" s="1092"/>
    </row>
    <row r="9517" spans="8:9">
      <c r="H9517" s="1092"/>
      <c r="I9517" s="1092"/>
    </row>
    <row r="9518" spans="8:9">
      <c r="H9518" s="1092"/>
      <c r="I9518" s="1092"/>
    </row>
    <row r="9519" spans="8:9">
      <c r="H9519" s="1092"/>
      <c r="I9519" s="1092"/>
    </row>
    <row r="9520" spans="8:9">
      <c r="H9520" s="1092"/>
      <c r="I9520" s="1092"/>
    </row>
    <row r="9521" spans="8:9">
      <c r="H9521" s="1092"/>
      <c r="I9521" s="1092"/>
    </row>
    <row r="9522" spans="8:9">
      <c r="H9522" s="1092"/>
      <c r="I9522" s="1092"/>
    </row>
    <row r="9523" spans="8:9">
      <c r="H9523" s="1092"/>
      <c r="I9523" s="1092"/>
    </row>
    <row r="9524" spans="8:9">
      <c r="H9524" s="1092"/>
      <c r="I9524" s="1092"/>
    </row>
    <row r="9525" spans="8:9">
      <c r="H9525" s="1092"/>
      <c r="I9525" s="1092"/>
    </row>
    <row r="9526" spans="8:9">
      <c r="H9526" s="1092"/>
      <c r="I9526" s="1092"/>
    </row>
    <row r="9527" spans="8:9">
      <c r="H9527" s="1092"/>
      <c r="I9527" s="1092"/>
    </row>
    <row r="9528" spans="8:9">
      <c r="H9528" s="1092"/>
      <c r="I9528" s="1092"/>
    </row>
    <row r="9529" spans="8:9">
      <c r="H9529" s="1092"/>
      <c r="I9529" s="1092"/>
    </row>
    <row r="9530" spans="8:9">
      <c r="H9530" s="1092"/>
      <c r="I9530" s="1092"/>
    </row>
    <row r="9531" spans="8:9">
      <c r="H9531" s="1092"/>
      <c r="I9531" s="1092"/>
    </row>
    <row r="9532" spans="8:9">
      <c r="H9532" s="1092"/>
      <c r="I9532" s="1092"/>
    </row>
    <row r="9533" spans="8:9">
      <c r="H9533" s="1092"/>
      <c r="I9533" s="1092"/>
    </row>
    <row r="9534" spans="8:9">
      <c r="H9534" s="1092"/>
      <c r="I9534" s="1092"/>
    </row>
    <row r="9535" spans="8:9">
      <c r="H9535" s="1092"/>
      <c r="I9535" s="1092"/>
    </row>
    <row r="9536" spans="8:9">
      <c r="H9536" s="1092"/>
      <c r="I9536" s="1092"/>
    </row>
    <row r="9537" spans="8:9">
      <c r="H9537" s="1092"/>
      <c r="I9537" s="1092"/>
    </row>
    <row r="9538" spans="8:9">
      <c r="H9538" s="1092"/>
      <c r="I9538" s="1092"/>
    </row>
    <row r="9539" spans="8:9">
      <c r="H9539" s="1092"/>
      <c r="I9539" s="1092"/>
    </row>
    <row r="9540" spans="8:9">
      <c r="H9540" s="1092"/>
      <c r="I9540" s="1092"/>
    </row>
    <row r="9541" spans="8:9">
      <c r="H9541" s="1092"/>
      <c r="I9541" s="1092"/>
    </row>
    <row r="9542" spans="8:9">
      <c r="H9542" s="1092"/>
      <c r="I9542" s="1092"/>
    </row>
    <row r="9543" spans="8:9">
      <c r="H9543" s="1092"/>
      <c r="I9543" s="1092"/>
    </row>
    <row r="9544" spans="8:9">
      <c r="H9544" s="1092"/>
      <c r="I9544" s="1092"/>
    </row>
    <row r="9545" spans="8:9">
      <c r="H9545" s="1092"/>
      <c r="I9545" s="1092"/>
    </row>
    <row r="9546" spans="8:9">
      <c r="H9546" s="1092"/>
      <c r="I9546" s="1092"/>
    </row>
    <row r="9547" spans="8:9">
      <c r="H9547" s="1092"/>
      <c r="I9547" s="1092"/>
    </row>
    <row r="9548" spans="8:9">
      <c r="H9548" s="1092"/>
      <c r="I9548" s="1092"/>
    </row>
    <row r="9549" spans="8:9">
      <c r="H9549" s="1092"/>
      <c r="I9549" s="1092"/>
    </row>
    <row r="9550" spans="8:9">
      <c r="H9550" s="1092"/>
      <c r="I9550" s="1092"/>
    </row>
    <row r="9551" spans="8:9">
      <c r="H9551" s="1092"/>
      <c r="I9551" s="1092"/>
    </row>
    <row r="9552" spans="8:9">
      <c r="H9552" s="1092"/>
      <c r="I9552" s="1092"/>
    </row>
    <row r="9553" spans="8:9">
      <c r="H9553" s="1092"/>
      <c r="I9553" s="1092"/>
    </row>
    <row r="9554" spans="8:9">
      <c r="H9554" s="1092"/>
      <c r="I9554" s="1092"/>
    </row>
    <row r="9555" spans="8:9">
      <c r="H9555" s="1092"/>
      <c r="I9555" s="1092"/>
    </row>
    <row r="9556" spans="8:9">
      <c r="H9556" s="1092"/>
      <c r="I9556" s="1092"/>
    </row>
    <row r="9557" spans="8:9">
      <c r="H9557" s="1092"/>
      <c r="I9557" s="1092"/>
    </row>
    <row r="9558" spans="8:9">
      <c r="H9558" s="1092"/>
      <c r="I9558" s="1092"/>
    </row>
    <row r="9559" spans="8:9">
      <c r="H9559" s="1092"/>
      <c r="I9559" s="1092"/>
    </row>
    <row r="9560" spans="8:9">
      <c r="H9560" s="1092"/>
      <c r="I9560" s="1092"/>
    </row>
    <row r="9561" spans="8:9">
      <c r="H9561" s="1092"/>
      <c r="I9561" s="1092"/>
    </row>
    <row r="9562" spans="8:9">
      <c r="H9562" s="1092"/>
      <c r="I9562" s="1092"/>
    </row>
    <row r="9563" spans="8:9">
      <c r="H9563" s="1092"/>
      <c r="I9563" s="1092"/>
    </row>
    <row r="9564" spans="8:9">
      <c r="H9564" s="1092"/>
      <c r="I9564" s="1092"/>
    </row>
    <row r="9565" spans="8:9">
      <c r="H9565" s="1092"/>
      <c r="I9565" s="1092"/>
    </row>
    <row r="9566" spans="8:9">
      <c r="H9566" s="1092"/>
      <c r="I9566" s="1092"/>
    </row>
    <row r="9567" spans="8:9">
      <c r="H9567" s="1092"/>
      <c r="I9567" s="1092"/>
    </row>
    <row r="9568" spans="8:9">
      <c r="H9568" s="1092"/>
      <c r="I9568" s="1092"/>
    </row>
    <row r="9569" spans="8:9">
      <c r="H9569" s="1092"/>
      <c r="I9569" s="1092"/>
    </row>
    <row r="9570" spans="8:9">
      <c r="H9570" s="1092"/>
      <c r="I9570" s="1092"/>
    </row>
    <row r="9571" spans="8:9">
      <c r="H9571" s="1092"/>
      <c r="I9571" s="1092"/>
    </row>
    <row r="9572" spans="8:9">
      <c r="H9572" s="1092"/>
      <c r="I9572" s="1092"/>
    </row>
    <row r="9573" spans="8:9">
      <c r="H9573" s="1092"/>
      <c r="I9573" s="1092"/>
    </row>
    <row r="9574" spans="8:9">
      <c r="H9574" s="1092"/>
      <c r="I9574" s="1092"/>
    </row>
    <row r="9575" spans="8:9">
      <c r="H9575" s="1092"/>
      <c r="I9575" s="1092"/>
    </row>
    <row r="9576" spans="8:9">
      <c r="H9576" s="1092"/>
      <c r="I9576" s="1092"/>
    </row>
    <row r="9577" spans="8:9">
      <c r="H9577" s="1092"/>
      <c r="I9577" s="1092"/>
    </row>
    <row r="9578" spans="8:9">
      <c r="H9578" s="1092"/>
      <c r="I9578" s="1092"/>
    </row>
    <row r="9579" spans="8:9">
      <c r="H9579" s="1092"/>
      <c r="I9579" s="1092"/>
    </row>
    <row r="9580" spans="8:9">
      <c r="H9580" s="1092"/>
      <c r="I9580" s="1092"/>
    </row>
    <row r="9581" spans="8:9">
      <c r="H9581" s="1092"/>
      <c r="I9581" s="1092"/>
    </row>
    <row r="9582" spans="8:9">
      <c r="H9582" s="1092"/>
      <c r="I9582" s="1092"/>
    </row>
    <row r="9583" spans="8:9">
      <c r="H9583" s="1092"/>
      <c r="I9583" s="1092"/>
    </row>
    <row r="9584" spans="8:9">
      <c r="H9584" s="1092"/>
      <c r="I9584" s="1092"/>
    </row>
    <row r="9585" spans="8:9">
      <c r="H9585" s="1092"/>
      <c r="I9585" s="1092"/>
    </row>
    <row r="9586" spans="8:9">
      <c r="H9586" s="1092"/>
      <c r="I9586" s="1092"/>
    </row>
    <row r="9587" spans="8:9">
      <c r="H9587" s="1092"/>
      <c r="I9587" s="1092"/>
    </row>
    <row r="9588" spans="8:9">
      <c r="H9588" s="1092"/>
      <c r="I9588" s="1092"/>
    </row>
    <row r="9589" spans="8:9">
      <c r="H9589" s="1092"/>
      <c r="I9589" s="1092"/>
    </row>
    <row r="9590" spans="8:9">
      <c r="H9590" s="1092"/>
      <c r="I9590" s="1092"/>
    </row>
    <row r="9591" spans="8:9">
      <c r="H9591" s="1092"/>
      <c r="I9591" s="1092"/>
    </row>
    <row r="9592" spans="8:9">
      <c r="H9592" s="1092"/>
      <c r="I9592" s="1092"/>
    </row>
    <row r="9593" spans="8:9">
      <c r="H9593" s="1092"/>
      <c r="I9593" s="1092"/>
    </row>
    <row r="9594" spans="8:9">
      <c r="H9594" s="1092"/>
      <c r="I9594" s="1092"/>
    </row>
    <row r="9595" spans="8:9">
      <c r="H9595" s="1092"/>
      <c r="I9595" s="1092"/>
    </row>
    <row r="9596" spans="8:9">
      <c r="H9596" s="1092"/>
      <c r="I9596" s="1092"/>
    </row>
    <row r="9597" spans="8:9">
      <c r="H9597" s="1092"/>
      <c r="I9597" s="1092"/>
    </row>
    <row r="9598" spans="8:9">
      <c r="H9598" s="1092"/>
      <c r="I9598" s="1092"/>
    </row>
    <row r="9599" spans="8:9">
      <c r="H9599" s="1092"/>
      <c r="I9599" s="1092"/>
    </row>
    <row r="9600" spans="8:9">
      <c r="H9600" s="1092"/>
      <c r="I9600" s="1092"/>
    </row>
    <row r="9601" spans="8:9">
      <c r="H9601" s="1092"/>
      <c r="I9601" s="1092"/>
    </row>
    <row r="9602" spans="8:9">
      <c r="H9602" s="1092"/>
      <c r="I9602" s="1092"/>
    </row>
    <row r="9603" spans="8:9">
      <c r="H9603" s="1092"/>
      <c r="I9603" s="1092"/>
    </row>
    <row r="9604" spans="8:9">
      <c r="H9604" s="1092"/>
      <c r="I9604" s="1092"/>
    </row>
    <row r="9605" spans="8:9">
      <c r="H9605" s="1092"/>
      <c r="I9605" s="1092"/>
    </row>
    <row r="9606" spans="8:9">
      <c r="H9606" s="1092"/>
      <c r="I9606" s="1092"/>
    </row>
    <row r="9607" spans="8:9">
      <c r="H9607" s="1092"/>
      <c r="I9607" s="1092"/>
    </row>
    <row r="9608" spans="8:9">
      <c r="H9608" s="1092"/>
      <c r="I9608" s="1092"/>
    </row>
    <row r="9609" spans="8:9">
      <c r="H9609" s="1092"/>
      <c r="I9609" s="1092"/>
    </row>
    <row r="9610" spans="8:9">
      <c r="H9610" s="1092"/>
      <c r="I9610" s="1092"/>
    </row>
    <row r="9611" spans="8:9">
      <c r="H9611" s="1092"/>
      <c r="I9611" s="1092"/>
    </row>
    <row r="9612" spans="8:9">
      <c r="H9612" s="1092"/>
      <c r="I9612" s="1092"/>
    </row>
    <row r="9613" spans="8:9">
      <c r="H9613" s="1092"/>
      <c r="I9613" s="1092"/>
    </row>
    <row r="9614" spans="8:9">
      <c r="H9614" s="1092"/>
      <c r="I9614" s="1092"/>
    </row>
    <row r="9615" spans="8:9">
      <c r="H9615" s="1092"/>
      <c r="I9615" s="1092"/>
    </row>
    <row r="9616" spans="8:9">
      <c r="H9616" s="1092"/>
      <c r="I9616" s="1092"/>
    </row>
    <row r="9617" spans="8:9">
      <c r="H9617" s="1092"/>
      <c r="I9617" s="1092"/>
    </row>
    <row r="9618" spans="8:9">
      <c r="H9618" s="1092"/>
      <c r="I9618" s="1092"/>
    </row>
    <row r="9619" spans="8:9">
      <c r="H9619" s="1092"/>
      <c r="I9619" s="1092"/>
    </row>
    <row r="9620" spans="8:9">
      <c r="H9620" s="1092"/>
      <c r="I9620" s="1092"/>
    </row>
    <row r="9621" spans="8:9">
      <c r="H9621" s="1092"/>
      <c r="I9621" s="1092"/>
    </row>
    <row r="9622" spans="8:9">
      <c r="H9622" s="1092"/>
      <c r="I9622" s="1092"/>
    </row>
    <row r="9623" spans="8:9">
      <c r="H9623" s="1092"/>
      <c r="I9623" s="1092"/>
    </row>
    <row r="9624" spans="8:9">
      <c r="H9624" s="1092"/>
      <c r="I9624" s="1092"/>
    </row>
    <row r="9625" spans="8:9">
      <c r="H9625" s="1092"/>
      <c r="I9625" s="1092"/>
    </row>
    <row r="9626" spans="8:9">
      <c r="H9626" s="1092"/>
      <c r="I9626" s="1092"/>
    </row>
    <row r="9627" spans="8:9">
      <c r="H9627" s="1092"/>
      <c r="I9627" s="1092"/>
    </row>
    <row r="9628" spans="8:9">
      <c r="H9628" s="1092"/>
      <c r="I9628" s="1092"/>
    </row>
    <row r="9629" spans="8:9">
      <c r="H9629" s="1092"/>
      <c r="I9629" s="1092"/>
    </row>
    <row r="9630" spans="8:9">
      <c r="H9630" s="1092"/>
      <c r="I9630" s="1092"/>
    </row>
    <row r="9631" spans="8:9">
      <c r="H9631" s="1092"/>
      <c r="I9631" s="1092"/>
    </row>
    <row r="9632" spans="8:9">
      <c r="H9632" s="1092"/>
      <c r="I9632" s="1092"/>
    </row>
    <row r="9633" spans="8:9">
      <c r="H9633" s="1092"/>
      <c r="I9633" s="1092"/>
    </row>
    <row r="9634" spans="8:9">
      <c r="H9634" s="1092"/>
      <c r="I9634" s="1092"/>
    </row>
    <row r="9635" spans="8:9">
      <c r="H9635" s="1092"/>
      <c r="I9635" s="1092"/>
    </row>
    <row r="9636" spans="8:9">
      <c r="H9636" s="1092"/>
      <c r="I9636" s="1092"/>
    </row>
    <row r="9637" spans="8:9">
      <c r="H9637" s="1092"/>
      <c r="I9637" s="1092"/>
    </row>
    <row r="9638" spans="8:9">
      <c r="H9638" s="1092"/>
      <c r="I9638" s="1092"/>
    </row>
    <row r="9639" spans="8:9">
      <c r="H9639" s="1092"/>
      <c r="I9639" s="1092"/>
    </row>
    <row r="9640" spans="8:9">
      <c r="H9640" s="1092"/>
      <c r="I9640" s="1092"/>
    </row>
    <row r="9641" spans="8:9">
      <c r="H9641" s="1092"/>
      <c r="I9641" s="1092"/>
    </row>
    <row r="9642" spans="8:9">
      <c r="H9642" s="1092"/>
      <c r="I9642" s="1092"/>
    </row>
    <row r="9643" spans="8:9">
      <c r="H9643" s="1092"/>
      <c r="I9643" s="1092"/>
    </row>
    <row r="9644" spans="8:9">
      <c r="H9644" s="1092"/>
      <c r="I9644" s="1092"/>
    </row>
    <row r="9645" spans="8:9">
      <c r="H9645" s="1092"/>
      <c r="I9645" s="1092"/>
    </row>
    <row r="9646" spans="8:9">
      <c r="H9646" s="1092"/>
      <c r="I9646" s="1092"/>
    </row>
    <row r="9647" spans="8:9">
      <c r="H9647" s="1092"/>
      <c r="I9647" s="1092"/>
    </row>
    <row r="9648" spans="8:9">
      <c r="H9648" s="1092"/>
      <c r="I9648" s="1092"/>
    </row>
    <row r="9649" spans="8:9">
      <c r="H9649" s="1092"/>
      <c r="I9649" s="1092"/>
    </row>
    <row r="9650" spans="8:9">
      <c r="H9650" s="1092"/>
      <c r="I9650" s="1092"/>
    </row>
    <row r="9651" spans="8:9">
      <c r="H9651" s="1092"/>
      <c r="I9651" s="1092"/>
    </row>
    <row r="9652" spans="8:9">
      <c r="H9652" s="1092"/>
      <c r="I9652" s="1092"/>
    </row>
    <row r="9653" spans="8:9">
      <c r="H9653" s="1092"/>
      <c r="I9653" s="1092"/>
    </row>
    <row r="9654" spans="8:9">
      <c r="H9654" s="1092"/>
      <c r="I9654" s="1092"/>
    </row>
    <row r="9655" spans="8:9">
      <c r="H9655" s="1092"/>
      <c r="I9655" s="1092"/>
    </row>
    <row r="9656" spans="8:9">
      <c r="H9656" s="1092"/>
      <c r="I9656" s="1092"/>
    </row>
    <row r="9657" spans="8:9">
      <c r="H9657" s="1092"/>
      <c r="I9657" s="1092"/>
    </row>
    <row r="9658" spans="8:9">
      <c r="H9658" s="1092"/>
      <c r="I9658" s="1092"/>
    </row>
    <row r="9659" spans="8:9">
      <c r="H9659" s="1092"/>
      <c r="I9659" s="1092"/>
    </row>
    <row r="9660" spans="8:9">
      <c r="H9660" s="1092"/>
      <c r="I9660" s="1092"/>
    </row>
    <row r="9661" spans="8:9">
      <c r="H9661" s="1092"/>
      <c r="I9661" s="1092"/>
    </row>
    <row r="9662" spans="8:9">
      <c r="H9662" s="1092"/>
      <c r="I9662" s="1092"/>
    </row>
    <row r="9663" spans="8:9">
      <c r="H9663" s="1092"/>
      <c r="I9663" s="1092"/>
    </row>
    <row r="9664" spans="8:9">
      <c r="H9664" s="1092"/>
      <c r="I9664" s="1092"/>
    </row>
    <row r="9665" spans="8:9">
      <c r="H9665" s="1092"/>
      <c r="I9665" s="1092"/>
    </row>
    <row r="9666" spans="8:9">
      <c r="H9666" s="1092"/>
      <c r="I9666" s="1092"/>
    </row>
    <row r="9667" spans="8:9">
      <c r="H9667" s="1092"/>
      <c r="I9667" s="1092"/>
    </row>
    <row r="9668" spans="8:9">
      <c r="H9668" s="1092"/>
      <c r="I9668" s="1092"/>
    </row>
    <row r="9669" spans="8:9">
      <c r="H9669" s="1092"/>
      <c r="I9669" s="1092"/>
    </row>
    <row r="9670" spans="8:9">
      <c r="H9670" s="1092"/>
      <c r="I9670" s="1092"/>
    </row>
    <row r="9671" spans="8:9">
      <c r="H9671" s="1092"/>
      <c r="I9671" s="1092"/>
    </row>
    <row r="9672" spans="8:9">
      <c r="H9672" s="1092"/>
      <c r="I9672" s="1092"/>
    </row>
    <row r="9673" spans="8:9">
      <c r="H9673" s="1092"/>
      <c r="I9673" s="1092"/>
    </row>
    <row r="9674" spans="8:9">
      <c r="H9674" s="1092"/>
      <c r="I9674" s="1092"/>
    </row>
    <row r="9675" spans="8:9">
      <c r="H9675" s="1092"/>
      <c r="I9675" s="1092"/>
    </row>
    <row r="9676" spans="8:9">
      <c r="H9676" s="1092"/>
      <c r="I9676" s="1092"/>
    </row>
    <row r="9677" spans="8:9">
      <c r="H9677" s="1092"/>
      <c r="I9677" s="1092"/>
    </row>
    <row r="9678" spans="8:9">
      <c r="H9678" s="1092"/>
      <c r="I9678" s="1092"/>
    </row>
    <row r="9679" spans="8:9">
      <c r="H9679" s="1092"/>
      <c r="I9679" s="1092"/>
    </row>
    <row r="9680" spans="8:9">
      <c r="H9680" s="1092"/>
      <c r="I9680" s="1092"/>
    </row>
    <row r="9681" spans="8:9">
      <c r="H9681" s="1092"/>
      <c r="I9681" s="1092"/>
    </row>
    <row r="9682" spans="8:9">
      <c r="H9682" s="1092"/>
      <c r="I9682" s="1092"/>
    </row>
    <row r="9683" spans="8:9">
      <c r="H9683" s="1092"/>
      <c r="I9683" s="1092"/>
    </row>
    <row r="9684" spans="8:9">
      <c r="H9684" s="1092"/>
      <c r="I9684" s="1092"/>
    </row>
    <row r="9685" spans="8:9">
      <c r="H9685" s="1092"/>
      <c r="I9685" s="1092"/>
    </row>
    <row r="9686" spans="8:9">
      <c r="H9686" s="1092"/>
      <c r="I9686" s="1092"/>
    </row>
    <row r="9687" spans="8:9">
      <c r="H9687" s="1092"/>
      <c r="I9687" s="1092"/>
    </row>
    <row r="9688" spans="8:9">
      <c r="H9688" s="1092"/>
      <c r="I9688" s="1092"/>
    </row>
    <row r="9689" spans="8:9">
      <c r="H9689" s="1092"/>
      <c r="I9689" s="1092"/>
    </row>
    <row r="9690" spans="8:9">
      <c r="H9690" s="1092"/>
      <c r="I9690" s="1092"/>
    </row>
    <row r="9691" spans="8:9">
      <c r="H9691" s="1092"/>
      <c r="I9691" s="1092"/>
    </row>
    <row r="9692" spans="8:9">
      <c r="H9692" s="1092"/>
      <c r="I9692" s="1092"/>
    </row>
    <row r="9693" spans="8:9">
      <c r="H9693" s="1092"/>
      <c r="I9693" s="1092"/>
    </row>
    <row r="9694" spans="8:9">
      <c r="H9694" s="1092"/>
      <c r="I9694" s="1092"/>
    </row>
    <row r="9695" spans="8:9">
      <c r="H9695" s="1092"/>
      <c r="I9695" s="1092"/>
    </row>
    <row r="9696" spans="8:9">
      <c r="H9696" s="1092"/>
      <c r="I9696" s="1092"/>
    </row>
    <row r="9697" spans="8:9">
      <c r="H9697" s="1092"/>
      <c r="I9697" s="1092"/>
    </row>
    <row r="9698" spans="8:9">
      <c r="H9698" s="1092"/>
      <c r="I9698" s="1092"/>
    </row>
    <row r="9699" spans="8:9">
      <c r="H9699" s="1092"/>
      <c r="I9699" s="1092"/>
    </row>
    <row r="9700" spans="8:9">
      <c r="H9700" s="1092"/>
      <c r="I9700" s="1092"/>
    </row>
    <row r="9701" spans="8:9">
      <c r="H9701" s="1092"/>
      <c r="I9701" s="1092"/>
    </row>
    <row r="9702" spans="8:9">
      <c r="H9702" s="1092"/>
      <c r="I9702" s="1092"/>
    </row>
    <row r="9703" spans="8:9">
      <c r="H9703" s="1092"/>
      <c r="I9703" s="1092"/>
    </row>
    <row r="9704" spans="8:9">
      <c r="H9704" s="1092"/>
      <c r="I9704" s="1092"/>
    </row>
    <row r="9705" spans="8:9">
      <c r="H9705" s="1092"/>
      <c r="I9705" s="1092"/>
    </row>
    <row r="9706" spans="8:9">
      <c r="H9706" s="1092"/>
      <c r="I9706" s="1092"/>
    </row>
    <row r="9707" spans="8:9">
      <c r="H9707" s="1092"/>
      <c r="I9707" s="1092"/>
    </row>
    <row r="9708" spans="8:9">
      <c r="H9708" s="1092"/>
      <c r="I9708" s="1092"/>
    </row>
    <row r="9709" spans="8:9">
      <c r="H9709" s="1092"/>
      <c r="I9709" s="1092"/>
    </row>
    <row r="9710" spans="8:9">
      <c r="H9710" s="1092"/>
      <c r="I9710" s="1092"/>
    </row>
    <row r="9711" spans="8:9">
      <c r="H9711" s="1092"/>
      <c r="I9711" s="1092"/>
    </row>
    <row r="9712" spans="8:9">
      <c r="H9712" s="1092"/>
      <c r="I9712" s="1092"/>
    </row>
    <row r="9713" spans="8:9">
      <c r="H9713" s="1092"/>
      <c r="I9713" s="1092"/>
    </row>
    <row r="9714" spans="8:9">
      <c r="H9714" s="1092"/>
      <c r="I9714" s="1092"/>
    </row>
    <row r="9715" spans="8:9">
      <c r="H9715" s="1092"/>
      <c r="I9715" s="1092"/>
    </row>
    <row r="9716" spans="8:9">
      <c r="H9716" s="1092"/>
      <c r="I9716" s="1092"/>
    </row>
    <row r="9717" spans="8:9">
      <c r="H9717" s="1092"/>
      <c r="I9717" s="1092"/>
    </row>
    <row r="9718" spans="8:9">
      <c r="H9718" s="1092"/>
      <c r="I9718" s="1092"/>
    </row>
    <row r="9719" spans="8:9">
      <c r="H9719" s="1092"/>
      <c r="I9719" s="1092"/>
    </row>
    <row r="9720" spans="8:9">
      <c r="H9720" s="1092"/>
      <c r="I9720" s="1092"/>
    </row>
    <row r="9721" spans="8:9">
      <c r="H9721" s="1092"/>
      <c r="I9721" s="1092"/>
    </row>
    <row r="9722" spans="8:9">
      <c r="H9722" s="1092"/>
      <c r="I9722" s="1092"/>
    </row>
    <row r="9723" spans="8:9">
      <c r="H9723" s="1092"/>
      <c r="I9723" s="1092"/>
    </row>
    <row r="9724" spans="8:9">
      <c r="H9724" s="1092"/>
      <c r="I9724" s="1092"/>
    </row>
    <row r="9725" spans="8:9">
      <c r="H9725" s="1092"/>
      <c r="I9725" s="1092"/>
    </row>
    <row r="9726" spans="8:9">
      <c r="H9726" s="1092"/>
      <c r="I9726" s="1092"/>
    </row>
    <row r="9727" spans="8:9">
      <c r="H9727" s="1092"/>
      <c r="I9727" s="1092"/>
    </row>
    <row r="9728" spans="8:9">
      <c r="H9728" s="1092"/>
      <c r="I9728" s="1092"/>
    </row>
    <row r="9729" spans="8:9">
      <c r="H9729" s="1092"/>
      <c r="I9729" s="1092"/>
    </row>
    <row r="9730" spans="8:9">
      <c r="H9730" s="1092"/>
      <c r="I9730" s="1092"/>
    </row>
    <row r="9731" spans="8:9">
      <c r="H9731" s="1092"/>
      <c r="I9731" s="1092"/>
    </row>
    <row r="9732" spans="8:9">
      <c r="H9732" s="1092"/>
      <c r="I9732" s="1092"/>
    </row>
    <row r="9733" spans="8:9">
      <c r="H9733" s="1092"/>
      <c r="I9733" s="1092"/>
    </row>
    <row r="9734" spans="8:9">
      <c r="H9734" s="1092"/>
      <c r="I9734" s="1092"/>
    </row>
    <row r="9735" spans="8:9">
      <c r="H9735" s="1092"/>
      <c r="I9735" s="1092"/>
    </row>
    <row r="9736" spans="8:9">
      <c r="H9736" s="1092"/>
      <c r="I9736" s="1092"/>
    </row>
    <row r="9737" spans="8:9">
      <c r="H9737" s="1092"/>
      <c r="I9737" s="1092"/>
    </row>
    <row r="9738" spans="8:9">
      <c r="H9738" s="1092"/>
      <c r="I9738" s="1092"/>
    </row>
    <row r="9739" spans="8:9">
      <c r="H9739" s="1092"/>
      <c r="I9739" s="1092"/>
    </row>
    <row r="9740" spans="8:9">
      <c r="H9740" s="1092"/>
      <c r="I9740" s="1092"/>
    </row>
    <row r="9741" spans="8:9">
      <c r="H9741" s="1092"/>
      <c r="I9741" s="1092"/>
    </row>
    <row r="9742" spans="8:9">
      <c r="H9742" s="1092"/>
      <c r="I9742" s="1092"/>
    </row>
    <row r="9743" spans="8:9">
      <c r="H9743" s="1092"/>
      <c r="I9743" s="1092"/>
    </row>
    <row r="9744" spans="8:9">
      <c r="H9744" s="1092"/>
      <c r="I9744" s="1092"/>
    </row>
    <row r="9745" spans="8:9">
      <c r="H9745" s="1092"/>
      <c r="I9745" s="1092"/>
    </row>
    <row r="9746" spans="8:9">
      <c r="H9746" s="1092"/>
      <c r="I9746" s="1092"/>
    </row>
    <row r="9747" spans="8:9">
      <c r="H9747" s="1092"/>
      <c r="I9747" s="1092"/>
    </row>
    <row r="9748" spans="8:9">
      <c r="H9748" s="1092"/>
      <c r="I9748" s="1092"/>
    </row>
    <row r="9749" spans="8:9">
      <c r="H9749" s="1092"/>
      <c r="I9749" s="1092"/>
    </row>
    <row r="9750" spans="8:9">
      <c r="H9750" s="1092"/>
      <c r="I9750" s="1092"/>
    </row>
    <row r="9751" spans="8:9">
      <c r="H9751" s="1092"/>
      <c r="I9751" s="1092"/>
    </row>
    <row r="9752" spans="8:9">
      <c r="H9752" s="1092"/>
      <c r="I9752" s="1092"/>
    </row>
    <row r="9753" spans="8:9">
      <c r="H9753" s="1092"/>
      <c r="I9753" s="1092"/>
    </row>
    <row r="9754" spans="8:9">
      <c r="H9754" s="1092"/>
      <c r="I9754" s="1092"/>
    </row>
    <row r="9755" spans="8:9">
      <c r="H9755" s="1092"/>
      <c r="I9755" s="1092"/>
    </row>
    <row r="9756" spans="8:9">
      <c r="H9756" s="1092"/>
      <c r="I9756" s="1092"/>
    </row>
    <row r="9757" spans="8:9">
      <c r="H9757" s="1092"/>
      <c r="I9757" s="1092"/>
    </row>
    <row r="9758" spans="8:9">
      <c r="H9758" s="1092"/>
      <c r="I9758" s="1092"/>
    </row>
    <row r="9759" spans="8:9">
      <c r="H9759" s="1092"/>
      <c r="I9759" s="1092"/>
    </row>
    <row r="9760" spans="8:9">
      <c r="H9760" s="1092"/>
      <c r="I9760" s="1092"/>
    </row>
    <row r="9761" spans="8:9">
      <c r="H9761" s="1092"/>
      <c r="I9761" s="1092"/>
    </row>
    <row r="9762" spans="8:9">
      <c r="H9762" s="1092"/>
      <c r="I9762" s="1092"/>
    </row>
    <row r="9763" spans="8:9">
      <c r="H9763" s="1092"/>
      <c r="I9763" s="1092"/>
    </row>
    <row r="9764" spans="8:9">
      <c r="H9764" s="1092"/>
      <c r="I9764" s="1092"/>
    </row>
    <row r="9765" spans="8:9">
      <c r="H9765" s="1092"/>
      <c r="I9765" s="1092"/>
    </row>
    <row r="9766" spans="8:9">
      <c r="H9766" s="1092"/>
      <c r="I9766" s="1092"/>
    </row>
    <row r="9767" spans="8:9">
      <c r="H9767" s="1092"/>
      <c r="I9767" s="1092"/>
    </row>
    <row r="9768" spans="8:9">
      <c r="H9768" s="1092"/>
      <c r="I9768" s="1092"/>
    </row>
    <row r="9769" spans="8:9">
      <c r="H9769" s="1092"/>
      <c r="I9769" s="1092"/>
    </row>
    <row r="9770" spans="8:9">
      <c r="H9770" s="1092"/>
      <c r="I9770" s="1092"/>
    </row>
    <row r="9771" spans="8:9">
      <c r="H9771" s="1092"/>
      <c r="I9771" s="1092"/>
    </row>
    <row r="9772" spans="8:9">
      <c r="H9772" s="1092"/>
      <c r="I9772" s="1092"/>
    </row>
    <row r="9773" spans="8:9">
      <c r="H9773" s="1092"/>
      <c r="I9773" s="1092"/>
    </row>
    <row r="9774" spans="8:9">
      <c r="H9774" s="1092"/>
      <c r="I9774" s="1092"/>
    </row>
    <row r="9775" spans="8:9">
      <c r="H9775" s="1092"/>
      <c r="I9775" s="1092"/>
    </row>
    <row r="9776" spans="8:9">
      <c r="H9776" s="1092"/>
      <c r="I9776" s="1092"/>
    </row>
    <row r="9777" spans="8:9">
      <c r="H9777" s="1092"/>
      <c r="I9777" s="1092"/>
    </row>
    <row r="9778" spans="8:9">
      <c r="H9778" s="1092"/>
      <c r="I9778" s="1092"/>
    </row>
    <row r="9779" spans="8:9">
      <c r="H9779" s="1092"/>
      <c r="I9779" s="1092"/>
    </row>
    <row r="9780" spans="8:9">
      <c r="H9780" s="1092"/>
      <c r="I9780" s="1092"/>
    </row>
    <row r="9781" spans="8:9">
      <c r="H9781" s="1092"/>
      <c r="I9781" s="1092"/>
    </row>
    <row r="9782" spans="8:9">
      <c r="H9782" s="1092"/>
      <c r="I9782" s="1092"/>
    </row>
    <row r="9783" spans="8:9">
      <c r="H9783" s="1092"/>
      <c r="I9783" s="1092"/>
    </row>
    <row r="9784" spans="8:9">
      <c r="H9784" s="1092"/>
      <c r="I9784" s="1092"/>
    </row>
    <row r="9785" spans="8:9">
      <c r="H9785" s="1092"/>
      <c r="I9785" s="1092"/>
    </row>
    <row r="9786" spans="8:9">
      <c r="H9786" s="1092"/>
      <c r="I9786" s="1092"/>
    </row>
    <row r="9787" spans="8:9">
      <c r="H9787" s="1092"/>
      <c r="I9787" s="1092"/>
    </row>
    <row r="9788" spans="8:9">
      <c r="H9788" s="1092"/>
      <c r="I9788" s="1092"/>
    </row>
    <row r="9789" spans="8:9">
      <c r="H9789" s="1092"/>
      <c r="I9789" s="1092"/>
    </row>
    <row r="9790" spans="8:9">
      <c r="H9790" s="1092"/>
      <c r="I9790" s="1092"/>
    </row>
    <row r="9791" spans="8:9">
      <c r="H9791" s="1092"/>
      <c r="I9791" s="1092"/>
    </row>
    <row r="9792" spans="8:9">
      <c r="H9792" s="1092"/>
      <c r="I9792" s="1092"/>
    </row>
    <row r="9793" spans="8:9">
      <c r="H9793" s="1092"/>
      <c r="I9793" s="1092"/>
    </row>
    <row r="9794" spans="8:9">
      <c r="H9794" s="1092"/>
      <c r="I9794" s="1092"/>
    </row>
    <row r="9795" spans="8:9">
      <c r="H9795" s="1092"/>
      <c r="I9795" s="1092"/>
    </row>
    <row r="9796" spans="8:9">
      <c r="H9796" s="1092"/>
      <c r="I9796" s="1092"/>
    </row>
    <row r="9797" spans="8:9">
      <c r="H9797" s="1092"/>
      <c r="I9797" s="1092"/>
    </row>
    <row r="9798" spans="8:9">
      <c r="H9798" s="1092"/>
      <c r="I9798" s="1092"/>
    </row>
    <row r="9799" spans="8:9">
      <c r="H9799" s="1092"/>
      <c r="I9799" s="1092"/>
    </row>
    <row r="9800" spans="8:9">
      <c r="H9800" s="1092"/>
      <c r="I9800" s="1092"/>
    </row>
    <row r="9801" spans="8:9">
      <c r="H9801" s="1092"/>
      <c r="I9801" s="1092"/>
    </row>
    <row r="9802" spans="8:9">
      <c r="H9802" s="1092"/>
      <c r="I9802" s="1092"/>
    </row>
    <row r="9803" spans="8:9">
      <c r="H9803" s="1092"/>
      <c r="I9803" s="1092"/>
    </row>
    <row r="9804" spans="8:9">
      <c r="H9804" s="1092"/>
      <c r="I9804" s="1092"/>
    </row>
    <row r="9805" spans="8:9">
      <c r="H9805" s="1092"/>
      <c r="I9805" s="1092"/>
    </row>
    <row r="9806" spans="8:9">
      <c r="H9806" s="1092"/>
      <c r="I9806" s="1092"/>
    </row>
    <row r="9807" spans="8:9">
      <c r="H9807" s="1092"/>
      <c r="I9807" s="1092"/>
    </row>
    <row r="9808" spans="8:9">
      <c r="H9808" s="1092"/>
      <c r="I9808" s="1092"/>
    </row>
    <row r="9809" spans="8:9">
      <c r="H9809" s="1092"/>
      <c r="I9809" s="1092"/>
    </row>
    <row r="9810" spans="8:9">
      <c r="H9810" s="1092"/>
      <c r="I9810" s="1092"/>
    </row>
    <row r="9811" spans="8:9">
      <c r="H9811" s="1092"/>
      <c r="I9811" s="1092"/>
    </row>
    <row r="9812" spans="8:9">
      <c r="H9812" s="1092"/>
      <c r="I9812" s="1092"/>
    </row>
    <row r="9813" spans="8:9">
      <c r="H9813" s="1092"/>
      <c r="I9813" s="1092"/>
    </row>
    <row r="9814" spans="8:9">
      <c r="H9814" s="1092"/>
      <c r="I9814" s="1092"/>
    </row>
    <row r="9815" spans="8:9">
      <c r="H9815" s="1092"/>
      <c r="I9815" s="1092"/>
    </row>
    <row r="9816" spans="8:9">
      <c r="H9816" s="1092"/>
      <c r="I9816" s="1092"/>
    </row>
    <row r="9817" spans="8:9">
      <c r="H9817" s="1092"/>
      <c r="I9817" s="1092"/>
    </row>
    <row r="9818" spans="8:9">
      <c r="H9818" s="1092"/>
      <c r="I9818" s="1092"/>
    </row>
    <row r="9819" spans="8:9">
      <c r="H9819" s="1092"/>
      <c r="I9819" s="1092"/>
    </row>
    <row r="9820" spans="8:9">
      <c r="H9820" s="1092"/>
      <c r="I9820" s="1092"/>
    </row>
    <row r="9821" spans="8:9">
      <c r="H9821" s="1092"/>
      <c r="I9821" s="1092"/>
    </row>
    <row r="9822" spans="8:9">
      <c r="H9822" s="1092"/>
      <c r="I9822" s="1092"/>
    </row>
    <row r="9823" spans="8:9">
      <c r="H9823" s="1092"/>
      <c r="I9823" s="1092"/>
    </row>
    <row r="9824" spans="8:9">
      <c r="H9824" s="1092"/>
      <c r="I9824" s="1092"/>
    </row>
    <row r="9825" spans="8:9">
      <c r="H9825" s="1092"/>
      <c r="I9825" s="1092"/>
    </row>
    <row r="9826" spans="8:9">
      <c r="H9826" s="1092"/>
      <c r="I9826" s="1092"/>
    </row>
    <row r="9827" spans="8:9">
      <c r="H9827" s="1092"/>
      <c r="I9827" s="1092"/>
    </row>
    <row r="9828" spans="8:9">
      <c r="H9828" s="1092"/>
      <c r="I9828" s="1092"/>
    </row>
    <row r="9829" spans="8:9">
      <c r="H9829" s="1092"/>
      <c r="I9829" s="1092"/>
    </row>
    <row r="9830" spans="8:9">
      <c r="H9830" s="1092"/>
      <c r="I9830" s="1092"/>
    </row>
    <row r="9831" spans="8:9">
      <c r="H9831" s="1092"/>
      <c r="I9831" s="1092"/>
    </row>
    <row r="9832" spans="8:9">
      <c r="H9832" s="1092"/>
      <c r="I9832" s="1092"/>
    </row>
    <row r="9833" spans="8:9">
      <c r="H9833" s="1092"/>
      <c r="I9833" s="1092"/>
    </row>
    <row r="9834" spans="8:9">
      <c r="H9834" s="1092"/>
      <c r="I9834" s="1092"/>
    </row>
    <row r="9835" spans="8:9">
      <c r="H9835" s="1092"/>
      <c r="I9835" s="1092"/>
    </row>
    <row r="9836" spans="8:9">
      <c r="H9836" s="1092"/>
      <c r="I9836" s="1092"/>
    </row>
    <row r="9837" spans="8:9">
      <c r="H9837" s="1092"/>
      <c r="I9837" s="1092"/>
    </row>
    <row r="9838" spans="8:9">
      <c r="H9838" s="1092"/>
      <c r="I9838" s="1092"/>
    </row>
    <row r="9839" spans="8:9">
      <c r="H9839" s="1092"/>
      <c r="I9839" s="1092"/>
    </row>
    <row r="9840" spans="8:9">
      <c r="H9840" s="1092"/>
      <c r="I9840" s="1092"/>
    </row>
    <row r="9841" spans="8:9">
      <c r="H9841" s="1092"/>
      <c r="I9841" s="1092"/>
    </row>
    <row r="9842" spans="8:9">
      <c r="H9842" s="1092"/>
      <c r="I9842" s="1092"/>
    </row>
    <row r="9843" spans="8:9">
      <c r="H9843" s="1092"/>
      <c r="I9843" s="1092"/>
    </row>
    <row r="9844" spans="8:9">
      <c r="H9844" s="1092"/>
      <c r="I9844" s="1092"/>
    </row>
    <row r="9845" spans="8:9">
      <c r="H9845" s="1092"/>
      <c r="I9845" s="1092"/>
    </row>
    <row r="9846" spans="8:9">
      <c r="H9846" s="1092"/>
      <c r="I9846" s="1092"/>
    </row>
    <row r="9847" spans="8:9">
      <c r="H9847" s="1092"/>
      <c r="I9847" s="1092"/>
    </row>
    <row r="9848" spans="8:9">
      <c r="H9848" s="1092"/>
      <c r="I9848" s="1092"/>
    </row>
    <row r="9849" spans="8:9">
      <c r="H9849" s="1092"/>
      <c r="I9849" s="1092"/>
    </row>
    <row r="9850" spans="8:9">
      <c r="H9850" s="1092"/>
      <c r="I9850" s="1092"/>
    </row>
    <row r="9851" spans="8:9">
      <c r="H9851" s="1092"/>
      <c r="I9851" s="1092"/>
    </row>
    <row r="9852" spans="8:9">
      <c r="H9852" s="1092"/>
      <c r="I9852" s="1092"/>
    </row>
    <row r="9853" spans="8:9">
      <c r="H9853" s="1092"/>
      <c r="I9853" s="1092"/>
    </row>
    <row r="9854" spans="8:9">
      <c r="H9854" s="1092"/>
      <c r="I9854" s="1092"/>
    </row>
    <row r="9855" spans="8:9">
      <c r="H9855" s="1092"/>
      <c r="I9855" s="1092"/>
    </row>
    <row r="9856" spans="8:9">
      <c r="H9856" s="1092"/>
      <c r="I9856" s="1092"/>
    </row>
    <row r="9857" spans="8:9">
      <c r="H9857" s="1092"/>
      <c r="I9857" s="1092"/>
    </row>
    <row r="9858" spans="8:9">
      <c r="H9858" s="1092"/>
      <c r="I9858" s="1092"/>
    </row>
    <row r="9859" spans="8:9">
      <c r="H9859" s="1092"/>
      <c r="I9859" s="1092"/>
    </row>
    <row r="9860" spans="8:9">
      <c r="H9860" s="1092"/>
      <c r="I9860" s="1092"/>
    </row>
    <row r="9861" spans="8:9">
      <c r="H9861" s="1092"/>
      <c r="I9861" s="1092"/>
    </row>
    <row r="9862" spans="8:9">
      <c r="H9862" s="1092"/>
      <c r="I9862" s="1092"/>
    </row>
    <row r="9863" spans="8:9">
      <c r="H9863" s="1092"/>
      <c r="I9863" s="1092"/>
    </row>
    <row r="9864" spans="8:9">
      <c r="H9864" s="1092"/>
      <c r="I9864" s="1092"/>
    </row>
    <row r="9865" spans="8:9">
      <c r="H9865" s="1092"/>
      <c r="I9865" s="1092"/>
    </row>
    <row r="9866" spans="8:9">
      <c r="H9866" s="1092"/>
      <c r="I9866" s="1092"/>
    </row>
    <row r="9867" spans="8:9">
      <c r="H9867" s="1092"/>
      <c r="I9867" s="1092"/>
    </row>
    <row r="9868" spans="8:9">
      <c r="H9868" s="1092"/>
      <c r="I9868" s="1092"/>
    </row>
    <row r="9869" spans="8:9">
      <c r="H9869" s="1092"/>
      <c r="I9869" s="1092"/>
    </row>
    <row r="9870" spans="8:9">
      <c r="H9870" s="1092"/>
      <c r="I9870" s="1092"/>
    </row>
    <row r="9871" spans="8:9">
      <c r="H9871" s="1092"/>
      <c r="I9871" s="1092"/>
    </row>
    <row r="9872" spans="8:9">
      <c r="H9872" s="1092"/>
      <c r="I9872" s="1092"/>
    </row>
    <row r="9873" spans="8:9">
      <c r="H9873" s="1092"/>
      <c r="I9873" s="1092"/>
    </row>
    <row r="9874" spans="8:9">
      <c r="H9874" s="1092"/>
      <c r="I9874" s="1092"/>
    </row>
    <row r="9875" spans="8:9">
      <c r="H9875" s="1092"/>
      <c r="I9875" s="1092"/>
    </row>
    <row r="9876" spans="8:9">
      <c r="H9876" s="1092"/>
      <c r="I9876" s="1092"/>
    </row>
    <row r="9877" spans="8:9">
      <c r="H9877" s="1092"/>
      <c r="I9877" s="1092"/>
    </row>
    <row r="9878" spans="8:9">
      <c r="H9878" s="1092"/>
      <c r="I9878" s="1092"/>
    </row>
    <row r="9879" spans="8:9">
      <c r="H9879" s="1092"/>
      <c r="I9879" s="1092"/>
    </row>
    <row r="9880" spans="8:9">
      <c r="H9880" s="1092"/>
      <c r="I9880" s="1092"/>
    </row>
    <row r="9881" spans="8:9">
      <c r="H9881" s="1092"/>
      <c r="I9881" s="1092"/>
    </row>
    <row r="9882" spans="8:9">
      <c r="H9882" s="1092"/>
      <c r="I9882" s="1092"/>
    </row>
    <row r="9883" spans="8:9">
      <c r="H9883" s="1092"/>
      <c r="I9883" s="1092"/>
    </row>
    <row r="9884" spans="8:9">
      <c r="H9884" s="1092"/>
      <c r="I9884" s="1092"/>
    </row>
    <row r="9885" spans="8:9">
      <c r="H9885" s="1092"/>
      <c r="I9885" s="1092"/>
    </row>
    <row r="9886" spans="8:9">
      <c r="H9886" s="1092"/>
      <c r="I9886" s="1092"/>
    </row>
    <row r="9887" spans="8:9">
      <c r="H9887" s="1092"/>
      <c r="I9887" s="1092"/>
    </row>
    <row r="9888" spans="8:9">
      <c r="H9888" s="1092"/>
      <c r="I9888" s="1092"/>
    </row>
    <row r="9889" spans="8:9">
      <c r="H9889" s="1092"/>
      <c r="I9889" s="1092"/>
    </row>
    <row r="9890" spans="8:9">
      <c r="H9890" s="1092"/>
      <c r="I9890" s="1092"/>
    </row>
    <row r="9891" spans="8:9">
      <c r="H9891" s="1092"/>
      <c r="I9891" s="1092"/>
    </row>
    <row r="9892" spans="8:9">
      <c r="H9892" s="1092"/>
      <c r="I9892" s="1092"/>
    </row>
    <row r="9893" spans="8:9">
      <c r="H9893" s="1092"/>
      <c r="I9893" s="1092"/>
    </row>
    <row r="9894" spans="8:9">
      <c r="H9894" s="1092"/>
      <c r="I9894" s="1092"/>
    </row>
    <row r="9895" spans="8:9">
      <c r="H9895" s="1092"/>
      <c r="I9895" s="1092"/>
    </row>
    <row r="9896" spans="8:9">
      <c r="H9896" s="1092"/>
      <c r="I9896" s="1092"/>
    </row>
    <row r="9897" spans="8:9">
      <c r="H9897" s="1092"/>
      <c r="I9897" s="1092"/>
    </row>
    <row r="9898" spans="8:9">
      <c r="H9898" s="1092"/>
      <c r="I9898" s="1092"/>
    </row>
    <row r="9899" spans="8:9">
      <c r="H9899" s="1092"/>
      <c r="I9899" s="1092"/>
    </row>
    <row r="9900" spans="8:9">
      <c r="H9900" s="1092"/>
      <c r="I9900" s="1092"/>
    </row>
    <row r="9901" spans="8:9">
      <c r="H9901" s="1092"/>
      <c r="I9901" s="1092"/>
    </row>
    <row r="9902" spans="8:9">
      <c r="H9902" s="1092"/>
      <c r="I9902" s="1092"/>
    </row>
    <row r="9903" spans="8:9">
      <c r="H9903" s="1092"/>
      <c r="I9903" s="1092"/>
    </row>
    <row r="9904" spans="8:9">
      <c r="H9904" s="1092"/>
      <c r="I9904" s="1092"/>
    </row>
    <row r="9905" spans="8:9">
      <c r="H9905" s="1092"/>
      <c r="I9905" s="1092"/>
    </row>
    <row r="9906" spans="8:9">
      <c r="H9906" s="1092"/>
      <c r="I9906" s="1092"/>
    </row>
    <row r="9907" spans="8:9">
      <c r="H9907" s="1092"/>
      <c r="I9907" s="1092"/>
    </row>
    <row r="9908" spans="8:9">
      <c r="H9908" s="1092"/>
      <c r="I9908" s="1092"/>
    </row>
    <row r="9909" spans="8:9">
      <c r="H9909" s="1092"/>
      <c r="I9909" s="1092"/>
    </row>
    <row r="9910" spans="8:9">
      <c r="H9910" s="1092"/>
      <c r="I9910" s="1092"/>
    </row>
    <row r="9911" spans="8:9">
      <c r="H9911" s="1092"/>
      <c r="I9911" s="1092"/>
    </row>
    <row r="9912" spans="8:9">
      <c r="H9912" s="1092"/>
      <c r="I9912" s="1092"/>
    </row>
    <row r="9913" spans="8:9">
      <c r="H9913" s="1092"/>
      <c r="I9913" s="1092"/>
    </row>
    <row r="9914" spans="8:9">
      <c r="H9914" s="1092"/>
      <c r="I9914" s="1092"/>
    </row>
    <row r="9915" spans="8:9">
      <c r="H9915" s="1092"/>
      <c r="I9915" s="1092"/>
    </row>
    <row r="9916" spans="8:9">
      <c r="H9916" s="1092"/>
      <c r="I9916" s="1092"/>
    </row>
    <row r="9917" spans="8:9">
      <c r="H9917" s="1092"/>
      <c r="I9917" s="1092"/>
    </row>
    <row r="9918" spans="8:9">
      <c r="H9918" s="1092"/>
      <c r="I9918" s="1092"/>
    </row>
    <row r="9919" spans="8:9">
      <c r="H9919" s="1092"/>
      <c r="I9919" s="1092"/>
    </row>
    <row r="9920" spans="8:9">
      <c r="H9920" s="1092"/>
      <c r="I9920" s="1092"/>
    </row>
    <row r="9921" spans="8:9">
      <c r="H9921" s="1092"/>
      <c r="I9921" s="1092"/>
    </row>
    <row r="9922" spans="8:9">
      <c r="H9922" s="1092"/>
      <c r="I9922" s="1092"/>
    </row>
    <row r="9923" spans="8:9">
      <c r="H9923" s="1092"/>
      <c r="I9923" s="1092"/>
    </row>
    <row r="9924" spans="8:9">
      <c r="H9924" s="1092"/>
      <c r="I9924" s="1092"/>
    </row>
    <row r="9925" spans="8:9">
      <c r="H9925" s="1092"/>
      <c r="I9925" s="1092"/>
    </row>
    <row r="9926" spans="8:9">
      <c r="H9926" s="1092"/>
      <c r="I9926" s="1092"/>
    </row>
    <row r="9927" spans="8:9">
      <c r="H9927" s="1092"/>
      <c r="I9927" s="1092"/>
    </row>
    <row r="9928" spans="8:9">
      <c r="H9928" s="1092"/>
      <c r="I9928" s="1092"/>
    </row>
    <row r="9929" spans="8:9">
      <c r="H9929" s="1092"/>
      <c r="I9929" s="1092"/>
    </row>
    <row r="9930" spans="8:9">
      <c r="H9930" s="1092"/>
      <c r="I9930" s="1092"/>
    </row>
    <row r="9931" spans="8:9">
      <c r="H9931" s="1092"/>
      <c r="I9931" s="1092"/>
    </row>
    <row r="9932" spans="8:9">
      <c r="H9932" s="1092"/>
      <c r="I9932" s="1092"/>
    </row>
    <row r="9933" spans="8:9">
      <c r="H9933" s="1092"/>
      <c r="I9933" s="1092"/>
    </row>
    <row r="9934" spans="8:9">
      <c r="H9934" s="1092"/>
      <c r="I9934" s="1092"/>
    </row>
    <row r="9935" spans="8:9">
      <c r="H9935" s="1092"/>
      <c r="I9935" s="1092"/>
    </row>
    <row r="9936" spans="8:9">
      <c r="H9936" s="1092"/>
      <c r="I9936" s="1092"/>
    </row>
    <row r="9937" spans="8:9">
      <c r="H9937" s="1092"/>
      <c r="I9937" s="1092"/>
    </row>
    <row r="9938" spans="8:9">
      <c r="H9938" s="1092"/>
      <c r="I9938" s="1092"/>
    </row>
    <row r="9939" spans="8:9">
      <c r="H9939" s="1092"/>
      <c r="I9939" s="1092"/>
    </row>
    <row r="9940" spans="8:9">
      <c r="H9940" s="1092"/>
      <c r="I9940" s="1092"/>
    </row>
    <row r="9941" spans="8:9">
      <c r="H9941" s="1092"/>
      <c r="I9941" s="1092"/>
    </row>
    <row r="9942" spans="8:9">
      <c r="H9942" s="1092"/>
      <c r="I9942" s="1092"/>
    </row>
    <row r="9943" spans="8:9">
      <c r="H9943" s="1092"/>
      <c r="I9943" s="1092"/>
    </row>
    <row r="9944" spans="8:9">
      <c r="H9944" s="1092"/>
      <c r="I9944" s="1092"/>
    </row>
    <row r="9945" spans="8:9">
      <c r="H9945" s="1092"/>
      <c r="I9945" s="1092"/>
    </row>
    <row r="9946" spans="8:9">
      <c r="H9946" s="1092"/>
      <c r="I9946" s="1092"/>
    </row>
    <row r="9947" spans="8:9">
      <c r="H9947" s="1092"/>
      <c r="I9947" s="1092"/>
    </row>
    <row r="9948" spans="8:9">
      <c r="H9948" s="1092"/>
      <c r="I9948" s="1092"/>
    </row>
    <row r="9949" spans="8:9">
      <c r="H9949" s="1092"/>
      <c r="I9949" s="1092"/>
    </row>
    <row r="9950" spans="8:9">
      <c r="H9950" s="1092"/>
      <c r="I9950" s="1092"/>
    </row>
    <row r="9951" spans="8:9">
      <c r="H9951" s="1092"/>
      <c r="I9951" s="1092"/>
    </row>
    <row r="9952" spans="8:9">
      <c r="H9952" s="1092"/>
      <c r="I9952" s="1092"/>
    </row>
    <row r="9953" spans="8:9">
      <c r="H9953" s="1092"/>
      <c r="I9953" s="1092"/>
    </row>
    <row r="9954" spans="8:9">
      <c r="H9954" s="1092"/>
      <c r="I9954" s="1092"/>
    </row>
    <row r="9955" spans="8:9">
      <c r="H9955" s="1092"/>
      <c r="I9955" s="1092"/>
    </row>
    <row r="9956" spans="8:9">
      <c r="H9956" s="1092"/>
      <c r="I9956" s="1092"/>
    </row>
    <row r="9957" spans="8:9">
      <c r="H9957" s="1092"/>
      <c r="I9957" s="1092"/>
    </row>
    <row r="9958" spans="8:9">
      <c r="H9958" s="1092"/>
      <c r="I9958" s="1092"/>
    </row>
    <row r="9959" spans="8:9">
      <c r="H9959" s="1092"/>
      <c r="I9959" s="1092"/>
    </row>
    <row r="9960" spans="8:9">
      <c r="H9960" s="1092"/>
      <c r="I9960" s="1092"/>
    </row>
    <row r="9961" spans="8:9">
      <c r="H9961" s="1092"/>
      <c r="I9961" s="1092"/>
    </row>
    <row r="9962" spans="8:9">
      <c r="H9962" s="1092"/>
      <c r="I9962" s="1092"/>
    </row>
    <row r="9963" spans="8:9">
      <c r="H9963" s="1092"/>
      <c r="I9963" s="1092"/>
    </row>
    <row r="9964" spans="8:9">
      <c r="H9964" s="1092"/>
      <c r="I9964" s="1092"/>
    </row>
    <row r="9965" spans="8:9">
      <c r="H9965" s="1092"/>
      <c r="I9965" s="1092"/>
    </row>
    <row r="9966" spans="8:9">
      <c r="H9966" s="1092"/>
      <c r="I9966" s="1092"/>
    </row>
    <row r="9967" spans="8:9">
      <c r="H9967" s="1092"/>
      <c r="I9967" s="1092"/>
    </row>
    <row r="9968" spans="8:9">
      <c r="H9968" s="1092"/>
      <c r="I9968" s="1092"/>
    </row>
    <row r="9969" spans="8:9">
      <c r="H9969" s="1092"/>
      <c r="I9969" s="1092"/>
    </row>
    <row r="9970" spans="8:9">
      <c r="H9970" s="1092"/>
      <c r="I9970" s="1092"/>
    </row>
    <row r="9971" spans="8:9">
      <c r="H9971" s="1092"/>
      <c r="I9971" s="1092"/>
    </row>
    <row r="9972" spans="8:9">
      <c r="H9972" s="1092"/>
      <c r="I9972" s="1092"/>
    </row>
    <row r="9973" spans="8:9">
      <c r="H9973" s="1092"/>
      <c r="I9973" s="1092"/>
    </row>
    <row r="9974" spans="8:9">
      <c r="H9974" s="1092"/>
      <c r="I9974" s="1092"/>
    </row>
    <row r="9975" spans="8:9">
      <c r="H9975" s="1092"/>
      <c r="I9975" s="1092"/>
    </row>
    <row r="9976" spans="8:9">
      <c r="H9976" s="1092"/>
      <c r="I9976" s="1092"/>
    </row>
    <row r="9977" spans="8:9">
      <c r="H9977" s="1092"/>
      <c r="I9977" s="1092"/>
    </row>
    <row r="9978" spans="8:9">
      <c r="H9978" s="1092"/>
      <c r="I9978" s="1092"/>
    </row>
    <row r="9979" spans="8:9">
      <c r="H9979" s="1092"/>
      <c r="I9979" s="1092"/>
    </row>
    <row r="9980" spans="8:9">
      <c r="H9980" s="1092"/>
      <c r="I9980" s="1092"/>
    </row>
    <row r="9981" spans="8:9">
      <c r="H9981" s="1092"/>
      <c r="I9981" s="1092"/>
    </row>
    <row r="9982" spans="8:9">
      <c r="H9982" s="1092"/>
      <c r="I9982" s="1092"/>
    </row>
    <row r="9983" spans="8:9">
      <c r="H9983" s="1092"/>
      <c r="I9983" s="1092"/>
    </row>
    <row r="9984" spans="8:9">
      <c r="H9984" s="1092"/>
      <c r="I9984" s="1092"/>
    </row>
    <row r="9985" spans="8:9">
      <c r="H9985" s="1092"/>
      <c r="I9985" s="1092"/>
    </row>
    <row r="9986" spans="8:9">
      <c r="H9986" s="1092"/>
      <c r="I9986" s="1092"/>
    </row>
    <row r="9987" spans="8:9">
      <c r="H9987" s="1092"/>
      <c r="I9987" s="1092"/>
    </row>
    <row r="9988" spans="8:9">
      <c r="H9988" s="1092"/>
      <c r="I9988" s="1092"/>
    </row>
    <row r="9989" spans="8:9">
      <c r="H9989" s="1092"/>
      <c r="I9989" s="1092"/>
    </row>
    <row r="9990" spans="8:9">
      <c r="H9990" s="1092"/>
      <c r="I9990" s="1092"/>
    </row>
    <row r="9991" spans="8:9">
      <c r="H9991" s="1092"/>
      <c r="I9991" s="1092"/>
    </row>
    <row r="9992" spans="8:9">
      <c r="H9992" s="1092"/>
      <c r="I9992" s="1092"/>
    </row>
    <row r="9993" spans="8:9">
      <c r="H9993" s="1092"/>
      <c r="I9993" s="1092"/>
    </row>
    <row r="9994" spans="8:9">
      <c r="H9994" s="1092"/>
      <c r="I9994" s="1092"/>
    </row>
    <row r="9995" spans="8:9">
      <c r="H9995" s="1092"/>
      <c r="I9995" s="1092"/>
    </row>
    <row r="9996" spans="8:9">
      <c r="H9996" s="1092"/>
      <c r="I9996" s="1092"/>
    </row>
    <row r="9997" spans="8:9">
      <c r="H9997" s="1092"/>
      <c r="I9997" s="1092"/>
    </row>
    <row r="9998" spans="8:9">
      <c r="H9998" s="1092"/>
      <c r="I9998" s="1092"/>
    </row>
    <row r="9999" spans="8:9">
      <c r="H9999" s="1092"/>
      <c r="I9999" s="1092"/>
    </row>
    <row r="10000" spans="8:9">
      <c r="H10000" s="1092"/>
      <c r="I10000" s="1092"/>
    </row>
    <row r="10001" spans="8:9">
      <c r="H10001" s="1092"/>
      <c r="I10001" s="1092"/>
    </row>
    <row r="10002" spans="8:9">
      <c r="H10002" s="1092"/>
      <c r="I10002" s="1092"/>
    </row>
    <row r="10003" spans="8:9">
      <c r="H10003" s="1092"/>
      <c r="I10003" s="1092"/>
    </row>
    <row r="10004" spans="8:9">
      <c r="H10004" s="1092"/>
      <c r="I10004" s="1092"/>
    </row>
    <row r="10005" spans="8:9">
      <c r="H10005" s="1092"/>
      <c r="I10005" s="1092"/>
    </row>
    <row r="10006" spans="8:9">
      <c r="H10006" s="1092"/>
      <c r="I10006" s="1092"/>
    </row>
    <row r="10007" spans="8:9">
      <c r="H10007" s="1092"/>
      <c r="I10007" s="1092"/>
    </row>
    <row r="10008" spans="8:9">
      <c r="H10008" s="1092"/>
      <c r="I10008" s="1092"/>
    </row>
    <row r="10009" spans="8:9">
      <c r="H10009" s="1092"/>
      <c r="I10009" s="1092"/>
    </row>
    <row r="10010" spans="8:9">
      <c r="H10010" s="1092"/>
      <c r="I10010" s="1092"/>
    </row>
    <row r="10011" spans="8:9">
      <c r="H10011" s="1092"/>
      <c r="I10011" s="1092"/>
    </row>
    <row r="10012" spans="8:9">
      <c r="H10012" s="1092"/>
      <c r="I10012" s="1092"/>
    </row>
    <row r="10013" spans="8:9">
      <c r="H10013" s="1092"/>
      <c r="I10013" s="1092"/>
    </row>
    <row r="10014" spans="8:9">
      <c r="H10014" s="1092"/>
      <c r="I10014" s="1092"/>
    </row>
    <row r="10015" spans="8:9">
      <c r="H10015" s="1092"/>
      <c r="I10015" s="1092"/>
    </row>
    <row r="10016" spans="8:9">
      <c r="H10016" s="1092"/>
      <c r="I10016" s="1092"/>
    </row>
    <row r="10017" spans="8:9">
      <c r="H10017" s="1092"/>
      <c r="I10017" s="1092"/>
    </row>
    <row r="10018" spans="8:9">
      <c r="H10018" s="1092"/>
      <c r="I10018" s="1092"/>
    </row>
    <row r="10019" spans="8:9">
      <c r="H10019" s="1092"/>
      <c r="I10019" s="1092"/>
    </row>
    <row r="10020" spans="8:9">
      <c r="H10020" s="1092"/>
      <c r="I10020" s="1092"/>
    </row>
    <row r="10021" spans="8:9">
      <c r="H10021" s="1092"/>
      <c r="I10021" s="1092"/>
    </row>
    <row r="10022" spans="8:9">
      <c r="H10022" s="1092"/>
      <c r="I10022" s="1092"/>
    </row>
    <row r="10023" spans="8:9">
      <c r="H10023" s="1092"/>
      <c r="I10023" s="1092"/>
    </row>
    <row r="10024" spans="8:9">
      <c r="H10024" s="1092"/>
      <c r="I10024" s="1092"/>
    </row>
    <row r="10025" spans="8:9">
      <c r="H10025" s="1092"/>
      <c r="I10025" s="1092"/>
    </row>
    <row r="10026" spans="8:9">
      <c r="H10026" s="1092"/>
      <c r="I10026" s="1092"/>
    </row>
    <row r="10027" spans="8:9">
      <c r="H10027" s="1092"/>
      <c r="I10027" s="1092"/>
    </row>
    <row r="10028" spans="8:9">
      <c r="H10028" s="1092"/>
      <c r="I10028" s="1092"/>
    </row>
    <row r="10029" spans="8:9">
      <c r="H10029" s="1092"/>
      <c r="I10029" s="1092"/>
    </row>
    <row r="10030" spans="8:9">
      <c r="H10030" s="1092"/>
      <c r="I10030" s="1092"/>
    </row>
    <row r="10031" spans="8:9">
      <c r="H10031" s="1092"/>
      <c r="I10031" s="1092"/>
    </row>
    <row r="10032" spans="8:9">
      <c r="H10032" s="1092"/>
      <c r="I10032" s="1092"/>
    </row>
    <row r="10033" spans="8:9">
      <c r="H10033" s="1092"/>
      <c r="I10033" s="1092"/>
    </row>
    <row r="10034" spans="8:9">
      <c r="H10034" s="1092"/>
      <c r="I10034" s="1092"/>
    </row>
    <row r="10035" spans="8:9">
      <c r="H10035" s="1092"/>
      <c r="I10035" s="1092"/>
    </row>
    <row r="10036" spans="8:9">
      <c r="H10036" s="1092"/>
      <c r="I10036" s="1092"/>
    </row>
    <row r="10037" spans="8:9">
      <c r="H10037" s="1092"/>
      <c r="I10037" s="1092"/>
    </row>
    <row r="10038" spans="8:9">
      <c r="H10038" s="1092"/>
      <c r="I10038" s="1092"/>
    </row>
    <row r="10039" spans="8:9">
      <c r="H10039" s="1092"/>
      <c r="I10039" s="1092"/>
    </row>
    <row r="10040" spans="8:9">
      <c r="H10040" s="1092"/>
      <c r="I10040" s="1092"/>
    </row>
    <row r="10041" spans="8:9">
      <c r="H10041" s="1092"/>
      <c r="I10041" s="1092"/>
    </row>
    <row r="10042" spans="8:9">
      <c r="H10042" s="1092"/>
      <c r="I10042" s="1092"/>
    </row>
    <row r="10043" spans="8:9">
      <c r="H10043" s="1092"/>
      <c r="I10043" s="1092"/>
    </row>
    <row r="10044" spans="8:9">
      <c r="H10044" s="1092"/>
      <c r="I10044" s="1092"/>
    </row>
    <row r="10045" spans="8:9">
      <c r="H10045" s="1092"/>
      <c r="I10045" s="1092"/>
    </row>
    <row r="10046" spans="8:9">
      <c r="H10046" s="1092"/>
      <c r="I10046" s="1092"/>
    </row>
    <row r="10047" spans="8:9">
      <c r="H10047" s="1092"/>
      <c r="I10047" s="1092"/>
    </row>
    <row r="10048" spans="8:9">
      <c r="H10048" s="1092"/>
      <c r="I10048" s="1092"/>
    </row>
    <row r="10049" spans="8:9">
      <c r="H10049" s="1092"/>
      <c r="I10049" s="1092"/>
    </row>
    <row r="10050" spans="8:9">
      <c r="H10050" s="1092"/>
      <c r="I10050" s="1092"/>
    </row>
    <row r="10051" spans="8:9">
      <c r="H10051" s="1092"/>
      <c r="I10051" s="1092"/>
    </row>
    <row r="10052" spans="8:9">
      <c r="H10052" s="1092"/>
      <c r="I10052" s="1092"/>
    </row>
    <row r="10053" spans="8:9">
      <c r="H10053" s="1092"/>
      <c r="I10053" s="1092"/>
    </row>
    <row r="10054" spans="8:9">
      <c r="H10054" s="1092"/>
      <c r="I10054" s="1092"/>
    </row>
    <row r="10055" spans="8:9">
      <c r="H10055" s="1092"/>
      <c r="I10055" s="1092"/>
    </row>
    <row r="10056" spans="8:9">
      <c r="H10056" s="1092"/>
      <c r="I10056" s="1092"/>
    </row>
    <row r="10057" spans="8:9">
      <c r="H10057" s="1092"/>
      <c r="I10057" s="1092"/>
    </row>
    <row r="10058" spans="8:9">
      <c r="H10058" s="1092"/>
      <c r="I10058" s="1092"/>
    </row>
    <row r="10059" spans="8:9">
      <c r="H10059" s="1092"/>
      <c r="I10059" s="1092"/>
    </row>
    <row r="10060" spans="8:9">
      <c r="H10060" s="1092"/>
      <c r="I10060" s="1092"/>
    </row>
    <row r="10061" spans="8:9">
      <c r="H10061" s="1092"/>
      <c r="I10061" s="1092"/>
    </row>
    <row r="10062" spans="8:9">
      <c r="H10062" s="1092"/>
      <c r="I10062" s="1092"/>
    </row>
    <row r="10063" spans="8:9">
      <c r="H10063" s="1092"/>
      <c r="I10063" s="1092"/>
    </row>
    <row r="10064" spans="8:9">
      <c r="H10064" s="1092"/>
      <c r="I10064" s="1092"/>
    </row>
    <row r="10065" spans="8:9">
      <c r="H10065" s="1092"/>
      <c r="I10065" s="1092"/>
    </row>
    <row r="10066" spans="8:9">
      <c r="H10066" s="1092"/>
      <c r="I10066" s="1092"/>
    </row>
    <row r="10067" spans="8:9">
      <c r="H10067" s="1092"/>
      <c r="I10067" s="1092"/>
    </row>
    <row r="10068" spans="8:9">
      <c r="H10068" s="1092"/>
      <c r="I10068" s="1092"/>
    </row>
    <row r="10069" spans="8:9">
      <c r="H10069" s="1092"/>
      <c r="I10069" s="1092"/>
    </row>
    <row r="10070" spans="8:9">
      <c r="H10070" s="1092"/>
      <c r="I10070" s="1092"/>
    </row>
    <row r="10071" spans="8:9">
      <c r="H10071" s="1092"/>
      <c r="I10071" s="1092"/>
    </row>
    <row r="10072" spans="8:9">
      <c r="H10072" s="1092"/>
      <c r="I10072" s="1092"/>
    </row>
    <row r="10073" spans="8:9">
      <c r="H10073" s="1092"/>
      <c r="I10073" s="1092"/>
    </row>
    <row r="10074" spans="8:9">
      <c r="H10074" s="1092"/>
      <c r="I10074" s="1092"/>
    </row>
    <row r="10075" spans="8:9">
      <c r="H10075" s="1092"/>
      <c r="I10075" s="1092"/>
    </row>
    <row r="10076" spans="8:9">
      <c r="H10076" s="1092"/>
      <c r="I10076" s="1092"/>
    </row>
    <row r="10077" spans="8:9">
      <c r="H10077" s="1092"/>
      <c r="I10077" s="1092"/>
    </row>
    <row r="10078" spans="8:9">
      <c r="H10078" s="1092"/>
      <c r="I10078" s="1092"/>
    </row>
    <row r="10079" spans="8:9">
      <c r="H10079" s="1092"/>
      <c r="I10079" s="1092"/>
    </row>
    <row r="10080" spans="8:9">
      <c r="H10080" s="1092"/>
      <c r="I10080" s="1092"/>
    </row>
    <row r="10081" spans="8:9">
      <c r="H10081" s="1092"/>
      <c r="I10081" s="1092"/>
    </row>
    <row r="10082" spans="8:9">
      <c r="H10082" s="1092"/>
      <c r="I10082" s="1092"/>
    </row>
    <row r="10083" spans="8:9">
      <c r="H10083" s="1092"/>
      <c r="I10083" s="1092"/>
    </row>
    <row r="10084" spans="8:9">
      <c r="H10084" s="1092"/>
      <c r="I10084" s="1092"/>
    </row>
    <row r="10085" spans="8:9">
      <c r="H10085" s="1092"/>
      <c r="I10085" s="1092"/>
    </row>
    <row r="10086" spans="8:9">
      <c r="H10086" s="1092"/>
      <c r="I10086" s="1092"/>
    </row>
    <row r="10087" spans="8:9">
      <c r="H10087" s="1092"/>
      <c r="I10087" s="1092"/>
    </row>
    <row r="10088" spans="8:9">
      <c r="H10088" s="1092"/>
      <c r="I10088" s="1092"/>
    </row>
    <row r="10089" spans="8:9">
      <c r="H10089" s="1092"/>
      <c r="I10089" s="1092"/>
    </row>
    <row r="10090" spans="8:9">
      <c r="H10090" s="1092"/>
      <c r="I10090" s="1092"/>
    </row>
    <row r="10091" spans="8:9">
      <c r="H10091" s="1092"/>
      <c r="I10091" s="1092"/>
    </row>
    <row r="10092" spans="8:9">
      <c r="H10092" s="1092"/>
      <c r="I10092" s="1092"/>
    </row>
    <row r="10093" spans="8:9">
      <c r="H10093" s="1092"/>
      <c r="I10093" s="1092"/>
    </row>
    <row r="10094" spans="8:9">
      <c r="H10094" s="1092"/>
      <c r="I10094" s="1092"/>
    </row>
    <row r="10095" spans="8:9">
      <c r="H10095" s="1092"/>
      <c r="I10095" s="1092"/>
    </row>
    <row r="10096" spans="8:9">
      <c r="H10096" s="1092"/>
      <c r="I10096" s="1092"/>
    </row>
    <row r="10097" spans="8:9">
      <c r="H10097" s="1092"/>
      <c r="I10097" s="1092"/>
    </row>
    <row r="10098" spans="8:9">
      <c r="H10098" s="1092"/>
      <c r="I10098" s="1092"/>
    </row>
    <row r="10099" spans="8:9">
      <c r="H10099" s="1092"/>
      <c r="I10099" s="1092"/>
    </row>
    <row r="10100" spans="8:9">
      <c r="H10100" s="1092"/>
      <c r="I10100" s="1092"/>
    </row>
    <row r="10101" spans="8:9">
      <c r="H10101" s="1092"/>
      <c r="I10101" s="1092"/>
    </row>
    <row r="10102" spans="8:9">
      <c r="H10102" s="1092"/>
      <c r="I10102" s="1092"/>
    </row>
    <row r="10103" spans="8:9">
      <c r="H10103" s="1092"/>
      <c r="I10103" s="1092"/>
    </row>
    <row r="10104" spans="8:9">
      <c r="H10104" s="1092"/>
      <c r="I10104" s="1092"/>
    </row>
    <row r="10105" spans="8:9">
      <c r="H10105" s="1092"/>
      <c r="I10105" s="1092"/>
    </row>
    <row r="10106" spans="8:9">
      <c r="H10106" s="1092"/>
      <c r="I10106" s="1092"/>
    </row>
    <row r="10107" spans="8:9">
      <c r="H10107" s="1092"/>
      <c r="I10107" s="1092"/>
    </row>
    <row r="10108" spans="8:9">
      <c r="H10108" s="1092"/>
      <c r="I10108" s="1092"/>
    </row>
    <row r="10109" spans="8:9">
      <c r="H10109" s="1092"/>
      <c r="I10109" s="1092"/>
    </row>
    <row r="10110" spans="8:9">
      <c r="H10110" s="1092"/>
      <c r="I10110" s="1092"/>
    </row>
    <row r="10111" spans="8:9">
      <c r="H10111" s="1092"/>
      <c r="I10111" s="1092"/>
    </row>
    <row r="10112" spans="8:9">
      <c r="H10112" s="1092"/>
      <c r="I10112" s="1092"/>
    </row>
    <row r="10113" spans="8:9">
      <c r="H10113" s="1092"/>
      <c r="I10113" s="1092"/>
    </row>
    <row r="10114" spans="8:9">
      <c r="H10114" s="1092"/>
      <c r="I10114" s="1092"/>
    </row>
    <row r="10115" spans="8:9">
      <c r="H10115" s="1092"/>
      <c r="I10115" s="1092"/>
    </row>
    <row r="10116" spans="8:9">
      <c r="H10116" s="1092"/>
      <c r="I10116" s="1092"/>
    </row>
    <row r="10117" spans="8:9">
      <c r="H10117" s="1092"/>
      <c r="I10117" s="1092"/>
    </row>
    <row r="10118" spans="8:9">
      <c r="H10118" s="1092"/>
      <c r="I10118" s="1092"/>
    </row>
    <row r="10119" spans="8:9">
      <c r="H10119" s="1092"/>
      <c r="I10119" s="1092"/>
    </row>
    <row r="10120" spans="8:9">
      <c r="H10120" s="1092"/>
      <c r="I10120" s="1092"/>
    </row>
    <row r="10121" spans="8:9">
      <c r="H10121" s="1092"/>
      <c r="I10121" s="1092"/>
    </row>
    <row r="10122" spans="8:9">
      <c r="H10122" s="1092"/>
      <c r="I10122" s="1092"/>
    </row>
    <row r="10123" spans="8:9">
      <c r="H10123" s="1092"/>
      <c r="I10123" s="1092"/>
    </row>
    <row r="10124" spans="8:9">
      <c r="H10124" s="1092"/>
      <c r="I10124" s="1092"/>
    </row>
    <row r="10125" spans="8:9">
      <c r="H10125" s="1092"/>
      <c r="I10125" s="1092"/>
    </row>
    <row r="10126" spans="8:9">
      <c r="H10126" s="1092"/>
      <c r="I10126" s="1092"/>
    </row>
    <row r="10127" spans="8:9">
      <c r="H10127" s="1092"/>
      <c r="I10127" s="1092"/>
    </row>
    <row r="10128" spans="8:9">
      <c r="H10128" s="1092"/>
      <c r="I10128" s="1092"/>
    </row>
    <row r="10129" spans="8:9">
      <c r="H10129" s="1092"/>
      <c r="I10129" s="1092"/>
    </row>
    <row r="10130" spans="8:9">
      <c r="H10130" s="1092"/>
      <c r="I10130" s="1092"/>
    </row>
    <row r="10131" spans="8:9">
      <c r="H10131" s="1092"/>
      <c r="I10131" s="1092"/>
    </row>
    <row r="10132" spans="8:9">
      <c r="H10132" s="1092"/>
      <c r="I10132" s="1092"/>
    </row>
    <row r="10133" spans="8:9">
      <c r="H10133" s="1092"/>
      <c r="I10133" s="1092"/>
    </row>
    <row r="10134" spans="8:9">
      <c r="H10134" s="1092"/>
      <c r="I10134" s="1092"/>
    </row>
    <row r="10135" spans="8:9">
      <c r="H10135" s="1092"/>
      <c r="I10135" s="1092"/>
    </row>
    <row r="10136" spans="8:9">
      <c r="H10136" s="1092"/>
      <c r="I10136" s="1092"/>
    </row>
    <row r="10137" spans="8:9">
      <c r="H10137" s="1092"/>
      <c r="I10137" s="1092"/>
    </row>
    <row r="10138" spans="8:9">
      <c r="H10138" s="1092"/>
      <c r="I10138" s="1092"/>
    </row>
    <row r="10139" spans="8:9">
      <c r="H10139" s="1092"/>
      <c r="I10139" s="1092"/>
    </row>
    <row r="10140" spans="8:9">
      <c r="H10140" s="1092"/>
      <c r="I10140" s="1092"/>
    </row>
    <row r="10141" spans="8:9">
      <c r="H10141" s="1092"/>
      <c r="I10141" s="1092"/>
    </row>
    <row r="10142" spans="8:9">
      <c r="H10142" s="1092"/>
      <c r="I10142" s="1092"/>
    </row>
    <row r="10143" spans="8:9">
      <c r="H10143" s="1092"/>
      <c r="I10143" s="1092"/>
    </row>
    <row r="10144" spans="8:9">
      <c r="H10144" s="1092"/>
      <c r="I10144" s="1092"/>
    </row>
    <row r="10145" spans="8:9">
      <c r="H10145" s="1092"/>
      <c r="I10145" s="1092"/>
    </row>
    <row r="10146" spans="8:9">
      <c r="H10146" s="1092"/>
      <c r="I10146" s="1092"/>
    </row>
    <row r="10147" spans="8:9">
      <c r="H10147" s="1092"/>
      <c r="I10147" s="1092"/>
    </row>
    <row r="10148" spans="8:9">
      <c r="H10148" s="1092"/>
      <c r="I10148" s="1092"/>
    </row>
    <row r="10149" spans="8:9">
      <c r="H10149" s="1092"/>
      <c r="I10149" s="1092"/>
    </row>
    <row r="10150" spans="8:9">
      <c r="H10150" s="1092"/>
      <c r="I10150" s="1092"/>
    </row>
    <row r="10151" spans="8:9">
      <c r="H10151" s="1092"/>
      <c r="I10151" s="1092"/>
    </row>
    <row r="10152" spans="8:9">
      <c r="H10152" s="1092"/>
      <c r="I10152" s="1092"/>
    </row>
    <row r="10153" spans="8:9">
      <c r="H10153" s="1092"/>
      <c r="I10153" s="1092"/>
    </row>
    <row r="10154" spans="8:9">
      <c r="H10154" s="1092"/>
      <c r="I10154" s="1092"/>
    </row>
    <row r="10155" spans="8:9">
      <c r="H10155" s="1092"/>
      <c r="I10155" s="1092"/>
    </row>
    <row r="10156" spans="8:9">
      <c r="H10156" s="1092"/>
      <c r="I10156" s="1092"/>
    </row>
    <row r="10157" spans="8:9">
      <c r="H10157" s="1092"/>
      <c r="I10157" s="1092"/>
    </row>
    <row r="10158" spans="8:9">
      <c r="H10158" s="1092"/>
      <c r="I10158" s="1092"/>
    </row>
    <row r="10159" spans="8:9">
      <c r="H10159" s="1092"/>
      <c r="I10159" s="1092"/>
    </row>
    <row r="10160" spans="8:9">
      <c r="H10160" s="1092"/>
      <c r="I10160" s="1092"/>
    </row>
    <row r="10161" spans="8:9">
      <c r="H10161" s="1092"/>
      <c r="I10161" s="1092"/>
    </row>
    <row r="10162" spans="8:9">
      <c r="H10162" s="1092"/>
      <c r="I10162" s="1092"/>
    </row>
    <row r="10163" spans="8:9">
      <c r="H10163" s="1092"/>
      <c r="I10163" s="1092"/>
    </row>
    <row r="10164" spans="8:9">
      <c r="H10164" s="1092"/>
      <c r="I10164" s="1092"/>
    </row>
    <row r="10165" spans="8:9">
      <c r="H10165" s="1092"/>
      <c r="I10165" s="1092"/>
    </row>
    <row r="10166" spans="8:9">
      <c r="H10166" s="1092"/>
      <c r="I10166" s="1092"/>
    </row>
    <row r="10167" spans="8:9">
      <c r="H10167" s="1092"/>
      <c r="I10167" s="1092"/>
    </row>
    <row r="10168" spans="8:9">
      <c r="H10168" s="1092"/>
      <c r="I10168" s="1092"/>
    </row>
    <row r="10169" spans="8:9">
      <c r="H10169" s="1092"/>
      <c r="I10169" s="1092"/>
    </row>
    <row r="10170" spans="8:9">
      <c r="H10170" s="1092"/>
      <c r="I10170" s="1092"/>
    </row>
    <row r="10171" spans="8:9">
      <c r="H10171" s="1092"/>
      <c r="I10171" s="1092"/>
    </row>
    <row r="10172" spans="8:9">
      <c r="H10172" s="1092"/>
      <c r="I10172" s="1092"/>
    </row>
    <row r="10173" spans="8:9">
      <c r="H10173" s="1092"/>
      <c r="I10173" s="1092"/>
    </row>
    <row r="10174" spans="8:9">
      <c r="H10174" s="1092"/>
      <c r="I10174" s="1092"/>
    </row>
    <row r="10175" spans="8:9">
      <c r="H10175" s="1092"/>
      <c r="I10175" s="1092"/>
    </row>
    <row r="10176" spans="8:9">
      <c r="H10176" s="1092"/>
      <c r="I10176" s="1092"/>
    </row>
    <row r="10177" spans="8:9">
      <c r="H10177" s="1092"/>
      <c r="I10177" s="1092"/>
    </row>
    <row r="10178" spans="8:9">
      <c r="H10178" s="1092"/>
      <c r="I10178" s="1092"/>
    </row>
    <row r="10179" spans="8:9">
      <c r="H10179" s="1092"/>
      <c r="I10179" s="1092"/>
    </row>
    <row r="10180" spans="8:9">
      <c r="H10180" s="1092"/>
      <c r="I10180" s="1092"/>
    </row>
    <row r="10181" spans="8:9">
      <c r="H10181" s="1092"/>
      <c r="I10181" s="1092"/>
    </row>
    <row r="10182" spans="8:9">
      <c r="H10182" s="1092"/>
      <c r="I10182" s="1092"/>
    </row>
    <row r="10183" spans="8:9">
      <c r="H10183" s="1092"/>
      <c r="I10183" s="1092"/>
    </row>
    <row r="10184" spans="8:9">
      <c r="H10184" s="1092"/>
      <c r="I10184" s="1092"/>
    </row>
    <row r="10185" spans="8:9">
      <c r="H10185" s="1092"/>
      <c r="I10185" s="1092"/>
    </row>
    <row r="10186" spans="8:9">
      <c r="H10186" s="1092"/>
      <c r="I10186" s="1092"/>
    </row>
    <row r="10187" spans="8:9">
      <c r="H10187" s="1092"/>
      <c r="I10187" s="1092"/>
    </row>
    <row r="10188" spans="8:9">
      <c r="H10188" s="1092"/>
      <c r="I10188" s="1092"/>
    </row>
    <row r="10189" spans="8:9">
      <c r="H10189" s="1092"/>
      <c r="I10189" s="1092"/>
    </row>
    <row r="10190" spans="8:9">
      <c r="H10190" s="1092"/>
      <c r="I10190" s="1092"/>
    </row>
    <row r="10191" spans="8:9">
      <c r="H10191" s="1092"/>
      <c r="I10191" s="1092"/>
    </row>
    <row r="10192" spans="8:9">
      <c r="H10192" s="1092"/>
      <c r="I10192" s="1092"/>
    </row>
    <row r="10193" spans="8:9">
      <c r="H10193" s="1092"/>
      <c r="I10193" s="1092"/>
    </row>
    <row r="10194" spans="8:9">
      <c r="H10194" s="1092"/>
      <c r="I10194" s="1092"/>
    </row>
    <row r="10195" spans="8:9">
      <c r="H10195" s="1092"/>
      <c r="I10195" s="1092"/>
    </row>
    <row r="10196" spans="8:9">
      <c r="H10196" s="1092"/>
      <c r="I10196" s="1092"/>
    </row>
    <row r="10197" spans="8:9">
      <c r="H10197" s="1092"/>
      <c r="I10197" s="1092"/>
    </row>
    <row r="10198" spans="8:9">
      <c r="H10198" s="1092"/>
      <c r="I10198" s="1092"/>
    </row>
    <row r="10199" spans="8:9">
      <c r="H10199" s="1092"/>
      <c r="I10199" s="1092"/>
    </row>
    <row r="10200" spans="8:9">
      <c r="H10200" s="1092"/>
      <c r="I10200" s="1092"/>
    </row>
    <row r="10201" spans="8:9">
      <c r="H10201" s="1092"/>
      <c r="I10201" s="1092"/>
    </row>
    <row r="10202" spans="8:9">
      <c r="H10202" s="1092"/>
      <c r="I10202" s="1092"/>
    </row>
    <row r="10203" spans="8:9">
      <c r="H10203" s="1092"/>
      <c r="I10203" s="1092"/>
    </row>
    <row r="10204" spans="8:9">
      <c r="H10204" s="1092"/>
      <c r="I10204" s="1092"/>
    </row>
    <row r="10205" spans="8:9">
      <c r="H10205" s="1092"/>
      <c r="I10205" s="1092"/>
    </row>
    <row r="10206" spans="8:9">
      <c r="H10206" s="1092"/>
      <c r="I10206" s="1092"/>
    </row>
    <row r="10207" spans="8:9">
      <c r="H10207" s="1092"/>
      <c r="I10207" s="1092"/>
    </row>
    <row r="10208" spans="8:9">
      <c r="H10208" s="1092"/>
      <c r="I10208" s="1092"/>
    </row>
    <row r="10209" spans="8:9">
      <c r="H10209" s="1092"/>
      <c r="I10209" s="1092"/>
    </row>
    <row r="10210" spans="8:9">
      <c r="H10210" s="1092"/>
      <c r="I10210" s="1092"/>
    </row>
    <row r="10211" spans="8:9">
      <c r="H10211" s="1092"/>
      <c r="I10211" s="1092"/>
    </row>
    <row r="10212" spans="8:9">
      <c r="H10212" s="1092"/>
      <c r="I10212" s="1092"/>
    </row>
    <row r="10213" spans="8:9">
      <c r="H10213" s="1092"/>
      <c r="I10213" s="1092"/>
    </row>
    <row r="10214" spans="8:9">
      <c r="H10214" s="1092"/>
      <c r="I10214" s="1092"/>
    </row>
    <row r="10215" spans="8:9">
      <c r="H10215" s="1092"/>
      <c r="I10215" s="1092"/>
    </row>
    <row r="10216" spans="8:9">
      <c r="H10216" s="1092"/>
      <c r="I10216" s="1092"/>
    </row>
    <row r="10217" spans="8:9">
      <c r="H10217" s="1092"/>
      <c r="I10217" s="1092"/>
    </row>
    <row r="10218" spans="8:9">
      <c r="H10218" s="1092"/>
      <c r="I10218" s="1092"/>
    </row>
    <row r="10219" spans="8:9">
      <c r="H10219" s="1092"/>
      <c r="I10219" s="1092"/>
    </row>
    <row r="10220" spans="8:9">
      <c r="H10220" s="1092"/>
      <c r="I10220" s="1092"/>
    </row>
    <row r="10221" spans="8:9">
      <c r="H10221" s="1092"/>
      <c r="I10221" s="1092"/>
    </row>
    <row r="10222" spans="8:9">
      <c r="H10222" s="1092"/>
      <c r="I10222" s="1092"/>
    </row>
    <row r="10223" spans="8:9">
      <c r="H10223" s="1092"/>
      <c r="I10223" s="1092"/>
    </row>
    <row r="10224" spans="8:9">
      <c r="H10224" s="1092"/>
      <c r="I10224" s="1092"/>
    </row>
    <row r="10225" spans="8:9">
      <c r="H10225" s="1092"/>
      <c r="I10225" s="1092"/>
    </row>
    <row r="10226" spans="8:9">
      <c r="H10226" s="1092"/>
      <c r="I10226" s="1092"/>
    </row>
    <row r="10227" spans="8:9">
      <c r="H10227" s="1092"/>
      <c r="I10227" s="1092"/>
    </row>
    <row r="10228" spans="8:9">
      <c r="H10228" s="1092"/>
      <c r="I10228" s="1092"/>
    </row>
    <row r="10229" spans="8:9">
      <c r="H10229" s="1092"/>
      <c r="I10229" s="1092"/>
    </row>
    <row r="10230" spans="8:9">
      <c r="H10230" s="1092"/>
      <c r="I10230" s="1092"/>
    </row>
    <row r="10231" spans="8:9">
      <c r="H10231" s="1092"/>
      <c r="I10231" s="1092"/>
    </row>
    <row r="10232" spans="8:9">
      <c r="H10232" s="1092"/>
      <c r="I10232" s="1092"/>
    </row>
    <row r="10233" spans="8:9">
      <c r="H10233" s="1092"/>
      <c r="I10233" s="1092"/>
    </row>
    <row r="10234" spans="8:9">
      <c r="H10234" s="1092"/>
      <c r="I10234" s="1092"/>
    </row>
    <row r="10235" spans="8:9">
      <c r="H10235" s="1092"/>
      <c r="I10235" s="1092"/>
    </row>
    <row r="10236" spans="8:9">
      <c r="H10236" s="1092"/>
      <c r="I10236" s="1092"/>
    </row>
    <row r="10237" spans="8:9">
      <c r="H10237" s="1092"/>
      <c r="I10237" s="1092"/>
    </row>
    <row r="10238" spans="8:9">
      <c r="H10238" s="1092"/>
      <c r="I10238" s="1092"/>
    </row>
    <row r="10239" spans="8:9">
      <c r="H10239" s="1092"/>
      <c r="I10239" s="1092"/>
    </row>
    <row r="10240" spans="8:9">
      <c r="H10240" s="1092"/>
      <c r="I10240" s="1092"/>
    </row>
    <row r="10241" spans="8:9">
      <c r="H10241" s="1092"/>
      <c r="I10241" s="1092"/>
    </row>
    <row r="10242" spans="8:9">
      <c r="H10242" s="1092"/>
      <c r="I10242" s="1092"/>
    </row>
    <row r="10243" spans="8:9">
      <c r="H10243" s="1092"/>
      <c r="I10243" s="1092"/>
    </row>
    <row r="10244" spans="8:9">
      <c r="H10244" s="1092"/>
      <c r="I10244" s="1092"/>
    </row>
    <row r="10245" spans="8:9">
      <c r="H10245" s="1092"/>
      <c r="I10245" s="1092"/>
    </row>
    <row r="10246" spans="8:9">
      <c r="H10246" s="1092"/>
      <c r="I10246" s="1092"/>
    </row>
    <row r="10247" spans="8:9">
      <c r="H10247" s="1092"/>
      <c r="I10247" s="1092"/>
    </row>
    <row r="10248" spans="8:9">
      <c r="H10248" s="1092"/>
      <c r="I10248" s="1092"/>
    </row>
    <row r="10249" spans="8:9">
      <c r="H10249" s="1092"/>
      <c r="I10249" s="1092"/>
    </row>
    <row r="10250" spans="8:9">
      <c r="H10250" s="1092"/>
      <c r="I10250" s="1092"/>
    </row>
    <row r="10251" spans="8:9">
      <c r="H10251" s="1092"/>
      <c r="I10251" s="1092"/>
    </row>
    <row r="10252" spans="8:9">
      <c r="H10252" s="1092"/>
      <c r="I10252" s="1092"/>
    </row>
    <row r="10253" spans="8:9">
      <c r="H10253" s="1092"/>
      <c r="I10253" s="1092"/>
    </row>
    <row r="10254" spans="8:9">
      <c r="H10254" s="1092"/>
      <c r="I10254" s="1092"/>
    </row>
    <row r="10255" spans="8:9">
      <c r="H10255" s="1092"/>
      <c r="I10255" s="1092"/>
    </row>
    <row r="10256" spans="8:9">
      <c r="H10256" s="1092"/>
      <c r="I10256" s="1092"/>
    </row>
    <row r="10257" spans="8:9">
      <c r="H10257" s="1092"/>
      <c r="I10257" s="1092"/>
    </row>
    <row r="10258" spans="8:9">
      <c r="H10258" s="1092"/>
      <c r="I10258" s="1092"/>
    </row>
    <row r="10259" spans="8:9">
      <c r="H10259" s="1092"/>
      <c r="I10259" s="1092"/>
    </row>
    <row r="10260" spans="8:9">
      <c r="H10260" s="1092"/>
      <c r="I10260" s="1092"/>
    </row>
    <row r="10261" spans="8:9">
      <c r="H10261" s="1092"/>
      <c r="I10261" s="1092"/>
    </row>
    <row r="10262" spans="8:9">
      <c r="H10262" s="1092"/>
      <c r="I10262" s="1092"/>
    </row>
    <row r="10263" spans="8:9">
      <c r="H10263" s="1092"/>
      <c r="I10263" s="1092"/>
    </row>
    <row r="10264" spans="8:9">
      <c r="H10264" s="1092"/>
      <c r="I10264" s="1092"/>
    </row>
    <row r="10265" spans="8:9">
      <c r="H10265" s="1092"/>
      <c r="I10265" s="1092"/>
    </row>
    <row r="10266" spans="8:9">
      <c r="H10266" s="1092"/>
      <c r="I10266" s="1092"/>
    </row>
    <row r="10267" spans="8:9">
      <c r="H10267" s="1092"/>
      <c r="I10267" s="1092"/>
    </row>
    <row r="10268" spans="8:9">
      <c r="H10268" s="1092"/>
      <c r="I10268" s="1092"/>
    </row>
    <row r="10269" spans="8:9">
      <c r="H10269" s="1092"/>
      <c r="I10269" s="1092"/>
    </row>
    <row r="10270" spans="8:9">
      <c r="H10270" s="1092"/>
      <c r="I10270" s="1092"/>
    </row>
    <row r="10271" spans="8:9">
      <c r="H10271" s="1092"/>
      <c r="I10271" s="1092"/>
    </row>
    <row r="10272" spans="8:9">
      <c r="H10272" s="1092"/>
      <c r="I10272" s="1092"/>
    </row>
    <row r="10273" spans="8:9">
      <c r="H10273" s="1092"/>
      <c r="I10273" s="1092"/>
    </row>
    <row r="10274" spans="8:9">
      <c r="H10274" s="1092"/>
      <c r="I10274" s="1092"/>
    </row>
    <row r="10275" spans="8:9">
      <c r="H10275" s="1092"/>
      <c r="I10275" s="1092"/>
    </row>
    <row r="10276" spans="8:9">
      <c r="H10276" s="1092"/>
      <c r="I10276" s="1092"/>
    </row>
    <row r="10277" spans="8:9">
      <c r="H10277" s="1092"/>
      <c r="I10277" s="1092"/>
    </row>
    <row r="10278" spans="8:9">
      <c r="H10278" s="1092"/>
      <c r="I10278" s="1092"/>
    </row>
    <row r="10279" spans="8:9">
      <c r="H10279" s="1092"/>
      <c r="I10279" s="1092"/>
    </row>
    <row r="10280" spans="8:9">
      <c r="H10280" s="1092"/>
      <c r="I10280" s="1092"/>
    </row>
    <row r="10281" spans="8:9">
      <c r="H10281" s="1092"/>
      <c r="I10281" s="1092"/>
    </row>
    <row r="10282" spans="8:9">
      <c r="H10282" s="1092"/>
      <c r="I10282" s="1092"/>
    </row>
    <row r="10283" spans="8:9">
      <c r="H10283" s="1092"/>
      <c r="I10283" s="1092"/>
    </row>
    <row r="10284" spans="8:9">
      <c r="H10284" s="1092"/>
      <c r="I10284" s="1092"/>
    </row>
    <row r="10285" spans="8:9">
      <c r="H10285" s="1092"/>
      <c r="I10285" s="1092"/>
    </row>
    <row r="10286" spans="8:9">
      <c r="H10286" s="1092"/>
      <c r="I10286" s="1092"/>
    </row>
    <row r="10287" spans="8:9">
      <c r="H10287" s="1092"/>
      <c r="I10287" s="1092"/>
    </row>
    <row r="10288" spans="8:9">
      <c r="H10288" s="1092"/>
      <c r="I10288" s="1092"/>
    </row>
    <row r="10289" spans="8:9">
      <c r="H10289" s="1092"/>
      <c r="I10289" s="1092"/>
    </row>
    <row r="10290" spans="8:9">
      <c r="H10290" s="1092"/>
      <c r="I10290" s="1092"/>
    </row>
    <row r="10291" spans="8:9">
      <c r="H10291" s="1092"/>
      <c r="I10291" s="1092"/>
    </row>
    <row r="10292" spans="8:9">
      <c r="H10292" s="1092"/>
      <c r="I10292" s="1092"/>
    </row>
    <row r="10293" spans="8:9">
      <c r="H10293" s="1092"/>
      <c r="I10293" s="1092"/>
    </row>
    <row r="10294" spans="8:9">
      <c r="H10294" s="1092"/>
      <c r="I10294" s="1092"/>
    </row>
    <row r="10295" spans="8:9">
      <c r="H10295" s="1092"/>
      <c r="I10295" s="1092"/>
    </row>
    <row r="10296" spans="8:9">
      <c r="H10296" s="1092"/>
      <c r="I10296" s="1092"/>
    </row>
    <row r="10297" spans="8:9">
      <c r="H10297" s="1092"/>
      <c r="I10297" s="1092"/>
    </row>
    <row r="10298" spans="8:9">
      <c r="H10298" s="1092"/>
      <c r="I10298" s="1092"/>
    </row>
    <row r="10299" spans="8:9">
      <c r="H10299" s="1092"/>
      <c r="I10299" s="1092"/>
    </row>
    <row r="10300" spans="8:9">
      <c r="H10300" s="1092"/>
      <c r="I10300" s="1092"/>
    </row>
    <row r="10301" spans="8:9">
      <c r="H10301" s="1092"/>
      <c r="I10301" s="1092"/>
    </row>
    <row r="10302" spans="8:9">
      <c r="H10302" s="1092"/>
      <c r="I10302" s="1092"/>
    </row>
    <row r="10303" spans="8:9">
      <c r="H10303" s="1092"/>
      <c r="I10303" s="1092"/>
    </row>
    <row r="10304" spans="8:9">
      <c r="H10304" s="1092"/>
      <c r="I10304" s="1092"/>
    </row>
    <row r="10305" spans="8:9">
      <c r="H10305" s="1092"/>
      <c r="I10305" s="1092"/>
    </row>
    <row r="10306" spans="8:9">
      <c r="H10306" s="1092"/>
      <c r="I10306" s="1092"/>
    </row>
    <row r="10307" spans="8:9">
      <c r="H10307" s="1092"/>
      <c r="I10307" s="1092"/>
    </row>
    <row r="10308" spans="8:9">
      <c r="H10308" s="1092"/>
      <c r="I10308" s="1092"/>
    </row>
    <row r="10309" spans="8:9">
      <c r="H10309" s="1092"/>
      <c r="I10309" s="1092"/>
    </row>
    <row r="10310" spans="8:9">
      <c r="H10310" s="1092"/>
      <c r="I10310" s="1092"/>
    </row>
    <row r="10311" spans="8:9">
      <c r="H10311" s="1092"/>
      <c r="I10311" s="1092"/>
    </row>
    <row r="10312" spans="8:9">
      <c r="H10312" s="1092"/>
      <c r="I10312" s="1092"/>
    </row>
    <row r="10313" spans="8:9">
      <c r="H10313" s="1092"/>
      <c r="I10313" s="1092"/>
    </row>
    <row r="10314" spans="8:9">
      <c r="H10314" s="1092"/>
      <c r="I10314" s="1092"/>
    </row>
    <row r="10315" spans="8:9">
      <c r="H10315" s="1092"/>
      <c r="I10315" s="1092"/>
    </row>
    <row r="10316" spans="8:9">
      <c r="H10316" s="1092"/>
      <c r="I10316" s="1092"/>
    </row>
    <row r="10317" spans="8:9">
      <c r="H10317" s="1092"/>
      <c r="I10317" s="1092"/>
    </row>
    <row r="10318" spans="8:9">
      <c r="H10318" s="1092"/>
      <c r="I10318" s="1092"/>
    </row>
    <row r="10319" spans="8:9">
      <c r="H10319" s="1092"/>
      <c r="I10319" s="1092"/>
    </row>
    <row r="10320" spans="8:9">
      <c r="H10320" s="1092"/>
      <c r="I10320" s="1092"/>
    </row>
    <row r="10321" spans="8:9">
      <c r="H10321" s="1092"/>
      <c r="I10321" s="1092"/>
    </row>
    <row r="10322" spans="8:9">
      <c r="H10322" s="1092"/>
      <c r="I10322" s="1092"/>
    </row>
    <row r="10323" spans="8:9">
      <c r="H10323" s="1092"/>
      <c r="I10323" s="1092"/>
    </row>
    <row r="10324" spans="8:9">
      <c r="H10324" s="1092"/>
      <c r="I10324" s="1092"/>
    </row>
    <row r="10325" spans="8:9">
      <c r="H10325" s="1092"/>
      <c r="I10325" s="1092"/>
    </row>
    <row r="10326" spans="8:9">
      <c r="H10326" s="1092"/>
      <c r="I10326" s="1092"/>
    </row>
    <row r="10327" spans="8:9">
      <c r="H10327" s="1092"/>
      <c r="I10327" s="1092"/>
    </row>
    <row r="10328" spans="8:9">
      <c r="H10328" s="1092"/>
      <c r="I10328" s="1092"/>
    </row>
    <row r="10329" spans="8:9">
      <c r="H10329" s="1092"/>
      <c r="I10329" s="1092"/>
    </row>
    <row r="10330" spans="8:9">
      <c r="H10330" s="1092"/>
      <c r="I10330" s="1092"/>
    </row>
    <row r="10331" spans="8:9">
      <c r="H10331" s="1092"/>
      <c r="I10331" s="1092"/>
    </row>
    <row r="10332" spans="8:9">
      <c r="H10332" s="1092"/>
      <c r="I10332" s="1092"/>
    </row>
    <row r="10333" spans="8:9">
      <c r="H10333" s="1092"/>
      <c r="I10333" s="1092"/>
    </row>
    <row r="10334" spans="8:9">
      <c r="H10334" s="1092"/>
      <c r="I10334" s="1092"/>
    </row>
    <row r="10335" spans="8:9">
      <c r="H10335" s="1092"/>
      <c r="I10335" s="1092"/>
    </row>
    <row r="10336" spans="8:9">
      <c r="H10336" s="1092"/>
      <c r="I10336" s="1092"/>
    </row>
    <row r="10337" spans="8:9">
      <c r="H10337" s="1092"/>
      <c r="I10337" s="1092"/>
    </row>
    <row r="10338" spans="8:9">
      <c r="H10338" s="1092"/>
      <c r="I10338" s="1092"/>
    </row>
    <row r="10339" spans="8:9">
      <c r="H10339" s="1092"/>
      <c r="I10339" s="1092"/>
    </row>
    <row r="10340" spans="8:9">
      <c r="H10340" s="1092"/>
      <c r="I10340" s="1092"/>
    </row>
    <row r="10341" spans="8:9">
      <c r="H10341" s="1092"/>
      <c r="I10341" s="1092"/>
    </row>
    <row r="10342" spans="8:9">
      <c r="H10342" s="1092"/>
      <c r="I10342" s="1092"/>
    </row>
    <row r="10343" spans="8:9">
      <c r="H10343" s="1092"/>
      <c r="I10343" s="1092"/>
    </row>
    <row r="10344" spans="8:9">
      <c r="H10344" s="1092"/>
      <c r="I10344" s="1092"/>
    </row>
    <row r="10345" spans="8:9">
      <c r="H10345" s="1092"/>
      <c r="I10345" s="1092"/>
    </row>
    <row r="10346" spans="8:9">
      <c r="H10346" s="1092"/>
      <c r="I10346" s="1092"/>
    </row>
    <row r="10347" spans="8:9">
      <c r="H10347" s="1092"/>
      <c r="I10347" s="1092"/>
    </row>
    <row r="10348" spans="8:9">
      <c r="H10348" s="1092"/>
      <c r="I10348" s="1092"/>
    </row>
    <row r="10349" spans="8:9">
      <c r="H10349" s="1092"/>
      <c r="I10349" s="1092"/>
    </row>
    <row r="10350" spans="8:9">
      <c r="H10350" s="1092"/>
      <c r="I10350" s="1092"/>
    </row>
    <row r="10351" spans="8:9">
      <c r="H10351" s="1092"/>
      <c r="I10351" s="1092"/>
    </row>
    <row r="10352" spans="8:9">
      <c r="H10352" s="1092"/>
      <c r="I10352" s="1092"/>
    </row>
    <row r="10353" spans="8:9">
      <c r="H10353" s="1092"/>
      <c r="I10353" s="1092"/>
    </row>
    <row r="10354" spans="8:9">
      <c r="H10354" s="1092"/>
      <c r="I10354" s="1092"/>
    </row>
    <row r="10355" spans="8:9">
      <c r="H10355" s="1092"/>
      <c r="I10355" s="1092"/>
    </row>
    <row r="10356" spans="8:9">
      <c r="H10356" s="1092"/>
      <c r="I10356" s="1092"/>
    </row>
    <row r="10357" spans="8:9">
      <c r="H10357" s="1092"/>
      <c r="I10357" s="1092"/>
    </row>
    <row r="10358" spans="8:9">
      <c r="H10358" s="1092"/>
      <c r="I10358" s="1092"/>
    </row>
    <row r="10359" spans="8:9">
      <c r="H10359" s="1092"/>
      <c r="I10359" s="1092"/>
    </row>
    <row r="10360" spans="8:9">
      <c r="H10360" s="1092"/>
      <c r="I10360" s="1092"/>
    </row>
    <row r="10361" spans="8:9">
      <c r="H10361" s="1092"/>
      <c r="I10361" s="1092"/>
    </row>
    <row r="10362" spans="8:9">
      <c r="H10362" s="1092"/>
      <c r="I10362" s="1092"/>
    </row>
    <row r="10363" spans="8:9">
      <c r="H10363" s="1092"/>
      <c r="I10363" s="1092"/>
    </row>
    <row r="10364" spans="8:9">
      <c r="H10364" s="1092"/>
      <c r="I10364" s="1092"/>
    </row>
    <row r="10365" spans="8:9">
      <c r="H10365" s="1092"/>
      <c r="I10365" s="1092"/>
    </row>
    <row r="10366" spans="8:9">
      <c r="H10366" s="1092"/>
      <c r="I10366" s="1092"/>
    </row>
    <row r="10367" spans="8:9">
      <c r="H10367" s="1092"/>
      <c r="I10367" s="1092"/>
    </row>
    <row r="10368" spans="8:9">
      <c r="H10368" s="1092"/>
      <c r="I10368" s="1092"/>
    </row>
    <row r="10369" spans="8:9">
      <c r="H10369" s="1092"/>
      <c r="I10369" s="1092"/>
    </row>
    <row r="10370" spans="8:9">
      <c r="H10370" s="1092"/>
      <c r="I10370" s="1092"/>
    </row>
    <row r="10371" spans="8:9">
      <c r="H10371" s="1092"/>
      <c r="I10371" s="1092"/>
    </row>
    <row r="10372" spans="8:9">
      <c r="H10372" s="1092"/>
      <c r="I10372" s="1092"/>
    </row>
    <row r="10373" spans="8:9">
      <c r="H10373" s="1092"/>
      <c r="I10373" s="1092"/>
    </row>
    <row r="10374" spans="8:9">
      <c r="H10374" s="1092"/>
      <c r="I10374" s="1092"/>
    </row>
    <row r="10375" spans="8:9">
      <c r="H10375" s="1092"/>
      <c r="I10375" s="1092"/>
    </row>
    <row r="10376" spans="8:9">
      <c r="H10376" s="1092"/>
      <c r="I10376" s="1092"/>
    </row>
    <row r="10377" spans="8:9">
      <c r="H10377" s="1092"/>
      <c r="I10377" s="1092"/>
    </row>
    <row r="10378" spans="8:9">
      <c r="H10378" s="1092"/>
      <c r="I10378" s="1092"/>
    </row>
    <row r="10379" spans="8:9">
      <c r="H10379" s="1092"/>
      <c r="I10379" s="1092"/>
    </row>
    <row r="10380" spans="8:9">
      <c r="H10380" s="1092"/>
      <c r="I10380" s="1092"/>
    </row>
    <row r="10381" spans="8:9">
      <c r="H10381" s="1092"/>
      <c r="I10381" s="1092"/>
    </row>
    <row r="10382" spans="8:9">
      <c r="H10382" s="1092"/>
      <c r="I10382" s="1092"/>
    </row>
    <row r="10383" spans="8:9">
      <c r="H10383" s="1092"/>
      <c r="I10383" s="1092"/>
    </row>
    <row r="10384" spans="8:9">
      <c r="H10384" s="1092"/>
      <c r="I10384" s="1092"/>
    </row>
    <row r="10385" spans="8:9">
      <c r="H10385" s="1092"/>
      <c r="I10385" s="1092"/>
    </row>
    <row r="10386" spans="8:9">
      <c r="H10386" s="1092"/>
      <c r="I10386" s="1092"/>
    </row>
    <row r="10387" spans="8:9">
      <c r="H10387" s="1092"/>
      <c r="I10387" s="1092"/>
    </row>
    <row r="10388" spans="8:9">
      <c r="H10388" s="1092"/>
      <c r="I10388" s="1092"/>
    </row>
    <row r="10389" spans="8:9">
      <c r="H10389" s="1092"/>
      <c r="I10389" s="1092"/>
    </row>
    <row r="10390" spans="8:9">
      <c r="H10390" s="1092"/>
      <c r="I10390" s="1092"/>
    </row>
    <row r="10391" spans="8:9">
      <c r="H10391" s="1092"/>
      <c r="I10391" s="1092"/>
    </row>
    <row r="10392" spans="8:9">
      <c r="H10392" s="1092"/>
      <c r="I10392" s="1092"/>
    </row>
    <row r="10393" spans="8:9">
      <c r="H10393" s="1092"/>
      <c r="I10393" s="1092"/>
    </row>
    <row r="10394" spans="8:9">
      <c r="H10394" s="1092"/>
      <c r="I10394" s="1092"/>
    </row>
    <row r="10395" spans="8:9">
      <c r="H10395" s="1092"/>
      <c r="I10395" s="1092"/>
    </row>
    <row r="10396" spans="8:9">
      <c r="H10396" s="1092"/>
      <c r="I10396" s="1092"/>
    </row>
    <row r="10397" spans="8:9">
      <c r="H10397" s="1092"/>
      <c r="I10397" s="1092"/>
    </row>
    <row r="10398" spans="8:9">
      <c r="H10398" s="1092"/>
      <c r="I10398" s="1092"/>
    </row>
    <row r="10399" spans="8:9">
      <c r="H10399" s="1092"/>
      <c r="I10399" s="1092"/>
    </row>
    <row r="10400" spans="8:9">
      <c r="H10400" s="1092"/>
      <c r="I10400" s="1092"/>
    </row>
    <row r="10401" spans="8:9">
      <c r="H10401" s="1092"/>
      <c r="I10401" s="1092"/>
    </row>
    <row r="10402" spans="8:9">
      <c r="H10402" s="1092"/>
      <c r="I10402" s="1092"/>
    </row>
    <row r="10403" spans="8:9">
      <c r="H10403" s="1092"/>
      <c r="I10403" s="1092"/>
    </row>
    <row r="10404" spans="8:9">
      <c r="H10404" s="1092"/>
      <c r="I10404" s="1092"/>
    </row>
    <row r="10405" spans="8:9">
      <c r="H10405" s="1092"/>
      <c r="I10405" s="1092"/>
    </row>
    <row r="10406" spans="8:9">
      <c r="H10406" s="1092"/>
      <c r="I10406" s="1092"/>
    </row>
    <row r="10407" spans="8:9">
      <c r="H10407" s="1092"/>
      <c r="I10407" s="1092"/>
    </row>
    <row r="10408" spans="8:9">
      <c r="H10408" s="1092"/>
      <c r="I10408" s="1092"/>
    </row>
    <row r="10409" spans="8:9">
      <c r="H10409" s="1092"/>
      <c r="I10409" s="1092"/>
    </row>
    <row r="10410" spans="8:9">
      <c r="H10410" s="1092"/>
      <c r="I10410" s="1092"/>
    </row>
    <row r="10411" spans="8:9">
      <c r="H10411" s="1092"/>
      <c r="I10411" s="1092"/>
    </row>
    <row r="10412" spans="8:9">
      <c r="H10412" s="1092"/>
      <c r="I10412" s="1092"/>
    </row>
    <row r="10413" spans="8:9">
      <c r="H10413" s="1092"/>
      <c r="I10413" s="1092"/>
    </row>
    <row r="10414" spans="8:9">
      <c r="H10414" s="1092"/>
      <c r="I10414" s="1092"/>
    </row>
    <row r="10415" spans="8:9">
      <c r="H10415" s="1092"/>
      <c r="I10415" s="1092"/>
    </row>
    <row r="10416" spans="8:9">
      <c r="H10416" s="1092"/>
      <c r="I10416" s="1092"/>
    </row>
    <row r="10417" spans="8:9">
      <c r="H10417" s="1092"/>
      <c r="I10417" s="1092"/>
    </row>
    <row r="10418" spans="8:9">
      <c r="H10418" s="1092"/>
      <c r="I10418" s="1092"/>
    </row>
    <row r="10419" spans="8:9">
      <c r="H10419" s="1092"/>
      <c r="I10419" s="1092"/>
    </row>
    <row r="10420" spans="8:9">
      <c r="H10420" s="1092"/>
      <c r="I10420" s="1092"/>
    </row>
    <row r="10421" spans="8:9">
      <c r="H10421" s="1092"/>
      <c r="I10421" s="1092"/>
    </row>
    <row r="10422" spans="8:9">
      <c r="H10422" s="1092"/>
      <c r="I10422" s="1092"/>
    </row>
    <row r="10423" spans="8:9">
      <c r="H10423" s="1092"/>
      <c r="I10423" s="1092"/>
    </row>
    <row r="10424" spans="8:9">
      <c r="H10424" s="1092"/>
      <c r="I10424" s="1092"/>
    </row>
    <row r="10425" spans="8:9">
      <c r="H10425" s="1092"/>
      <c r="I10425" s="1092"/>
    </row>
    <row r="10426" spans="8:9">
      <c r="H10426" s="1092"/>
      <c r="I10426" s="1092"/>
    </row>
    <row r="10427" spans="8:9">
      <c r="H10427" s="1092"/>
      <c r="I10427" s="1092"/>
    </row>
    <row r="10428" spans="8:9">
      <c r="H10428" s="1092"/>
      <c r="I10428" s="1092"/>
    </row>
    <row r="10429" spans="8:9">
      <c r="H10429" s="1092"/>
      <c r="I10429" s="1092"/>
    </row>
    <row r="10430" spans="8:9">
      <c r="H10430" s="1092"/>
      <c r="I10430" s="1092"/>
    </row>
    <row r="10431" spans="8:9">
      <c r="H10431" s="1092"/>
      <c r="I10431" s="1092"/>
    </row>
    <row r="10432" spans="8:9">
      <c r="H10432" s="1092"/>
      <c r="I10432" s="1092"/>
    </row>
    <row r="10433" spans="8:9">
      <c r="H10433" s="1092"/>
      <c r="I10433" s="1092"/>
    </row>
    <row r="10434" spans="8:9">
      <c r="H10434" s="1092"/>
      <c r="I10434" s="1092"/>
    </row>
    <row r="10435" spans="8:9">
      <c r="H10435" s="1092"/>
      <c r="I10435" s="1092"/>
    </row>
    <row r="10436" spans="8:9">
      <c r="H10436" s="1092"/>
      <c r="I10436" s="1092"/>
    </row>
    <row r="10437" spans="8:9">
      <c r="H10437" s="1092"/>
      <c r="I10437" s="1092"/>
    </row>
    <row r="10438" spans="8:9">
      <c r="H10438" s="1092"/>
      <c r="I10438" s="1092"/>
    </row>
    <row r="10439" spans="8:9">
      <c r="H10439" s="1092"/>
      <c r="I10439" s="1092"/>
    </row>
    <row r="10440" spans="8:9">
      <c r="H10440" s="1092"/>
      <c r="I10440" s="1092"/>
    </row>
    <row r="10441" spans="8:9">
      <c r="H10441" s="1092"/>
      <c r="I10441" s="1092"/>
    </row>
    <row r="10442" spans="8:9">
      <c r="H10442" s="1092"/>
      <c r="I10442" s="1092"/>
    </row>
    <row r="10443" spans="8:9">
      <c r="H10443" s="1092"/>
      <c r="I10443" s="1092"/>
    </row>
    <row r="10444" spans="8:9">
      <c r="H10444" s="1092"/>
      <c r="I10444" s="1092"/>
    </row>
    <row r="10445" spans="8:9">
      <c r="H10445" s="1092"/>
      <c r="I10445" s="1092"/>
    </row>
    <row r="10446" spans="8:9">
      <c r="H10446" s="1092"/>
      <c r="I10446" s="1092"/>
    </row>
    <row r="10447" spans="8:9">
      <c r="H10447" s="1092"/>
      <c r="I10447" s="1092"/>
    </row>
    <row r="10448" spans="8:9">
      <c r="H10448" s="1092"/>
      <c r="I10448" s="1092"/>
    </row>
    <row r="10449" spans="8:9">
      <c r="H10449" s="1092"/>
      <c r="I10449" s="1092"/>
    </row>
    <row r="10450" spans="8:9">
      <c r="H10450" s="1092"/>
      <c r="I10450" s="1092"/>
    </row>
    <row r="10451" spans="8:9">
      <c r="H10451" s="1092"/>
      <c r="I10451" s="1092"/>
    </row>
    <row r="10452" spans="8:9">
      <c r="H10452" s="1092"/>
      <c r="I10452" s="1092"/>
    </row>
    <row r="10453" spans="8:9">
      <c r="H10453" s="1092"/>
      <c r="I10453" s="1092"/>
    </row>
    <row r="10454" spans="8:9">
      <c r="H10454" s="1092"/>
      <c r="I10454" s="1092"/>
    </row>
    <row r="10455" spans="8:9">
      <c r="H10455" s="1092"/>
      <c r="I10455" s="1092"/>
    </row>
    <row r="10456" spans="8:9">
      <c r="H10456" s="1092"/>
      <c r="I10456" s="1092"/>
    </row>
    <row r="10457" spans="8:9">
      <c r="H10457" s="1092"/>
      <c r="I10457" s="1092"/>
    </row>
    <row r="10458" spans="8:9">
      <c r="H10458" s="1092"/>
      <c r="I10458" s="1092"/>
    </row>
    <row r="10459" spans="8:9">
      <c r="H10459" s="1092"/>
      <c r="I10459" s="1092"/>
    </row>
    <row r="10460" spans="8:9">
      <c r="H10460" s="1092"/>
      <c r="I10460" s="1092"/>
    </row>
    <row r="10461" spans="8:9">
      <c r="H10461" s="1092"/>
      <c r="I10461" s="1092"/>
    </row>
    <row r="10462" spans="8:9">
      <c r="H10462" s="1092"/>
      <c r="I10462" s="1092"/>
    </row>
    <row r="10463" spans="8:9">
      <c r="H10463" s="1092"/>
      <c r="I10463" s="1092"/>
    </row>
    <row r="10464" spans="8:9">
      <c r="H10464" s="1092"/>
      <c r="I10464" s="1092"/>
    </row>
    <row r="10465" spans="8:9">
      <c r="H10465" s="1092"/>
      <c r="I10465" s="1092"/>
    </row>
    <row r="10466" spans="8:9">
      <c r="H10466" s="1092"/>
      <c r="I10466" s="1092"/>
    </row>
    <row r="10467" spans="8:9">
      <c r="H10467" s="1092"/>
      <c r="I10467" s="1092"/>
    </row>
    <row r="10468" spans="8:9">
      <c r="H10468" s="1092"/>
      <c r="I10468" s="1092"/>
    </row>
    <row r="10469" spans="8:9">
      <c r="H10469" s="1092"/>
      <c r="I10469" s="1092"/>
    </row>
    <row r="10470" spans="8:9">
      <c r="H10470" s="1092"/>
      <c r="I10470" s="1092"/>
    </row>
    <row r="10471" spans="8:9">
      <c r="H10471" s="1092"/>
      <c r="I10471" s="1092"/>
    </row>
    <row r="10472" spans="8:9">
      <c r="H10472" s="1092"/>
      <c r="I10472" s="1092"/>
    </row>
    <row r="10473" spans="8:9">
      <c r="H10473" s="1092"/>
      <c r="I10473" s="1092"/>
    </row>
    <row r="10474" spans="8:9">
      <c r="H10474" s="1092"/>
      <c r="I10474" s="1092"/>
    </row>
    <row r="10475" spans="8:9">
      <c r="H10475" s="1092"/>
      <c r="I10475" s="1092"/>
    </row>
    <row r="10476" spans="8:9">
      <c r="H10476" s="1092"/>
      <c r="I10476" s="1092"/>
    </row>
    <row r="10477" spans="8:9">
      <c r="H10477" s="1092"/>
      <c r="I10477" s="1092"/>
    </row>
    <row r="10478" spans="8:9">
      <c r="H10478" s="1092"/>
      <c r="I10478" s="1092"/>
    </row>
    <row r="10479" spans="8:9">
      <c r="H10479" s="1092"/>
      <c r="I10479" s="1092"/>
    </row>
    <row r="10480" spans="8:9">
      <c r="H10480" s="1092"/>
      <c r="I10480" s="1092"/>
    </row>
    <row r="10481" spans="8:9">
      <c r="H10481" s="1092"/>
      <c r="I10481" s="1092"/>
    </row>
    <row r="10482" spans="8:9">
      <c r="H10482" s="1092"/>
      <c r="I10482" s="1092"/>
    </row>
    <row r="10483" spans="8:9">
      <c r="H10483" s="1092"/>
      <c r="I10483" s="1092"/>
    </row>
    <row r="10484" spans="8:9">
      <c r="H10484" s="1092"/>
      <c r="I10484" s="1092"/>
    </row>
    <row r="10485" spans="8:9">
      <c r="H10485" s="1092"/>
      <c r="I10485" s="1092"/>
    </row>
    <row r="10486" spans="8:9">
      <c r="H10486" s="1092"/>
      <c r="I10486" s="1092"/>
    </row>
    <row r="10487" spans="8:9">
      <c r="H10487" s="1092"/>
      <c r="I10487" s="1092"/>
    </row>
    <row r="10488" spans="8:9">
      <c r="H10488" s="1092"/>
      <c r="I10488" s="1092"/>
    </row>
    <row r="10489" spans="8:9">
      <c r="H10489" s="1092"/>
      <c r="I10489" s="1092"/>
    </row>
    <row r="10490" spans="8:9">
      <c r="H10490" s="1092"/>
      <c r="I10490" s="1092"/>
    </row>
    <row r="10491" spans="8:9">
      <c r="H10491" s="1092"/>
      <c r="I10491" s="1092"/>
    </row>
    <row r="10492" spans="8:9">
      <c r="H10492" s="1092"/>
      <c r="I10492" s="1092"/>
    </row>
    <row r="10493" spans="8:9">
      <c r="H10493" s="1092"/>
      <c r="I10493" s="1092"/>
    </row>
    <row r="10494" spans="8:9">
      <c r="H10494" s="1092"/>
      <c r="I10494" s="1092"/>
    </row>
    <row r="10495" spans="8:9">
      <c r="H10495" s="1092"/>
      <c r="I10495" s="1092"/>
    </row>
    <row r="10496" spans="8:9">
      <c r="H10496" s="1092"/>
      <c r="I10496" s="1092"/>
    </row>
    <row r="10497" spans="8:9">
      <c r="H10497" s="1092"/>
      <c r="I10497" s="1092"/>
    </row>
    <row r="10498" spans="8:9">
      <c r="H10498" s="1092"/>
      <c r="I10498" s="1092"/>
    </row>
    <row r="10499" spans="8:9">
      <c r="H10499" s="1092"/>
      <c r="I10499" s="1092"/>
    </row>
    <row r="10500" spans="8:9">
      <c r="H10500" s="1092"/>
      <c r="I10500" s="1092"/>
    </row>
    <row r="10501" spans="8:9">
      <c r="H10501" s="1092"/>
      <c r="I10501" s="1092"/>
    </row>
    <row r="10502" spans="8:9">
      <c r="H10502" s="1092"/>
      <c r="I10502" s="1092"/>
    </row>
    <row r="10503" spans="8:9">
      <c r="H10503" s="1092"/>
      <c r="I10503" s="1092"/>
    </row>
    <row r="10504" spans="8:9">
      <c r="H10504" s="1092"/>
      <c r="I10504" s="1092"/>
    </row>
    <row r="10505" spans="8:9">
      <c r="H10505" s="1092"/>
      <c r="I10505" s="1092"/>
    </row>
    <row r="10506" spans="8:9">
      <c r="H10506" s="1092"/>
      <c r="I10506" s="1092"/>
    </row>
    <row r="10507" spans="8:9">
      <c r="H10507" s="1092"/>
      <c r="I10507" s="1092"/>
    </row>
    <row r="10508" spans="8:9">
      <c r="H10508" s="1092"/>
      <c r="I10508" s="1092"/>
    </row>
    <row r="10509" spans="8:9">
      <c r="H10509" s="1092"/>
      <c r="I10509" s="1092"/>
    </row>
    <row r="10510" spans="8:9">
      <c r="H10510" s="1092"/>
      <c r="I10510" s="1092"/>
    </row>
    <row r="10511" spans="8:9">
      <c r="H10511" s="1092"/>
      <c r="I10511" s="1092"/>
    </row>
    <row r="10512" spans="8:9">
      <c r="H10512" s="1092"/>
      <c r="I10512" s="1092"/>
    </row>
    <row r="10513" spans="8:9">
      <c r="H10513" s="1092"/>
      <c r="I10513" s="1092"/>
    </row>
    <row r="10514" spans="8:9">
      <c r="H10514" s="1092"/>
      <c r="I10514" s="1092"/>
    </row>
    <row r="10515" spans="8:9">
      <c r="H10515" s="1092"/>
      <c r="I10515" s="1092"/>
    </row>
    <row r="10516" spans="8:9">
      <c r="H10516" s="1092"/>
      <c r="I10516" s="1092"/>
    </row>
    <row r="10517" spans="8:9">
      <c r="H10517" s="1092"/>
      <c r="I10517" s="1092"/>
    </row>
    <row r="10518" spans="8:9">
      <c r="H10518" s="1092"/>
      <c r="I10518" s="1092"/>
    </row>
    <row r="10519" spans="8:9">
      <c r="H10519" s="1092"/>
      <c r="I10519" s="1092"/>
    </row>
    <row r="10520" spans="8:9">
      <c r="H10520" s="1092"/>
      <c r="I10520" s="1092"/>
    </row>
    <row r="10521" spans="8:9">
      <c r="H10521" s="1092"/>
      <c r="I10521" s="1092"/>
    </row>
    <row r="10522" spans="8:9">
      <c r="H10522" s="1092"/>
      <c r="I10522" s="1092"/>
    </row>
    <row r="10523" spans="8:9">
      <c r="H10523" s="1092"/>
      <c r="I10523" s="1092"/>
    </row>
    <row r="10524" spans="8:9">
      <c r="H10524" s="1092"/>
      <c r="I10524" s="1092"/>
    </row>
    <row r="10525" spans="8:9">
      <c r="H10525" s="1092"/>
      <c r="I10525" s="1092"/>
    </row>
    <row r="10526" spans="8:9">
      <c r="H10526" s="1092"/>
      <c r="I10526" s="1092"/>
    </row>
    <row r="10527" spans="8:9">
      <c r="H10527" s="1092"/>
      <c r="I10527" s="1092"/>
    </row>
    <row r="10528" spans="8:9">
      <c r="H10528" s="1092"/>
      <c r="I10528" s="1092"/>
    </row>
    <row r="10529" spans="8:9">
      <c r="H10529" s="1092"/>
      <c r="I10529" s="1092"/>
    </row>
    <row r="10530" spans="8:9">
      <c r="H10530" s="1092"/>
      <c r="I10530" s="1092"/>
    </row>
    <row r="10531" spans="8:9">
      <c r="H10531" s="1092"/>
      <c r="I10531" s="1092"/>
    </row>
    <row r="10532" spans="8:9">
      <c r="H10532" s="1092"/>
      <c r="I10532" s="1092"/>
    </row>
    <row r="10533" spans="8:9">
      <c r="H10533" s="1092"/>
      <c r="I10533" s="1092"/>
    </row>
    <row r="10534" spans="8:9">
      <c r="H10534" s="1092"/>
      <c r="I10534" s="1092"/>
    </row>
    <row r="10535" spans="8:9">
      <c r="H10535" s="1092"/>
      <c r="I10535" s="1092"/>
    </row>
    <row r="10536" spans="8:9">
      <c r="H10536" s="1092"/>
      <c r="I10536" s="1092"/>
    </row>
    <row r="10537" spans="8:9">
      <c r="H10537" s="1092"/>
      <c r="I10537" s="1092"/>
    </row>
    <row r="10538" spans="8:9">
      <c r="H10538" s="1092"/>
      <c r="I10538" s="1092"/>
    </row>
    <row r="10539" spans="8:9">
      <c r="H10539" s="1092"/>
      <c r="I10539" s="1092"/>
    </row>
    <row r="10540" spans="8:9">
      <c r="H10540" s="1092"/>
      <c r="I10540" s="1092"/>
    </row>
    <row r="10541" spans="8:9">
      <c r="H10541" s="1092"/>
      <c r="I10541" s="1092"/>
    </row>
    <row r="10542" spans="8:9">
      <c r="H10542" s="1092"/>
      <c r="I10542" s="1092"/>
    </row>
    <row r="10543" spans="8:9">
      <c r="H10543" s="1092"/>
      <c r="I10543" s="1092"/>
    </row>
    <row r="10544" spans="8:9">
      <c r="H10544" s="1092"/>
      <c r="I10544" s="1092"/>
    </row>
    <row r="10545" spans="8:9">
      <c r="H10545" s="1092"/>
      <c r="I10545" s="1092"/>
    </row>
    <row r="10546" spans="8:9">
      <c r="H10546" s="1092"/>
      <c r="I10546" s="1092"/>
    </row>
    <row r="10547" spans="8:9">
      <c r="H10547" s="1092"/>
      <c r="I10547" s="1092"/>
    </row>
    <row r="10548" spans="8:9">
      <c r="H10548" s="1092"/>
      <c r="I10548" s="1092"/>
    </row>
    <row r="10549" spans="8:9">
      <c r="H10549" s="1092"/>
      <c r="I10549" s="1092"/>
    </row>
    <row r="10550" spans="8:9">
      <c r="H10550" s="1092"/>
      <c r="I10550" s="1092"/>
    </row>
    <row r="10551" spans="8:9">
      <c r="H10551" s="1092"/>
      <c r="I10551" s="1092"/>
    </row>
    <row r="10552" spans="8:9">
      <c r="H10552" s="1092"/>
      <c r="I10552" s="1092"/>
    </row>
    <row r="10553" spans="8:9">
      <c r="H10553" s="1092"/>
      <c r="I10553" s="1092"/>
    </row>
    <row r="10554" spans="8:9">
      <c r="H10554" s="1092"/>
      <c r="I10554" s="1092"/>
    </row>
    <row r="10555" spans="8:9">
      <c r="H10555" s="1092"/>
      <c r="I10555" s="1092"/>
    </row>
    <row r="10556" spans="8:9">
      <c r="H10556" s="1092"/>
      <c r="I10556" s="1092"/>
    </row>
    <row r="10557" spans="8:9">
      <c r="H10557" s="1092"/>
      <c r="I10557" s="1092"/>
    </row>
    <row r="10558" spans="8:9">
      <c r="H10558" s="1092"/>
      <c r="I10558" s="1092"/>
    </row>
    <row r="10559" spans="8:9">
      <c r="H10559" s="1092"/>
      <c r="I10559" s="1092"/>
    </row>
    <row r="10560" spans="8:9">
      <c r="H10560" s="1092"/>
      <c r="I10560" s="1092"/>
    </row>
    <row r="10561" spans="8:9">
      <c r="H10561" s="1092"/>
      <c r="I10561" s="1092"/>
    </row>
    <row r="10562" spans="8:9">
      <c r="H10562" s="1092"/>
      <c r="I10562" s="1092"/>
    </row>
    <row r="10563" spans="8:9">
      <c r="H10563" s="1092"/>
      <c r="I10563" s="1092"/>
    </row>
    <row r="10564" spans="8:9">
      <c r="H10564" s="1092"/>
      <c r="I10564" s="1092"/>
    </row>
    <row r="10565" spans="8:9">
      <c r="H10565" s="1092"/>
      <c r="I10565" s="1092"/>
    </row>
    <row r="10566" spans="8:9">
      <c r="H10566" s="1092"/>
      <c r="I10566" s="1092"/>
    </row>
    <row r="10567" spans="8:9">
      <c r="H10567" s="1092"/>
      <c r="I10567" s="1092"/>
    </row>
    <row r="10568" spans="8:9">
      <c r="H10568" s="1092"/>
      <c r="I10568" s="1092"/>
    </row>
    <row r="10569" spans="8:9">
      <c r="H10569" s="1092"/>
      <c r="I10569" s="1092"/>
    </row>
    <row r="10570" spans="8:9">
      <c r="H10570" s="1092"/>
      <c r="I10570" s="1092"/>
    </row>
    <row r="10571" spans="8:9">
      <c r="H10571" s="1092"/>
      <c r="I10571" s="1092"/>
    </row>
    <row r="10572" spans="8:9">
      <c r="H10572" s="1092"/>
      <c r="I10572" s="1092"/>
    </row>
    <row r="10573" spans="8:9">
      <c r="H10573" s="1092"/>
      <c r="I10573" s="1092"/>
    </row>
    <row r="10574" spans="8:9">
      <c r="H10574" s="1092"/>
      <c r="I10574" s="1092"/>
    </row>
    <row r="10575" spans="8:9">
      <c r="H10575" s="1092"/>
      <c r="I10575" s="1092"/>
    </row>
    <row r="10576" spans="8:9">
      <c r="H10576" s="1092"/>
      <c r="I10576" s="1092"/>
    </row>
    <row r="10577" spans="8:9">
      <c r="H10577" s="1092"/>
      <c r="I10577" s="1092"/>
    </row>
    <row r="10578" spans="8:9">
      <c r="H10578" s="1092"/>
      <c r="I10578" s="1092"/>
    </row>
    <row r="10579" spans="8:9">
      <c r="H10579" s="1092"/>
      <c r="I10579" s="1092"/>
    </row>
    <row r="10580" spans="8:9">
      <c r="H10580" s="1092"/>
      <c r="I10580" s="1092"/>
    </row>
    <row r="10581" spans="8:9">
      <c r="H10581" s="1092"/>
      <c r="I10581" s="1092"/>
    </row>
    <row r="10582" spans="8:9">
      <c r="H10582" s="1092"/>
      <c r="I10582" s="1092"/>
    </row>
    <row r="10583" spans="8:9">
      <c r="H10583" s="1092"/>
      <c r="I10583" s="1092"/>
    </row>
    <row r="10584" spans="8:9">
      <c r="H10584" s="1092"/>
      <c r="I10584" s="1092"/>
    </row>
    <row r="10585" spans="8:9">
      <c r="H10585" s="1092"/>
      <c r="I10585" s="1092"/>
    </row>
    <row r="10586" spans="8:9">
      <c r="H10586" s="1092"/>
      <c r="I10586" s="1092"/>
    </row>
    <row r="10587" spans="8:9">
      <c r="H10587" s="1092"/>
      <c r="I10587" s="1092"/>
    </row>
    <row r="10588" spans="8:9">
      <c r="H10588" s="1092"/>
      <c r="I10588" s="1092"/>
    </row>
    <row r="10589" spans="8:9">
      <c r="H10589" s="1092"/>
      <c r="I10589" s="1092"/>
    </row>
    <row r="10590" spans="8:9">
      <c r="H10590" s="1092"/>
      <c r="I10590" s="1092"/>
    </row>
    <row r="10591" spans="8:9">
      <c r="H10591" s="1092"/>
      <c r="I10591" s="1092"/>
    </row>
    <row r="10592" spans="8:9">
      <c r="H10592" s="1092"/>
      <c r="I10592" s="1092"/>
    </row>
    <row r="10593" spans="8:9">
      <c r="H10593" s="1092"/>
      <c r="I10593" s="1092"/>
    </row>
    <row r="10594" spans="8:9">
      <c r="H10594" s="1092"/>
      <c r="I10594" s="1092"/>
    </row>
    <row r="10595" spans="8:9">
      <c r="H10595" s="1092"/>
      <c r="I10595" s="1092"/>
    </row>
    <row r="10596" spans="8:9">
      <c r="H10596" s="1092"/>
      <c r="I10596" s="1092"/>
    </row>
    <row r="10597" spans="8:9">
      <c r="H10597" s="1092"/>
      <c r="I10597" s="1092"/>
    </row>
    <row r="10598" spans="8:9">
      <c r="H10598" s="1092"/>
      <c r="I10598" s="1092"/>
    </row>
    <row r="10599" spans="8:9">
      <c r="H10599" s="1092"/>
      <c r="I10599" s="1092"/>
    </row>
    <row r="10600" spans="8:9">
      <c r="H10600" s="1092"/>
      <c r="I10600" s="1092"/>
    </row>
    <row r="10601" spans="8:9">
      <c r="H10601" s="1092"/>
      <c r="I10601" s="1092"/>
    </row>
    <row r="10602" spans="8:9">
      <c r="H10602" s="1092"/>
      <c r="I10602" s="1092"/>
    </row>
    <row r="10603" spans="8:9">
      <c r="H10603" s="1092"/>
      <c r="I10603" s="1092"/>
    </row>
    <row r="10604" spans="8:9">
      <c r="H10604" s="1092"/>
      <c r="I10604" s="1092"/>
    </row>
    <row r="10605" spans="8:9">
      <c r="H10605" s="1092"/>
      <c r="I10605" s="1092"/>
    </row>
    <row r="10606" spans="8:9">
      <c r="H10606" s="1092"/>
      <c r="I10606" s="1092"/>
    </row>
    <row r="10607" spans="8:9">
      <c r="H10607" s="1092"/>
      <c r="I10607" s="1092"/>
    </row>
    <row r="10608" spans="8:9">
      <c r="H10608" s="1092"/>
      <c r="I10608" s="1092"/>
    </row>
    <row r="10609" spans="8:9">
      <c r="H10609" s="1092"/>
      <c r="I10609" s="1092"/>
    </row>
    <row r="10610" spans="8:9">
      <c r="H10610" s="1092"/>
      <c r="I10610" s="1092"/>
    </row>
    <row r="10611" spans="8:9">
      <c r="H10611" s="1092"/>
      <c r="I10611" s="1092"/>
    </row>
    <row r="10612" spans="8:9">
      <c r="H10612" s="1092"/>
      <c r="I10612" s="1092"/>
    </row>
    <row r="10613" spans="8:9">
      <c r="H10613" s="1092"/>
      <c r="I10613" s="1092"/>
    </row>
    <row r="10614" spans="8:9">
      <c r="H10614" s="1092"/>
      <c r="I10614" s="1092"/>
    </row>
    <row r="10615" spans="8:9">
      <c r="H10615" s="1092"/>
      <c r="I10615" s="1092"/>
    </row>
    <row r="10616" spans="8:9">
      <c r="H10616" s="1092"/>
      <c r="I10616" s="1092"/>
    </row>
    <row r="10617" spans="8:9">
      <c r="H10617" s="1092"/>
      <c r="I10617" s="1092"/>
    </row>
    <row r="10618" spans="8:9">
      <c r="H10618" s="1092"/>
      <c r="I10618" s="1092"/>
    </row>
    <row r="10619" spans="8:9">
      <c r="H10619" s="1092"/>
      <c r="I10619" s="1092"/>
    </row>
    <row r="10620" spans="8:9">
      <c r="H10620" s="1092"/>
      <c r="I10620" s="1092"/>
    </row>
    <row r="10621" spans="8:9">
      <c r="H10621" s="1092"/>
      <c r="I10621" s="1092"/>
    </row>
    <row r="10622" spans="8:9">
      <c r="H10622" s="1092"/>
      <c r="I10622" s="1092"/>
    </row>
    <row r="10623" spans="8:9">
      <c r="H10623" s="1092"/>
      <c r="I10623" s="1092"/>
    </row>
    <row r="10624" spans="8:9">
      <c r="H10624" s="1092"/>
      <c r="I10624" s="1092"/>
    </row>
    <row r="10625" spans="8:9">
      <c r="H10625" s="1092"/>
      <c r="I10625" s="1092"/>
    </row>
    <row r="10626" spans="8:9">
      <c r="H10626" s="1092"/>
      <c r="I10626" s="1092"/>
    </row>
    <row r="10627" spans="8:9">
      <c r="H10627" s="1092"/>
      <c r="I10627" s="1092"/>
    </row>
    <row r="10628" spans="8:9">
      <c r="H10628" s="1092"/>
      <c r="I10628" s="1092"/>
    </row>
    <row r="10629" spans="8:9">
      <c r="H10629" s="1092"/>
      <c r="I10629" s="1092"/>
    </row>
    <row r="10630" spans="8:9">
      <c r="H10630" s="1092"/>
      <c r="I10630" s="1092"/>
    </row>
    <row r="10631" spans="8:9">
      <c r="H10631" s="1092"/>
      <c r="I10631" s="1092"/>
    </row>
    <row r="10632" spans="8:9">
      <c r="H10632" s="1092"/>
      <c r="I10632" s="1092"/>
    </row>
    <row r="10633" spans="8:9">
      <c r="H10633" s="1092"/>
      <c r="I10633" s="1092"/>
    </row>
    <row r="10634" spans="8:9">
      <c r="H10634" s="1092"/>
      <c r="I10634" s="1092"/>
    </row>
    <row r="10635" spans="8:9">
      <c r="H10635" s="1092"/>
      <c r="I10635" s="1092"/>
    </row>
    <row r="10636" spans="8:9">
      <c r="H10636" s="1092"/>
      <c r="I10636" s="1092"/>
    </row>
    <row r="10637" spans="8:9">
      <c r="H10637" s="1092"/>
      <c r="I10637" s="1092"/>
    </row>
    <row r="10638" spans="8:9">
      <c r="H10638" s="1092"/>
      <c r="I10638" s="1092"/>
    </row>
    <row r="10639" spans="8:9">
      <c r="H10639" s="1092"/>
      <c r="I10639" s="1092"/>
    </row>
    <row r="10640" spans="8:9">
      <c r="H10640" s="1092"/>
      <c r="I10640" s="1092"/>
    </row>
    <row r="10641" spans="8:9">
      <c r="H10641" s="1092"/>
      <c r="I10641" s="1092"/>
    </row>
    <row r="10642" spans="8:9">
      <c r="H10642" s="1092"/>
      <c r="I10642" s="1092"/>
    </row>
    <row r="10643" spans="8:9">
      <c r="H10643" s="1092"/>
      <c r="I10643" s="1092"/>
    </row>
    <row r="10644" spans="8:9">
      <c r="H10644" s="1092"/>
      <c r="I10644" s="1092"/>
    </row>
    <row r="10645" spans="8:9">
      <c r="H10645" s="1092"/>
      <c r="I10645" s="1092"/>
    </row>
    <row r="10646" spans="8:9">
      <c r="H10646" s="1092"/>
      <c r="I10646" s="1092"/>
    </row>
    <row r="10647" spans="8:9">
      <c r="H10647" s="1092"/>
      <c r="I10647" s="1092"/>
    </row>
    <row r="10648" spans="8:9">
      <c r="H10648" s="1092"/>
      <c r="I10648" s="1092"/>
    </row>
    <row r="10649" spans="8:9">
      <c r="H10649" s="1092"/>
      <c r="I10649" s="1092"/>
    </row>
    <row r="10650" spans="8:9">
      <c r="H10650" s="1092"/>
      <c r="I10650" s="1092"/>
    </row>
    <row r="10651" spans="8:9">
      <c r="H10651" s="1092"/>
      <c r="I10651" s="1092"/>
    </row>
    <row r="10652" spans="8:9">
      <c r="H10652" s="1092"/>
      <c r="I10652" s="1092"/>
    </row>
    <row r="10653" spans="8:9">
      <c r="H10653" s="1092"/>
      <c r="I10653" s="1092"/>
    </row>
    <row r="10654" spans="8:9">
      <c r="H10654" s="1092"/>
      <c r="I10654" s="1092"/>
    </row>
    <row r="10655" spans="8:9">
      <c r="H10655" s="1092"/>
      <c r="I10655" s="1092"/>
    </row>
    <row r="10656" spans="8:9">
      <c r="H10656" s="1092"/>
      <c r="I10656" s="1092"/>
    </row>
    <row r="10657" spans="8:9">
      <c r="H10657" s="1092"/>
      <c r="I10657" s="1092"/>
    </row>
    <row r="10658" spans="8:9">
      <c r="H10658" s="1092"/>
      <c r="I10658" s="1092"/>
    </row>
    <row r="10659" spans="8:9">
      <c r="H10659" s="1092"/>
      <c r="I10659" s="1092"/>
    </row>
    <row r="10660" spans="8:9">
      <c r="H10660" s="1092"/>
      <c r="I10660" s="1092"/>
    </row>
    <row r="10661" spans="8:9">
      <c r="H10661" s="1092"/>
      <c r="I10661" s="1092"/>
    </row>
    <row r="10662" spans="8:9">
      <c r="H10662" s="1092"/>
      <c r="I10662" s="1092"/>
    </row>
    <row r="10663" spans="8:9">
      <c r="H10663" s="1092"/>
      <c r="I10663" s="1092"/>
    </row>
    <row r="10664" spans="8:9">
      <c r="H10664" s="1092"/>
      <c r="I10664" s="1092"/>
    </row>
    <row r="10665" spans="8:9">
      <c r="H10665" s="1092"/>
      <c r="I10665" s="1092"/>
    </row>
    <row r="10666" spans="8:9">
      <c r="H10666" s="1092"/>
      <c r="I10666" s="1092"/>
    </row>
    <row r="10667" spans="8:9">
      <c r="H10667" s="1092"/>
      <c r="I10667" s="1092"/>
    </row>
    <row r="10668" spans="8:9">
      <c r="H10668" s="1092"/>
      <c r="I10668" s="1092"/>
    </row>
    <row r="10669" spans="8:9">
      <c r="H10669" s="1092"/>
      <c r="I10669" s="1092"/>
    </row>
    <row r="10670" spans="8:9">
      <c r="H10670" s="1092"/>
      <c r="I10670" s="1092"/>
    </row>
    <row r="10671" spans="8:9">
      <c r="H10671" s="1092"/>
      <c r="I10671" s="1092"/>
    </row>
    <row r="10672" spans="8:9">
      <c r="H10672" s="1092"/>
      <c r="I10672" s="1092"/>
    </row>
    <row r="10673" spans="8:9">
      <c r="H10673" s="1092"/>
      <c r="I10673" s="1092"/>
    </row>
    <row r="10674" spans="8:9">
      <c r="H10674" s="1092"/>
      <c r="I10674" s="1092"/>
    </row>
    <row r="10675" spans="8:9">
      <c r="H10675" s="1092"/>
      <c r="I10675" s="1092"/>
    </row>
    <row r="10676" spans="8:9">
      <c r="H10676" s="1092"/>
      <c r="I10676" s="1092"/>
    </row>
    <row r="10677" spans="8:9">
      <c r="H10677" s="1092"/>
      <c r="I10677" s="1092"/>
    </row>
    <row r="10678" spans="8:9">
      <c r="H10678" s="1092"/>
      <c r="I10678" s="1092"/>
    </row>
    <row r="10679" spans="8:9">
      <c r="H10679" s="1092"/>
      <c r="I10679" s="1092"/>
    </row>
    <row r="10680" spans="8:9">
      <c r="H10680" s="1092"/>
      <c r="I10680" s="1092"/>
    </row>
    <row r="10681" spans="8:9">
      <c r="H10681" s="1092"/>
      <c r="I10681" s="1092"/>
    </row>
    <row r="10682" spans="8:9">
      <c r="H10682" s="1092"/>
      <c r="I10682" s="1092"/>
    </row>
    <row r="10683" spans="8:9">
      <c r="H10683" s="1092"/>
      <c r="I10683" s="1092"/>
    </row>
    <row r="10684" spans="8:9">
      <c r="H10684" s="1092"/>
      <c r="I10684" s="1092"/>
    </row>
    <row r="10685" spans="8:9">
      <c r="H10685" s="1092"/>
      <c r="I10685" s="1092"/>
    </row>
    <row r="10686" spans="8:9">
      <c r="H10686" s="1092"/>
      <c r="I10686" s="1092"/>
    </row>
    <row r="10687" spans="8:9">
      <c r="H10687" s="1092"/>
      <c r="I10687" s="1092"/>
    </row>
    <row r="10688" spans="8:9">
      <c r="H10688" s="1092"/>
      <c r="I10688" s="1092"/>
    </row>
    <row r="10689" spans="8:9">
      <c r="H10689" s="1092"/>
      <c r="I10689" s="1092"/>
    </row>
    <row r="10690" spans="8:9">
      <c r="H10690" s="1092"/>
      <c r="I10690" s="1092"/>
    </row>
    <row r="10691" spans="8:9">
      <c r="H10691" s="1092"/>
      <c r="I10691" s="1092"/>
    </row>
    <row r="10692" spans="8:9">
      <c r="H10692" s="1092"/>
      <c r="I10692" s="1092"/>
    </row>
    <row r="10693" spans="8:9">
      <c r="H10693" s="1092"/>
      <c r="I10693" s="1092"/>
    </row>
    <row r="10694" spans="8:9">
      <c r="H10694" s="1092"/>
      <c r="I10694" s="1092"/>
    </row>
    <row r="10695" spans="8:9">
      <c r="H10695" s="1092"/>
      <c r="I10695" s="1092"/>
    </row>
    <row r="10696" spans="8:9">
      <c r="H10696" s="1092"/>
      <c r="I10696" s="1092"/>
    </row>
    <row r="10697" spans="8:9">
      <c r="H10697" s="1092"/>
      <c r="I10697" s="1092"/>
    </row>
    <row r="10698" spans="8:9">
      <c r="H10698" s="1092"/>
      <c r="I10698" s="1092"/>
    </row>
    <row r="10699" spans="8:9">
      <c r="H10699" s="1092"/>
      <c r="I10699" s="1092"/>
    </row>
    <row r="10700" spans="8:9">
      <c r="H10700" s="1092"/>
      <c r="I10700" s="1092"/>
    </row>
    <row r="10701" spans="8:9">
      <c r="H10701" s="1092"/>
      <c r="I10701" s="1092"/>
    </row>
    <row r="10702" spans="8:9">
      <c r="H10702" s="1092"/>
      <c r="I10702" s="1092"/>
    </row>
    <row r="10703" spans="8:9">
      <c r="H10703" s="1092"/>
      <c r="I10703" s="1092"/>
    </row>
    <row r="10704" spans="8:9">
      <c r="H10704" s="1092"/>
      <c r="I10704" s="1092"/>
    </row>
    <row r="10705" spans="8:9">
      <c r="H10705" s="1092"/>
      <c r="I10705" s="1092"/>
    </row>
    <row r="10706" spans="8:9">
      <c r="H10706" s="1092"/>
      <c r="I10706" s="1092"/>
    </row>
    <row r="10707" spans="8:9">
      <c r="H10707" s="1092"/>
      <c r="I10707" s="1092"/>
    </row>
    <row r="10708" spans="8:9">
      <c r="H10708" s="1092"/>
      <c r="I10708" s="1092"/>
    </row>
    <row r="10709" spans="8:9">
      <c r="H10709" s="1092"/>
      <c r="I10709" s="1092"/>
    </row>
    <row r="10710" spans="8:9">
      <c r="H10710" s="1092"/>
      <c r="I10710" s="1092"/>
    </row>
    <row r="10711" spans="8:9">
      <c r="H10711" s="1092"/>
      <c r="I10711" s="1092"/>
    </row>
    <row r="10712" spans="8:9">
      <c r="H10712" s="1092"/>
      <c r="I10712" s="1092"/>
    </row>
    <row r="10713" spans="8:9">
      <c r="H10713" s="1092"/>
      <c r="I10713" s="1092"/>
    </row>
    <row r="10714" spans="8:9">
      <c r="H10714" s="1092"/>
      <c r="I10714" s="1092"/>
    </row>
    <row r="10715" spans="8:9">
      <c r="H10715" s="1092"/>
      <c r="I10715" s="1092"/>
    </row>
    <row r="10716" spans="8:9">
      <c r="H10716" s="1092"/>
      <c r="I10716" s="1092"/>
    </row>
    <row r="10717" spans="8:9">
      <c r="H10717" s="1092"/>
      <c r="I10717" s="1092"/>
    </row>
    <row r="10718" spans="8:9">
      <c r="H10718" s="1092"/>
      <c r="I10718" s="1092"/>
    </row>
    <row r="10719" spans="8:9">
      <c r="H10719" s="1092"/>
      <c r="I10719" s="1092"/>
    </row>
    <row r="10720" spans="8:9">
      <c r="H10720" s="1092"/>
      <c r="I10720" s="1092"/>
    </row>
    <row r="10721" spans="8:9">
      <c r="H10721" s="1092"/>
      <c r="I10721" s="1092"/>
    </row>
    <row r="10722" spans="8:9">
      <c r="H10722" s="1092"/>
      <c r="I10722" s="1092"/>
    </row>
    <row r="10723" spans="8:9">
      <c r="H10723" s="1092"/>
      <c r="I10723" s="1092"/>
    </row>
    <row r="10724" spans="8:9">
      <c r="H10724" s="1092"/>
      <c r="I10724" s="1092"/>
    </row>
    <row r="10725" spans="8:9">
      <c r="H10725" s="1092"/>
      <c r="I10725" s="1092"/>
    </row>
    <row r="10726" spans="8:9">
      <c r="H10726" s="1092"/>
      <c r="I10726" s="1092"/>
    </row>
    <row r="10727" spans="8:9">
      <c r="H10727" s="1092"/>
      <c r="I10727" s="1092"/>
    </row>
    <row r="10728" spans="8:9">
      <c r="H10728" s="1092"/>
      <c r="I10728" s="1092"/>
    </row>
    <row r="10729" spans="8:9">
      <c r="H10729" s="1092"/>
      <c r="I10729" s="1092"/>
    </row>
    <row r="10730" spans="8:9">
      <c r="H10730" s="1092"/>
      <c r="I10730" s="1092"/>
    </row>
    <row r="10731" spans="8:9">
      <c r="H10731" s="1092"/>
      <c r="I10731" s="1092"/>
    </row>
    <row r="10732" spans="8:9">
      <c r="H10732" s="1092"/>
      <c r="I10732" s="1092"/>
    </row>
    <row r="10733" spans="8:9">
      <c r="H10733" s="1092"/>
      <c r="I10733" s="1092"/>
    </row>
    <row r="10734" spans="8:9">
      <c r="H10734" s="1092"/>
      <c r="I10734" s="1092"/>
    </row>
    <row r="10735" spans="8:9">
      <c r="H10735" s="1092"/>
      <c r="I10735" s="1092"/>
    </row>
    <row r="10736" spans="8:9">
      <c r="H10736" s="1092"/>
      <c r="I10736" s="1092"/>
    </row>
    <row r="10737" spans="8:9">
      <c r="H10737" s="1092"/>
      <c r="I10737" s="1092"/>
    </row>
    <row r="10738" spans="8:9">
      <c r="H10738" s="1092"/>
      <c r="I10738" s="1092"/>
    </row>
    <row r="10739" spans="8:9">
      <c r="H10739" s="1092"/>
      <c r="I10739" s="1092"/>
    </row>
    <row r="10740" spans="8:9">
      <c r="H10740" s="1092"/>
      <c r="I10740" s="1092"/>
    </row>
    <row r="10741" spans="8:9">
      <c r="H10741" s="1092"/>
      <c r="I10741" s="1092"/>
    </row>
    <row r="10742" spans="8:9">
      <c r="H10742" s="1092"/>
      <c r="I10742" s="1092"/>
    </row>
    <row r="10743" spans="8:9">
      <c r="H10743" s="1092"/>
      <c r="I10743" s="1092"/>
    </row>
    <row r="10744" spans="8:9">
      <c r="H10744" s="1092"/>
      <c r="I10744" s="1092"/>
    </row>
    <row r="10745" spans="8:9">
      <c r="H10745" s="1092"/>
      <c r="I10745" s="1092"/>
    </row>
    <row r="10746" spans="8:9">
      <c r="H10746" s="1092"/>
      <c r="I10746" s="1092"/>
    </row>
    <row r="10747" spans="8:9">
      <c r="H10747" s="1092"/>
      <c r="I10747" s="1092"/>
    </row>
    <row r="10748" spans="8:9">
      <c r="H10748" s="1092"/>
      <c r="I10748" s="1092"/>
    </row>
    <row r="10749" spans="8:9">
      <c r="H10749" s="1092"/>
      <c r="I10749" s="1092"/>
    </row>
    <row r="10750" spans="8:9">
      <c r="H10750" s="1092"/>
      <c r="I10750" s="1092"/>
    </row>
    <row r="10751" spans="8:9">
      <c r="H10751" s="1092"/>
      <c r="I10751" s="1092"/>
    </row>
    <row r="10752" spans="8:9">
      <c r="H10752" s="1092"/>
      <c r="I10752" s="1092"/>
    </row>
    <row r="10753" spans="8:9">
      <c r="H10753" s="1092"/>
      <c r="I10753" s="1092"/>
    </row>
    <row r="10754" spans="8:9">
      <c r="H10754" s="1092"/>
      <c r="I10754" s="1092"/>
    </row>
    <row r="10755" spans="8:9">
      <c r="H10755" s="1092"/>
      <c r="I10755" s="1092"/>
    </row>
    <row r="10756" spans="8:9">
      <c r="H10756" s="1092"/>
      <c r="I10756" s="1092"/>
    </row>
    <row r="10757" spans="8:9">
      <c r="H10757" s="1092"/>
      <c r="I10757" s="1092"/>
    </row>
    <row r="10758" spans="8:9">
      <c r="H10758" s="1092"/>
      <c r="I10758" s="1092"/>
    </row>
    <row r="10759" spans="8:9">
      <c r="H10759" s="1092"/>
      <c r="I10759" s="1092"/>
    </row>
    <row r="10760" spans="8:9">
      <c r="H10760" s="1092"/>
      <c r="I10760" s="1092"/>
    </row>
    <row r="10761" spans="8:9">
      <c r="H10761" s="1092"/>
      <c r="I10761" s="1092"/>
    </row>
    <row r="10762" spans="8:9">
      <c r="H10762" s="1092"/>
      <c r="I10762" s="1092"/>
    </row>
    <row r="10763" spans="8:9">
      <c r="H10763" s="1092"/>
      <c r="I10763" s="1092"/>
    </row>
    <row r="10764" spans="8:9">
      <c r="H10764" s="1092"/>
      <c r="I10764" s="1092"/>
    </row>
    <row r="10765" spans="8:9">
      <c r="H10765" s="1092"/>
      <c r="I10765" s="1092"/>
    </row>
    <row r="10766" spans="8:9">
      <c r="H10766" s="1092"/>
      <c r="I10766" s="1092"/>
    </row>
    <row r="10767" spans="8:9">
      <c r="H10767" s="1092"/>
      <c r="I10767" s="1092"/>
    </row>
    <row r="10768" spans="8:9">
      <c r="H10768" s="1092"/>
      <c r="I10768" s="1092"/>
    </row>
    <row r="10769" spans="8:9">
      <c r="H10769" s="1092"/>
      <c r="I10769" s="1092"/>
    </row>
    <row r="10770" spans="8:9">
      <c r="H10770" s="1092"/>
      <c r="I10770" s="1092"/>
    </row>
    <row r="10771" spans="8:9">
      <c r="H10771" s="1092"/>
      <c r="I10771" s="1092"/>
    </row>
    <row r="10772" spans="8:9">
      <c r="H10772" s="1092"/>
      <c r="I10772" s="1092"/>
    </row>
    <row r="10773" spans="8:9">
      <c r="H10773" s="1092"/>
      <c r="I10773" s="1092"/>
    </row>
    <row r="10774" spans="8:9">
      <c r="H10774" s="1092"/>
      <c r="I10774" s="1092"/>
    </row>
    <row r="10775" spans="8:9">
      <c r="H10775" s="1092"/>
      <c r="I10775" s="1092"/>
    </row>
    <row r="10776" spans="8:9">
      <c r="H10776" s="1092"/>
      <c r="I10776" s="1092"/>
    </row>
    <row r="10777" spans="8:9">
      <c r="H10777" s="1092"/>
      <c r="I10777" s="1092"/>
    </row>
    <row r="10778" spans="8:9">
      <c r="H10778" s="1092"/>
      <c r="I10778" s="1092"/>
    </row>
    <row r="10779" spans="8:9">
      <c r="H10779" s="1092"/>
      <c r="I10779" s="1092"/>
    </row>
    <row r="10780" spans="8:9">
      <c r="H10780" s="1092"/>
      <c r="I10780" s="1092"/>
    </row>
    <row r="10781" spans="8:9">
      <c r="H10781" s="1092"/>
      <c r="I10781" s="1092"/>
    </row>
    <row r="10782" spans="8:9">
      <c r="H10782" s="1092"/>
      <c r="I10782" s="1092"/>
    </row>
    <row r="10783" spans="8:9">
      <c r="H10783" s="1092"/>
      <c r="I10783" s="1092"/>
    </row>
    <row r="10784" spans="8:9">
      <c r="H10784" s="1092"/>
      <c r="I10784" s="1092"/>
    </row>
    <row r="10785" spans="8:9">
      <c r="H10785" s="1092"/>
      <c r="I10785" s="1092"/>
    </row>
    <row r="10786" spans="8:9">
      <c r="H10786" s="1092"/>
      <c r="I10786" s="1092"/>
    </row>
    <row r="10787" spans="8:9">
      <c r="H10787" s="1092"/>
      <c r="I10787" s="1092"/>
    </row>
    <row r="10788" spans="8:9">
      <c r="H10788" s="1092"/>
      <c r="I10788" s="1092"/>
    </row>
    <row r="10789" spans="8:9">
      <c r="H10789" s="1092"/>
      <c r="I10789" s="1092"/>
    </row>
    <row r="10790" spans="8:9">
      <c r="H10790" s="1092"/>
      <c r="I10790" s="1092"/>
    </row>
    <row r="10791" spans="8:9">
      <c r="H10791" s="1092"/>
      <c r="I10791" s="1092"/>
    </row>
    <row r="10792" spans="8:9">
      <c r="H10792" s="1092"/>
      <c r="I10792" s="1092"/>
    </row>
    <row r="10793" spans="8:9">
      <c r="H10793" s="1092"/>
      <c r="I10793" s="1092"/>
    </row>
    <row r="10794" spans="8:9">
      <c r="H10794" s="1092"/>
      <c r="I10794" s="1092"/>
    </row>
    <row r="10795" spans="8:9">
      <c r="H10795" s="1092"/>
      <c r="I10795" s="1092"/>
    </row>
    <row r="10796" spans="8:9">
      <c r="H10796" s="1092"/>
      <c r="I10796" s="1092"/>
    </row>
    <row r="10797" spans="8:9">
      <c r="H10797" s="1092"/>
      <c r="I10797" s="1092"/>
    </row>
    <row r="10798" spans="8:9">
      <c r="H10798" s="1092"/>
      <c r="I10798" s="1092"/>
    </row>
    <row r="10799" spans="8:9">
      <c r="H10799" s="1092"/>
      <c r="I10799" s="1092"/>
    </row>
    <row r="10800" spans="8:9">
      <c r="H10800" s="1092"/>
      <c r="I10800" s="1092"/>
    </row>
    <row r="10801" spans="8:9">
      <c r="H10801" s="1092"/>
      <c r="I10801" s="1092"/>
    </row>
    <row r="10802" spans="8:9">
      <c r="H10802" s="1092"/>
      <c r="I10802" s="1092"/>
    </row>
    <row r="10803" spans="8:9">
      <c r="H10803" s="1092"/>
      <c r="I10803" s="1092"/>
    </row>
    <row r="10804" spans="8:9">
      <c r="H10804" s="1092"/>
      <c r="I10804" s="1092"/>
    </row>
    <row r="10805" spans="8:9">
      <c r="H10805" s="1092"/>
      <c r="I10805" s="1092"/>
    </row>
    <row r="10806" spans="8:9">
      <c r="H10806" s="1092"/>
      <c r="I10806" s="1092"/>
    </row>
    <row r="10807" spans="8:9">
      <c r="H10807" s="1092"/>
      <c r="I10807" s="1092"/>
    </row>
    <row r="10808" spans="8:9">
      <c r="H10808" s="1092"/>
      <c r="I10808" s="1092"/>
    </row>
    <row r="10809" spans="8:9">
      <c r="H10809" s="1092"/>
      <c r="I10809" s="1092"/>
    </row>
    <row r="10810" spans="8:9">
      <c r="H10810" s="1092"/>
      <c r="I10810" s="1092"/>
    </row>
    <row r="10811" spans="8:9">
      <c r="H10811" s="1092"/>
      <c r="I10811" s="1092"/>
    </row>
    <row r="10812" spans="8:9">
      <c r="H10812" s="1092"/>
      <c r="I10812" s="1092"/>
    </row>
    <row r="10813" spans="8:9">
      <c r="H10813" s="1092"/>
      <c r="I10813" s="1092"/>
    </row>
    <row r="10814" spans="8:9">
      <c r="H10814" s="1092"/>
      <c r="I10814" s="1092"/>
    </row>
    <row r="10815" spans="8:9">
      <c r="H10815" s="1092"/>
      <c r="I10815" s="1092"/>
    </row>
    <row r="10816" spans="8:9">
      <c r="H10816" s="1092"/>
      <c r="I10816" s="1092"/>
    </row>
    <row r="10817" spans="8:9">
      <c r="H10817" s="1092"/>
      <c r="I10817" s="1092"/>
    </row>
    <row r="10818" spans="8:9">
      <c r="H10818" s="1092"/>
      <c r="I10818" s="1092"/>
    </row>
    <row r="10819" spans="8:9">
      <c r="H10819" s="1092"/>
      <c r="I10819" s="1092"/>
    </row>
    <row r="10820" spans="8:9">
      <c r="H10820" s="1092"/>
      <c r="I10820" s="1092"/>
    </row>
    <row r="10821" spans="8:9">
      <c r="H10821" s="1092"/>
      <c r="I10821" s="1092"/>
    </row>
    <row r="10822" spans="8:9">
      <c r="H10822" s="1092"/>
      <c r="I10822" s="1092"/>
    </row>
    <row r="10823" spans="8:9">
      <c r="H10823" s="1092"/>
      <c r="I10823" s="1092"/>
    </row>
    <row r="10824" spans="8:9">
      <c r="H10824" s="1092"/>
      <c r="I10824" s="1092"/>
    </row>
    <row r="10825" spans="8:9">
      <c r="H10825" s="1092"/>
      <c r="I10825" s="1092"/>
    </row>
    <row r="10826" spans="8:9">
      <c r="H10826" s="1092"/>
      <c r="I10826" s="1092"/>
    </row>
    <row r="10827" spans="8:9">
      <c r="H10827" s="1092"/>
      <c r="I10827" s="1092"/>
    </row>
    <row r="10828" spans="8:9">
      <c r="H10828" s="1092"/>
      <c r="I10828" s="1092"/>
    </row>
    <row r="10829" spans="8:9">
      <c r="H10829" s="1092"/>
      <c r="I10829" s="1092"/>
    </row>
    <row r="10830" spans="8:9">
      <c r="H10830" s="1092"/>
      <c r="I10830" s="1092"/>
    </row>
    <row r="10831" spans="8:9">
      <c r="H10831" s="1092"/>
      <c r="I10831" s="1092"/>
    </row>
    <row r="10832" spans="8:9">
      <c r="H10832" s="1092"/>
      <c r="I10832" s="1092"/>
    </row>
    <row r="10833" spans="8:9">
      <c r="H10833" s="1092"/>
      <c r="I10833" s="1092"/>
    </row>
    <row r="10834" spans="8:9">
      <c r="H10834" s="1092"/>
      <c r="I10834" s="1092"/>
    </row>
    <row r="10835" spans="8:9">
      <c r="H10835" s="1092"/>
      <c r="I10835" s="1092"/>
    </row>
    <row r="10836" spans="8:9">
      <c r="H10836" s="1092"/>
      <c r="I10836" s="1092"/>
    </row>
    <row r="10837" spans="8:9">
      <c r="H10837" s="1092"/>
      <c r="I10837" s="1092"/>
    </row>
    <row r="10838" spans="8:9">
      <c r="H10838" s="1092"/>
      <c r="I10838" s="1092"/>
    </row>
    <row r="10839" spans="8:9">
      <c r="H10839" s="1092"/>
      <c r="I10839" s="1092"/>
    </row>
    <row r="10840" spans="8:9">
      <c r="H10840" s="1092"/>
      <c r="I10840" s="1092"/>
    </row>
    <row r="10841" spans="8:9">
      <c r="H10841" s="1092"/>
      <c r="I10841" s="1092"/>
    </row>
    <row r="10842" spans="8:9">
      <c r="H10842" s="1092"/>
      <c r="I10842" s="1092"/>
    </row>
    <row r="10843" spans="8:9">
      <c r="H10843" s="1092"/>
      <c r="I10843" s="1092"/>
    </row>
    <row r="10844" spans="8:9">
      <c r="H10844" s="1092"/>
      <c r="I10844" s="1092"/>
    </row>
    <row r="10845" spans="8:9">
      <c r="H10845" s="1092"/>
      <c r="I10845" s="1092"/>
    </row>
    <row r="10846" spans="8:9">
      <c r="H10846" s="1092"/>
      <c r="I10846" s="1092"/>
    </row>
    <row r="10847" spans="8:9">
      <c r="H10847" s="1092"/>
      <c r="I10847" s="1092"/>
    </row>
    <row r="10848" spans="8:9">
      <c r="H10848" s="1092"/>
      <c r="I10848" s="1092"/>
    </row>
    <row r="10849" spans="8:9">
      <c r="H10849" s="1092"/>
      <c r="I10849" s="1092"/>
    </row>
    <row r="10850" spans="8:9">
      <c r="H10850" s="1092"/>
      <c r="I10850" s="1092"/>
    </row>
    <row r="10851" spans="8:9">
      <c r="H10851" s="1092"/>
      <c r="I10851" s="1092"/>
    </row>
    <row r="10852" spans="8:9">
      <c r="H10852" s="1092"/>
      <c r="I10852" s="1092"/>
    </row>
    <row r="10853" spans="8:9">
      <c r="H10853" s="1092"/>
      <c r="I10853" s="1092"/>
    </row>
    <row r="10854" spans="8:9">
      <c r="H10854" s="1092"/>
      <c r="I10854" s="1092"/>
    </row>
    <row r="10855" spans="8:9">
      <c r="H10855" s="1092"/>
      <c r="I10855" s="1092"/>
    </row>
    <row r="10856" spans="8:9">
      <c r="H10856" s="1092"/>
      <c r="I10856" s="1092"/>
    </row>
    <row r="10857" spans="8:9">
      <c r="H10857" s="1092"/>
      <c r="I10857" s="1092"/>
    </row>
    <row r="10858" spans="8:9">
      <c r="H10858" s="1092"/>
      <c r="I10858" s="1092"/>
    </row>
    <row r="10859" spans="8:9">
      <c r="H10859" s="1092"/>
      <c r="I10859" s="1092"/>
    </row>
    <row r="10860" spans="8:9">
      <c r="H10860" s="1092"/>
      <c r="I10860" s="1092"/>
    </row>
    <row r="10861" spans="8:9">
      <c r="H10861" s="1092"/>
      <c r="I10861" s="1092"/>
    </row>
    <row r="10862" spans="8:9">
      <c r="H10862" s="1092"/>
      <c r="I10862" s="1092"/>
    </row>
    <row r="10863" spans="8:9">
      <c r="H10863" s="1092"/>
      <c r="I10863" s="1092"/>
    </row>
    <row r="10864" spans="8:9">
      <c r="H10864" s="1092"/>
      <c r="I10864" s="1092"/>
    </row>
    <row r="10865" spans="8:9">
      <c r="H10865" s="1092"/>
      <c r="I10865" s="1092"/>
    </row>
    <row r="10866" spans="8:9">
      <c r="H10866" s="1092"/>
      <c r="I10866" s="1092"/>
    </row>
    <row r="10867" spans="8:9">
      <c r="H10867" s="1092"/>
      <c r="I10867" s="1092"/>
    </row>
    <row r="10868" spans="8:9">
      <c r="H10868" s="1092"/>
      <c r="I10868" s="1092"/>
    </row>
    <row r="10869" spans="8:9">
      <c r="H10869" s="1092"/>
      <c r="I10869" s="1092"/>
    </row>
    <row r="10870" spans="8:9">
      <c r="H10870" s="1092"/>
      <c r="I10870" s="1092"/>
    </row>
    <row r="10871" spans="8:9">
      <c r="H10871" s="1092"/>
      <c r="I10871" s="1092"/>
    </row>
    <row r="10872" spans="8:9">
      <c r="H10872" s="1092"/>
      <c r="I10872" s="1092"/>
    </row>
    <row r="10873" spans="8:9">
      <c r="H10873" s="1092"/>
      <c r="I10873" s="1092"/>
    </row>
    <row r="10874" spans="8:9">
      <c r="H10874" s="1092"/>
      <c r="I10874" s="1092"/>
    </row>
    <row r="10875" spans="8:9">
      <c r="H10875" s="1092"/>
      <c r="I10875" s="1092"/>
    </row>
    <row r="10876" spans="8:9">
      <c r="H10876" s="1092"/>
      <c r="I10876" s="1092"/>
    </row>
    <row r="10877" spans="8:9">
      <c r="H10877" s="1092"/>
      <c r="I10877" s="1092"/>
    </row>
    <row r="10878" spans="8:9">
      <c r="H10878" s="1092"/>
      <c r="I10878" s="1092"/>
    </row>
    <row r="10879" spans="8:9">
      <c r="H10879" s="1092"/>
      <c r="I10879" s="1092"/>
    </row>
    <row r="10880" spans="8:9">
      <c r="H10880" s="1092"/>
      <c r="I10880" s="1092"/>
    </row>
    <row r="10881" spans="8:9">
      <c r="H10881" s="1092"/>
      <c r="I10881" s="1092"/>
    </row>
    <row r="10882" spans="8:9">
      <c r="H10882" s="1092"/>
      <c r="I10882" s="1092"/>
    </row>
    <row r="10883" spans="8:9">
      <c r="H10883" s="1092"/>
      <c r="I10883" s="1092"/>
    </row>
    <row r="10884" spans="8:9">
      <c r="H10884" s="1092"/>
      <c r="I10884" s="1092"/>
    </row>
    <row r="10885" spans="8:9">
      <c r="H10885" s="1092"/>
      <c r="I10885" s="1092"/>
    </row>
    <row r="10886" spans="8:9">
      <c r="H10886" s="1092"/>
      <c r="I10886" s="1092"/>
    </row>
    <row r="10887" spans="8:9">
      <c r="H10887" s="1092"/>
      <c r="I10887" s="1092"/>
    </row>
    <row r="10888" spans="8:9">
      <c r="H10888" s="1092"/>
      <c r="I10888" s="1092"/>
    </row>
    <row r="10889" spans="8:9">
      <c r="H10889" s="1092"/>
      <c r="I10889" s="1092"/>
    </row>
    <row r="10890" spans="8:9">
      <c r="H10890" s="1092"/>
      <c r="I10890" s="1092"/>
    </row>
    <row r="10891" spans="8:9">
      <c r="H10891" s="1092"/>
      <c r="I10891" s="1092"/>
    </row>
    <row r="10892" spans="8:9">
      <c r="H10892" s="1092"/>
      <c r="I10892" s="1092"/>
    </row>
    <row r="10893" spans="8:9">
      <c r="H10893" s="1092"/>
      <c r="I10893" s="1092"/>
    </row>
    <row r="10894" spans="8:9">
      <c r="H10894" s="1092"/>
      <c r="I10894" s="1092"/>
    </row>
    <row r="10895" spans="8:9">
      <c r="H10895" s="1092"/>
      <c r="I10895" s="1092"/>
    </row>
    <row r="10896" spans="8:9">
      <c r="H10896" s="1092"/>
      <c r="I10896" s="1092"/>
    </row>
    <row r="10897" spans="8:9">
      <c r="H10897" s="1092"/>
      <c r="I10897" s="1092"/>
    </row>
    <row r="10898" spans="8:9">
      <c r="H10898" s="1092"/>
      <c r="I10898" s="1092"/>
    </row>
    <row r="10899" spans="8:9">
      <c r="H10899" s="1092"/>
      <c r="I10899" s="1092"/>
    </row>
    <row r="10900" spans="8:9">
      <c r="H10900" s="1092"/>
      <c r="I10900" s="1092"/>
    </row>
    <row r="10901" spans="8:9">
      <c r="H10901" s="1092"/>
      <c r="I10901" s="1092"/>
    </row>
    <row r="10902" spans="8:9">
      <c r="H10902" s="1092"/>
      <c r="I10902" s="1092"/>
    </row>
    <row r="10903" spans="8:9">
      <c r="H10903" s="1092"/>
      <c r="I10903" s="1092"/>
    </row>
    <row r="10904" spans="8:9">
      <c r="H10904" s="1092"/>
      <c r="I10904" s="1092"/>
    </row>
    <row r="10905" spans="8:9">
      <c r="H10905" s="1092"/>
      <c r="I10905" s="1092"/>
    </row>
    <row r="10906" spans="8:9">
      <c r="H10906" s="1092"/>
      <c r="I10906" s="1092"/>
    </row>
    <row r="10907" spans="8:9">
      <c r="H10907" s="1092"/>
      <c r="I10907" s="1092"/>
    </row>
    <row r="10908" spans="8:9">
      <c r="H10908" s="1092"/>
      <c r="I10908" s="1092"/>
    </row>
    <row r="10909" spans="8:9">
      <c r="H10909" s="1092"/>
      <c r="I10909" s="1092"/>
    </row>
    <row r="10910" spans="8:9">
      <c r="H10910" s="1092"/>
      <c r="I10910" s="1092"/>
    </row>
    <row r="10911" spans="8:9">
      <c r="H10911" s="1092"/>
      <c r="I10911" s="1092"/>
    </row>
    <row r="10912" spans="8:9">
      <c r="H10912" s="1092"/>
      <c r="I10912" s="1092"/>
    </row>
    <row r="10913" spans="8:9">
      <c r="H10913" s="1092"/>
      <c r="I10913" s="1092"/>
    </row>
    <row r="10914" spans="8:9">
      <c r="H10914" s="1092"/>
      <c r="I10914" s="1092"/>
    </row>
    <row r="10915" spans="8:9">
      <c r="H10915" s="1092"/>
      <c r="I10915" s="1092"/>
    </row>
    <row r="10916" spans="8:9">
      <c r="H10916" s="1092"/>
      <c r="I10916" s="1092"/>
    </row>
    <row r="10917" spans="8:9">
      <c r="H10917" s="1092"/>
      <c r="I10917" s="1092"/>
    </row>
    <row r="10918" spans="8:9">
      <c r="H10918" s="1092"/>
      <c r="I10918" s="1092"/>
    </row>
    <row r="10919" spans="8:9">
      <c r="H10919" s="1092"/>
      <c r="I10919" s="1092"/>
    </row>
    <row r="10920" spans="8:9">
      <c r="H10920" s="1092"/>
      <c r="I10920" s="1092"/>
    </row>
    <row r="10921" spans="8:9">
      <c r="H10921" s="1092"/>
      <c r="I10921" s="1092"/>
    </row>
    <row r="10922" spans="8:9">
      <c r="H10922" s="1092"/>
      <c r="I10922" s="1092"/>
    </row>
    <row r="10923" spans="8:9">
      <c r="H10923" s="1092"/>
      <c r="I10923" s="1092"/>
    </row>
    <row r="10924" spans="8:9">
      <c r="H10924" s="1092"/>
      <c r="I10924" s="1092"/>
    </row>
    <row r="10925" spans="8:9">
      <c r="H10925" s="1092"/>
      <c r="I10925" s="1092"/>
    </row>
    <row r="10926" spans="8:9">
      <c r="H10926" s="1092"/>
      <c r="I10926" s="1092"/>
    </row>
    <row r="10927" spans="8:9">
      <c r="H10927" s="1092"/>
      <c r="I10927" s="1092"/>
    </row>
    <row r="10928" spans="8:9">
      <c r="H10928" s="1092"/>
      <c r="I10928" s="1092"/>
    </row>
    <row r="10929" spans="8:9">
      <c r="H10929" s="1092"/>
      <c r="I10929" s="1092"/>
    </row>
    <row r="10930" spans="8:9">
      <c r="H10930" s="1092"/>
      <c r="I10930" s="1092"/>
    </row>
    <row r="10931" spans="8:9">
      <c r="H10931" s="1092"/>
      <c r="I10931" s="1092"/>
    </row>
    <row r="10932" spans="8:9">
      <c r="H10932" s="1092"/>
      <c r="I10932" s="1092"/>
    </row>
    <row r="10933" spans="8:9">
      <c r="H10933" s="1092"/>
      <c r="I10933" s="1092"/>
    </row>
    <row r="10934" spans="8:9">
      <c r="H10934" s="1092"/>
      <c r="I10934" s="1092"/>
    </row>
    <row r="10935" spans="8:9">
      <c r="H10935" s="1092"/>
      <c r="I10935" s="1092"/>
    </row>
    <row r="10936" spans="8:9">
      <c r="H10936" s="1092"/>
      <c r="I10936" s="1092"/>
    </row>
    <row r="10937" spans="8:9">
      <c r="H10937" s="1092"/>
      <c r="I10937" s="1092"/>
    </row>
    <row r="10938" spans="8:9">
      <c r="H10938" s="1092"/>
      <c r="I10938" s="1092"/>
    </row>
    <row r="10939" spans="8:9">
      <c r="H10939" s="1092"/>
      <c r="I10939" s="1092"/>
    </row>
    <row r="10940" spans="8:9">
      <c r="H10940" s="1092"/>
      <c r="I10940" s="1092"/>
    </row>
    <row r="10941" spans="8:9">
      <c r="H10941" s="1092"/>
      <c r="I10941" s="1092"/>
    </row>
    <row r="10942" spans="8:9">
      <c r="H10942" s="1092"/>
      <c r="I10942" s="1092"/>
    </row>
    <row r="10943" spans="8:9">
      <c r="H10943" s="1092"/>
      <c r="I10943" s="1092"/>
    </row>
    <row r="10944" spans="8:9">
      <c r="H10944" s="1092"/>
      <c r="I10944" s="1092"/>
    </row>
    <row r="10945" spans="8:9">
      <c r="H10945" s="1092"/>
      <c r="I10945" s="1092"/>
    </row>
    <row r="10946" spans="8:9">
      <c r="H10946" s="1092"/>
      <c r="I10946" s="1092"/>
    </row>
    <row r="10947" spans="8:9">
      <c r="H10947" s="1092"/>
      <c r="I10947" s="1092"/>
    </row>
    <row r="10948" spans="8:9">
      <c r="H10948" s="1092"/>
      <c r="I10948" s="1092"/>
    </row>
    <row r="10949" spans="8:9">
      <c r="H10949" s="1092"/>
      <c r="I10949" s="1092"/>
    </row>
    <row r="10950" spans="8:9">
      <c r="H10950" s="1092"/>
      <c r="I10950" s="1092"/>
    </row>
    <row r="10951" spans="8:9">
      <c r="H10951" s="1092"/>
      <c r="I10951" s="1092"/>
    </row>
    <row r="10952" spans="8:9">
      <c r="H10952" s="1092"/>
      <c r="I10952" s="1092"/>
    </row>
    <row r="10953" spans="8:9">
      <c r="H10953" s="1092"/>
      <c r="I10953" s="1092"/>
    </row>
    <row r="10954" spans="8:9">
      <c r="H10954" s="1092"/>
      <c r="I10954" s="1092"/>
    </row>
    <row r="10955" spans="8:9">
      <c r="H10955" s="1092"/>
      <c r="I10955" s="1092"/>
    </row>
    <row r="10956" spans="8:9">
      <c r="H10956" s="1092"/>
      <c r="I10956" s="1092"/>
    </row>
    <row r="10957" spans="8:9">
      <c r="H10957" s="1092"/>
      <c r="I10957" s="1092"/>
    </row>
    <row r="10958" spans="8:9">
      <c r="H10958" s="1092"/>
      <c r="I10958" s="1092"/>
    </row>
    <row r="10959" spans="8:9">
      <c r="H10959" s="1092"/>
      <c r="I10959" s="1092"/>
    </row>
    <row r="10960" spans="8:9">
      <c r="H10960" s="1092"/>
      <c r="I10960" s="1092"/>
    </row>
    <row r="10961" spans="8:9">
      <c r="H10961" s="1092"/>
      <c r="I10961" s="1092"/>
    </row>
    <row r="10962" spans="8:9">
      <c r="H10962" s="1092"/>
      <c r="I10962" s="1092"/>
    </row>
    <row r="10963" spans="8:9">
      <c r="H10963" s="1092"/>
      <c r="I10963" s="1092"/>
    </row>
    <row r="10964" spans="8:9">
      <c r="H10964" s="1092"/>
      <c r="I10964" s="1092"/>
    </row>
    <row r="10965" spans="8:9">
      <c r="H10965" s="1092"/>
      <c r="I10965" s="1092"/>
    </row>
    <row r="10966" spans="8:9">
      <c r="H10966" s="1092"/>
      <c r="I10966" s="1092"/>
    </row>
    <row r="10967" spans="8:9">
      <c r="H10967" s="1092"/>
      <c r="I10967" s="1092"/>
    </row>
    <row r="10968" spans="8:9">
      <c r="H10968" s="1092"/>
      <c r="I10968" s="1092"/>
    </row>
    <row r="10969" spans="8:9">
      <c r="H10969" s="1092"/>
      <c r="I10969" s="1092"/>
    </row>
    <row r="10970" spans="8:9">
      <c r="H10970" s="1092"/>
      <c r="I10970" s="1092"/>
    </row>
    <row r="10971" spans="8:9">
      <c r="H10971" s="1092"/>
      <c r="I10971" s="1092"/>
    </row>
    <row r="10972" spans="8:9">
      <c r="H10972" s="1092"/>
      <c r="I10972" s="1092"/>
    </row>
    <row r="10973" spans="8:9">
      <c r="H10973" s="1092"/>
      <c r="I10973" s="1092"/>
    </row>
    <row r="10974" spans="8:9">
      <c r="H10974" s="1092"/>
      <c r="I10974" s="1092"/>
    </row>
    <row r="10975" spans="8:9">
      <c r="H10975" s="1092"/>
      <c r="I10975" s="1092"/>
    </row>
    <row r="10976" spans="8:9">
      <c r="H10976" s="1092"/>
      <c r="I10976" s="1092"/>
    </row>
    <row r="10977" spans="8:9">
      <c r="H10977" s="1092"/>
      <c r="I10977" s="1092"/>
    </row>
    <row r="10978" spans="8:9">
      <c r="H10978" s="1092"/>
      <c r="I10978" s="1092"/>
    </row>
    <row r="10979" spans="8:9">
      <c r="H10979" s="1092"/>
      <c r="I10979" s="1092"/>
    </row>
    <row r="10980" spans="8:9">
      <c r="H10980" s="1092"/>
      <c r="I10980" s="1092"/>
    </row>
    <row r="10981" spans="8:9">
      <c r="H10981" s="1092"/>
      <c r="I10981" s="1092"/>
    </row>
    <row r="10982" spans="8:9">
      <c r="H10982" s="1092"/>
      <c r="I10982" s="1092"/>
    </row>
    <row r="10983" spans="8:9">
      <c r="H10983" s="1092"/>
      <c r="I10983" s="1092"/>
    </row>
    <row r="10984" spans="8:9">
      <c r="H10984" s="1092"/>
      <c r="I10984" s="1092"/>
    </row>
    <row r="10985" spans="8:9">
      <c r="H10985" s="1092"/>
      <c r="I10985" s="1092"/>
    </row>
    <row r="10986" spans="8:9">
      <c r="H10986" s="1092"/>
      <c r="I10986" s="1092"/>
    </row>
    <row r="10987" spans="8:9">
      <c r="H10987" s="1092"/>
      <c r="I10987" s="1092"/>
    </row>
    <row r="10988" spans="8:9">
      <c r="H10988" s="1092"/>
      <c r="I10988" s="1092"/>
    </row>
    <row r="10989" spans="8:9">
      <c r="H10989" s="1092"/>
      <c r="I10989" s="1092"/>
    </row>
    <row r="10990" spans="8:9">
      <c r="H10990" s="1092"/>
      <c r="I10990" s="1092"/>
    </row>
    <row r="10991" spans="8:9">
      <c r="H10991" s="1092"/>
      <c r="I10991" s="1092"/>
    </row>
    <row r="10992" spans="8:9">
      <c r="H10992" s="1092"/>
      <c r="I10992" s="1092"/>
    </row>
    <row r="10993" spans="8:9">
      <c r="H10993" s="1092"/>
      <c r="I10993" s="1092"/>
    </row>
    <row r="10994" spans="8:9">
      <c r="H10994" s="1092"/>
      <c r="I10994" s="1092"/>
    </row>
    <row r="10995" spans="8:9">
      <c r="H10995" s="1092"/>
      <c r="I10995" s="1092"/>
    </row>
    <row r="10996" spans="8:9">
      <c r="H10996" s="1092"/>
      <c r="I10996" s="1092"/>
    </row>
    <row r="10997" spans="8:9">
      <c r="H10997" s="1092"/>
      <c r="I10997" s="1092"/>
    </row>
    <row r="10998" spans="8:9">
      <c r="H10998" s="1092"/>
      <c r="I10998" s="1092"/>
    </row>
    <row r="10999" spans="8:9">
      <c r="H10999" s="1092"/>
      <c r="I10999" s="1092"/>
    </row>
    <row r="11000" spans="8:9">
      <c r="H11000" s="1092"/>
      <c r="I11000" s="1092"/>
    </row>
    <row r="11001" spans="8:9">
      <c r="H11001" s="1092"/>
      <c r="I11001" s="1092"/>
    </row>
    <row r="11002" spans="8:9">
      <c r="H11002" s="1092"/>
      <c r="I11002" s="1092"/>
    </row>
    <row r="11003" spans="8:9">
      <c r="H11003" s="1092"/>
      <c r="I11003" s="1092"/>
    </row>
    <row r="11004" spans="8:9">
      <c r="H11004" s="1092"/>
      <c r="I11004" s="1092"/>
    </row>
    <row r="11005" spans="8:9">
      <c r="H11005" s="1092"/>
      <c r="I11005" s="1092"/>
    </row>
    <row r="11006" spans="8:9">
      <c r="H11006" s="1092"/>
      <c r="I11006" s="1092"/>
    </row>
    <row r="11007" spans="8:9">
      <c r="H11007" s="1092"/>
      <c r="I11007" s="1092"/>
    </row>
    <row r="11008" spans="8:9">
      <c r="H11008" s="1092"/>
      <c r="I11008" s="1092"/>
    </row>
    <row r="11009" spans="8:9">
      <c r="H11009" s="1092"/>
      <c r="I11009" s="1092"/>
    </row>
    <row r="11010" spans="8:9">
      <c r="H11010" s="1092"/>
      <c r="I11010" s="1092"/>
    </row>
    <row r="11011" spans="8:9">
      <c r="H11011" s="1092"/>
      <c r="I11011" s="1092"/>
    </row>
    <row r="11012" spans="8:9">
      <c r="H11012" s="1092"/>
      <c r="I11012" s="1092"/>
    </row>
    <row r="11013" spans="8:9">
      <c r="H11013" s="1092"/>
      <c r="I11013" s="1092"/>
    </row>
    <row r="11014" spans="8:9">
      <c r="H11014" s="1092"/>
      <c r="I11014" s="1092"/>
    </row>
    <row r="11015" spans="8:9">
      <c r="H11015" s="1092"/>
      <c r="I11015" s="1092"/>
    </row>
    <row r="11016" spans="8:9">
      <c r="H11016" s="1092"/>
      <c r="I11016" s="1092"/>
    </row>
    <row r="11017" spans="8:9">
      <c r="H11017" s="1092"/>
      <c r="I11017" s="1092"/>
    </row>
    <row r="11018" spans="8:9">
      <c r="H11018" s="1092"/>
      <c r="I11018" s="1092"/>
    </row>
    <row r="11019" spans="8:9">
      <c r="H11019" s="1092"/>
      <c r="I11019" s="1092"/>
    </row>
    <row r="11020" spans="8:9">
      <c r="H11020" s="1092"/>
      <c r="I11020" s="1092"/>
    </row>
    <row r="11021" spans="8:9">
      <c r="H11021" s="1092"/>
      <c r="I11021" s="1092"/>
    </row>
    <row r="11022" spans="8:9">
      <c r="H11022" s="1092"/>
      <c r="I11022" s="1092"/>
    </row>
    <row r="11023" spans="8:9">
      <c r="H11023" s="1092"/>
      <c r="I11023" s="1092"/>
    </row>
    <row r="11024" spans="8:9">
      <c r="H11024" s="1092"/>
      <c r="I11024" s="1092"/>
    </row>
    <row r="11025" spans="8:9">
      <c r="H11025" s="1092"/>
      <c r="I11025" s="1092"/>
    </row>
    <row r="11026" spans="8:9">
      <c r="H11026" s="1092"/>
      <c r="I11026" s="1092"/>
    </row>
    <row r="11027" spans="8:9">
      <c r="H11027" s="1092"/>
      <c r="I11027" s="1092"/>
    </row>
    <row r="11028" spans="8:9">
      <c r="H11028" s="1092"/>
      <c r="I11028" s="1092"/>
    </row>
    <row r="11029" spans="8:9">
      <c r="H11029" s="1092"/>
      <c r="I11029" s="1092"/>
    </row>
    <row r="11030" spans="8:9">
      <c r="H11030" s="1092"/>
      <c r="I11030" s="1092"/>
    </row>
    <row r="11031" spans="8:9">
      <c r="H11031" s="1092"/>
      <c r="I11031" s="1092"/>
    </row>
    <row r="11032" spans="8:9">
      <c r="H11032" s="1092"/>
      <c r="I11032" s="1092"/>
    </row>
    <row r="11033" spans="8:9">
      <c r="H11033" s="1092"/>
      <c r="I11033" s="1092"/>
    </row>
    <row r="11034" spans="8:9">
      <c r="H11034" s="1092"/>
      <c r="I11034" s="1092"/>
    </row>
    <row r="11035" spans="8:9">
      <c r="H11035" s="1092"/>
      <c r="I11035" s="1092"/>
    </row>
    <row r="11036" spans="8:9">
      <c r="H11036" s="1092"/>
      <c r="I11036" s="1092"/>
    </row>
    <row r="11037" spans="8:9">
      <c r="H11037" s="1092"/>
      <c r="I11037" s="1092"/>
    </row>
    <row r="11038" spans="8:9">
      <c r="H11038" s="1092"/>
      <c r="I11038" s="1092"/>
    </row>
    <row r="11039" spans="8:9">
      <c r="H11039" s="1092"/>
      <c r="I11039" s="1092"/>
    </row>
    <row r="11040" spans="8:9">
      <c r="H11040" s="1092"/>
      <c r="I11040" s="1092"/>
    </row>
    <row r="11041" spans="8:9">
      <c r="H11041" s="1092"/>
      <c r="I11041" s="1092"/>
    </row>
    <row r="11042" spans="8:9">
      <c r="H11042" s="1092"/>
      <c r="I11042" s="1092"/>
    </row>
    <row r="11043" spans="8:9">
      <c r="H11043" s="1092"/>
      <c r="I11043" s="1092"/>
    </row>
    <row r="11044" spans="8:9">
      <c r="H11044" s="1092"/>
      <c r="I11044" s="1092"/>
    </row>
    <row r="11045" spans="8:9">
      <c r="H11045" s="1092"/>
      <c r="I11045" s="1092"/>
    </row>
    <row r="11046" spans="8:9">
      <c r="H11046" s="1092"/>
      <c r="I11046" s="1092"/>
    </row>
    <row r="11047" spans="8:9">
      <c r="H11047" s="1092"/>
      <c r="I11047" s="1092"/>
    </row>
    <row r="11048" spans="8:9">
      <c r="H11048" s="1092"/>
      <c r="I11048" s="1092"/>
    </row>
    <row r="11049" spans="8:9">
      <c r="H11049" s="1092"/>
      <c r="I11049" s="1092"/>
    </row>
    <row r="11050" spans="8:9">
      <c r="H11050" s="1092"/>
      <c r="I11050" s="1092"/>
    </row>
    <row r="11051" spans="8:9">
      <c r="H11051" s="1092"/>
      <c r="I11051" s="1092"/>
    </row>
    <row r="11052" spans="8:9">
      <c r="H11052" s="1092"/>
      <c r="I11052" s="1092"/>
    </row>
    <row r="11053" spans="8:9">
      <c r="H11053" s="1092"/>
      <c r="I11053" s="1092"/>
    </row>
    <row r="11054" spans="8:9">
      <c r="H11054" s="1092"/>
      <c r="I11054" s="1092"/>
    </row>
    <row r="11055" spans="8:9">
      <c r="H11055" s="1092"/>
      <c r="I11055" s="1092"/>
    </row>
    <row r="11056" spans="8:9">
      <c r="H11056" s="1092"/>
      <c r="I11056" s="1092"/>
    </row>
    <row r="11057" spans="8:9">
      <c r="H11057" s="1092"/>
      <c r="I11057" s="1092"/>
    </row>
    <row r="11058" spans="8:9">
      <c r="H11058" s="1092"/>
      <c r="I11058" s="1092"/>
    </row>
    <row r="11059" spans="8:9">
      <c r="H11059" s="1092"/>
      <c r="I11059" s="1092"/>
    </row>
    <row r="11060" spans="8:9">
      <c r="H11060" s="1092"/>
      <c r="I11060" s="1092"/>
    </row>
    <row r="11061" spans="8:9">
      <c r="H11061" s="1092"/>
      <c r="I11061" s="1092"/>
    </row>
    <row r="11062" spans="8:9">
      <c r="H11062" s="1092"/>
      <c r="I11062" s="1092"/>
    </row>
    <row r="11063" spans="8:9">
      <c r="H11063" s="1092"/>
      <c r="I11063" s="1092"/>
    </row>
    <row r="11064" spans="8:9">
      <c r="H11064" s="1092"/>
      <c r="I11064" s="1092"/>
    </row>
    <row r="11065" spans="8:9">
      <c r="H11065" s="1092"/>
      <c r="I11065" s="1092"/>
    </row>
    <row r="11066" spans="8:9">
      <c r="H11066" s="1092"/>
      <c r="I11066" s="1092"/>
    </row>
    <row r="11067" spans="8:9">
      <c r="H11067" s="1092"/>
      <c r="I11067" s="1092"/>
    </row>
    <row r="11068" spans="8:9">
      <c r="H11068" s="1092"/>
      <c r="I11068" s="1092"/>
    </row>
    <row r="11069" spans="8:9">
      <c r="H11069" s="1092"/>
      <c r="I11069" s="1092"/>
    </row>
    <row r="11070" spans="8:9">
      <c r="H11070" s="1092"/>
      <c r="I11070" s="1092"/>
    </row>
    <row r="11071" spans="8:9">
      <c r="H11071" s="1092"/>
      <c r="I11071" s="1092"/>
    </row>
    <row r="11072" spans="8:9">
      <c r="H11072" s="1092"/>
      <c r="I11072" s="1092"/>
    </row>
    <row r="11073" spans="8:9">
      <c r="H11073" s="1092"/>
      <c r="I11073" s="1092"/>
    </row>
    <row r="11074" spans="8:9">
      <c r="H11074" s="1092"/>
      <c r="I11074" s="1092"/>
    </row>
    <row r="11075" spans="8:9">
      <c r="H11075" s="1092"/>
      <c r="I11075" s="1092"/>
    </row>
    <row r="11076" spans="8:9">
      <c r="H11076" s="1092"/>
      <c r="I11076" s="1092"/>
    </row>
    <row r="11077" spans="8:9">
      <c r="H11077" s="1092"/>
      <c r="I11077" s="1092"/>
    </row>
    <row r="11078" spans="8:9">
      <c r="H11078" s="1092"/>
      <c r="I11078" s="1092"/>
    </row>
    <row r="11079" spans="8:9">
      <c r="H11079" s="1092"/>
      <c r="I11079" s="1092"/>
    </row>
    <row r="11080" spans="8:9">
      <c r="H11080" s="1092"/>
      <c r="I11080" s="1092"/>
    </row>
    <row r="11081" spans="8:9">
      <c r="H11081" s="1092"/>
      <c r="I11081" s="1092"/>
    </row>
    <row r="11082" spans="8:9">
      <c r="H11082" s="1092"/>
      <c r="I11082" s="1092"/>
    </row>
    <row r="11083" spans="8:9">
      <c r="H11083" s="1092"/>
      <c r="I11083" s="1092"/>
    </row>
    <row r="11084" spans="8:9">
      <c r="H11084" s="1092"/>
      <c r="I11084" s="1092"/>
    </row>
    <row r="11085" spans="8:9">
      <c r="H11085" s="1092"/>
      <c r="I11085" s="1092"/>
    </row>
    <row r="11086" spans="8:9">
      <c r="H11086" s="1092"/>
      <c r="I11086" s="1092"/>
    </row>
    <row r="11087" spans="8:9">
      <c r="H11087" s="1092"/>
      <c r="I11087" s="1092"/>
    </row>
    <row r="11088" spans="8:9">
      <c r="H11088" s="1092"/>
      <c r="I11088" s="1092"/>
    </row>
    <row r="11089" spans="8:9">
      <c r="H11089" s="1092"/>
      <c r="I11089" s="1092"/>
    </row>
    <row r="11090" spans="8:9">
      <c r="H11090" s="1092"/>
      <c r="I11090" s="1092"/>
    </row>
    <row r="11091" spans="8:9">
      <c r="H11091" s="1092"/>
      <c r="I11091" s="1092"/>
    </row>
    <row r="11092" spans="8:9">
      <c r="H11092" s="1092"/>
      <c r="I11092" s="1092"/>
    </row>
    <row r="11093" spans="8:9">
      <c r="H11093" s="1092"/>
      <c r="I11093" s="1092"/>
    </row>
    <row r="11094" spans="8:9">
      <c r="H11094" s="1092"/>
      <c r="I11094" s="1092"/>
    </row>
    <row r="11095" spans="8:9">
      <c r="H11095" s="1092"/>
      <c r="I11095" s="1092"/>
    </row>
    <row r="11096" spans="8:9">
      <c r="H11096" s="1092"/>
      <c r="I11096" s="1092"/>
    </row>
    <row r="11097" spans="8:9">
      <c r="H11097" s="1092"/>
      <c r="I11097" s="1092"/>
    </row>
    <row r="11098" spans="8:9">
      <c r="H11098" s="1092"/>
      <c r="I11098" s="1092"/>
    </row>
    <row r="11099" spans="8:9">
      <c r="H11099" s="1092"/>
      <c r="I11099" s="1092"/>
    </row>
    <row r="11100" spans="8:9">
      <c r="H11100" s="1092"/>
      <c r="I11100" s="1092"/>
    </row>
    <row r="11101" spans="8:9">
      <c r="H11101" s="1092"/>
      <c r="I11101" s="1092"/>
    </row>
    <row r="11102" spans="8:9">
      <c r="H11102" s="1092"/>
      <c r="I11102" s="1092"/>
    </row>
    <row r="11103" spans="8:9">
      <c r="H11103" s="1092"/>
      <c r="I11103" s="1092"/>
    </row>
    <row r="11104" spans="8:9">
      <c r="H11104" s="1092"/>
      <c r="I11104" s="1092"/>
    </row>
    <row r="11105" spans="8:9">
      <c r="H11105" s="1092"/>
      <c r="I11105" s="1092"/>
    </row>
    <row r="11106" spans="8:9">
      <c r="H11106" s="1092"/>
      <c r="I11106" s="1092"/>
    </row>
    <row r="11107" spans="8:9">
      <c r="H11107" s="1092"/>
      <c r="I11107" s="1092"/>
    </row>
    <row r="11108" spans="8:9">
      <c r="H11108" s="1092"/>
      <c r="I11108" s="1092"/>
    </row>
    <row r="11109" spans="8:9">
      <c r="H11109" s="1092"/>
      <c r="I11109" s="1092"/>
    </row>
    <row r="11110" spans="8:9">
      <c r="H11110" s="1092"/>
      <c r="I11110" s="1092"/>
    </row>
    <row r="11111" spans="8:9">
      <c r="H11111" s="1092"/>
      <c r="I11111" s="1092"/>
    </row>
    <row r="11112" spans="8:9">
      <c r="H11112" s="1092"/>
      <c r="I11112" s="1092"/>
    </row>
    <row r="11113" spans="8:9">
      <c r="H11113" s="1092"/>
      <c r="I11113" s="1092"/>
    </row>
    <row r="11114" spans="8:9">
      <c r="H11114" s="1092"/>
      <c r="I11114" s="1092"/>
    </row>
    <row r="11115" spans="8:9">
      <c r="H11115" s="1092"/>
      <c r="I11115" s="1092"/>
    </row>
    <row r="11116" spans="8:9">
      <c r="H11116" s="1092"/>
      <c r="I11116" s="1092"/>
    </row>
    <row r="11117" spans="8:9">
      <c r="H11117" s="1092"/>
      <c r="I11117" s="1092"/>
    </row>
    <row r="11118" spans="8:9">
      <c r="H11118" s="1092"/>
      <c r="I11118" s="1092"/>
    </row>
    <row r="11119" spans="8:9">
      <c r="H11119" s="1092"/>
      <c r="I11119" s="1092"/>
    </row>
    <row r="11120" spans="8:9">
      <c r="H11120" s="1092"/>
      <c r="I11120" s="1092"/>
    </row>
    <row r="11121" spans="8:9">
      <c r="H11121" s="1092"/>
      <c r="I11121" s="1092"/>
    </row>
    <row r="11122" spans="8:9">
      <c r="H11122" s="1092"/>
      <c r="I11122" s="1092"/>
    </row>
    <row r="11123" spans="8:9">
      <c r="H11123" s="1092"/>
      <c r="I11123" s="1092"/>
    </row>
    <row r="11124" spans="8:9">
      <c r="H11124" s="1092"/>
      <c r="I11124" s="1092"/>
    </row>
    <row r="11125" spans="8:9">
      <c r="H11125" s="1092"/>
      <c r="I11125" s="1092"/>
    </row>
    <row r="11126" spans="8:9">
      <c r="H11126" s="1092"/>
      <c r="I11126" s="1092"/>
    </row>
    <row r="11127" spans="8:9">
      <c r="H11127" s="1092"/>
      <c r="I11127" s="1092"/>
    </row>
    <row r="11128" spans="8:9">
      <c r="H11128" s="1092"/>
      <c r="I11128" s="1092"/>
    </row>
    <row r="11129" spans="8:9">
      <c r="H11129" s="1092"/>
      <c r="I11129" s="1092"/>
    </row>
    <row r="11130" spans="8:9">
      <c r="H11130" s="1092"/>
      <c r="I11130" s="1092"/>
    </row>
    <row r="11131" spans="8:9">
      <c r="H11131" s="1092"/>
      <c r="I11131" s="1092"/>
    </row>
    <row r="11132" spans="8:9">
      <c r="H11132" s="1092"/>
      <c r="I11132" s="1092"/>
    </row>
    <row r="11133" spans="8:9">
      <c r="H11133" s="1092"/>
      <c r="I11133" s="1092"/>
    </row>
    <row r="11134" spans="8:9">
      <c r="H11134" s="1092"/>
      <c r="I11134" s="1092"/>
    </row>
    <row r="11135" spans="8:9">
      <c r="H11135" s="1092"/>
      <c r="I11135" s="1092"/>
    </row>
    <row r="11136" spans="8:9">
      <c r="H11136" s="1092"/>
      <c r="I11136" s="1092"/>
    </row>
    <row r="11137" spans="8:9">
      <c r="H11137" s="1092"/>
      <c r="I11137" s="1092"/>
    </row>
    <row r="11138" spans="8:9">
      <c r="H11138" s="1092"/>
      <c r="I11138" s="1092"/>
    </row>
    <row r="11139" spans="8:9">
      <c r="H11139" s="1092"/>
      <c r="I11139" s="1092"/>
    </row>
    <row r="11140" spans="8:9">
      <c r="H11140" s="1092"/>
      <c r="I11140" s="1092"/>
    </row>
    <row r="11141" spans="8:9">
      <c r="H11141" s="1092"/>
      <c r="I11141" s="1092"/>
    </row>
    <row r="11142" spans="8:9">
      <c r="H11142" s="1092"/>
      <c r="I11142" s="1092"/>
    </row>
    <row r="11143" spans="8:9">
      <c r="H11143" s="1092"/>
      <c r="I11143" s="1092"/>
    </row>
    <row r="11144" spans="8:9">
      <c r="H11144" s="1092"/>
      <c r="I11144" s="1092"/>
    </row>
    <row r="11145" spans="8:9">
      <c r="H11145" s="1092"/>
      <c r="I11145" s="1092"/>
    </row>
    <row r="11146" spans="8:9">
      <c r="H11146" s="1092"/>
      <c r="I11146" s="1092"/>
    </row>
    <row r="11147" spans="8:9">
      <c r="H11147" s="1092"/>
      <c r="I11147" s="1092"/>
    </row>
    <row r="11148" spans="8:9">
      <c r="H11148" s="1092"/>
      <c r="I11148" s="1092"/>
    </row>
    <row r="11149" spans="8:9">
      <c r="H11149" s="1092"/>
      <c r="I11149" s="1092"/>
    </row>
    <row r="11150" spans="8:9">
      <c r="H11150" s="1092"/>
      <c r="I11150" s="1092"/>
    </row>
    <row r="11151" spans="8:9">
      <c r="H11151" s="1092"/>
      <c r="I11151" s="1092"/>
    </row>
    <row r="11152" spans="8:9">
      <c r="H11152" s="1092"/>
      <c r="I11152" s="1092"/>
    </row>
    <row r="11153" spans="8:9">
      <c r="H11153" s="1092"/>
      <c r="I11153" s="1092"/>
    </row>
    <row r="11154" spans="8:9">
      <c r="H11154" s="1092"/>
      <c r="I11154" s="1092"/>
    </row>
    <row r="11155" spans="8:9">
      <c r="H11155" s="1092"/>
      <c r="I11155" s="1092"/>
    </row>
    <row r="11156" spans="8:9">
      <c r="H11156" s="1092"/>
      <c r="I11156" s="1092"/>
    </row>
    <row r="11157" spans="8:9">
      <c r="H11157" s="1092"/>
      <c r="I11157" s="1092"/>
    </row>
    <row r="11158" spans="8:9">
      <c r="H11158" s="1092"/>
      <c r="I11158" s="1092"/>
    </row>
    <row r="11159" spans="8:9">
      <c r="H11159" s="1092"/>
      <c r="I11159" s="1092"/>
    </row>
    <row r="11160" spans="8:9">
      <c r="H11160" s="1092"/>
      <c r="I11160" s="1092"/>
    </row>
    <row r="11161" spans="8:9">
      <c r="H11161" s="1092"/>
      <c r="I11161" s="1092"/>
    </row>
    <row r="11162" spans="8:9">
      <c r="H11162" s="1092"/>
      <c r="I11162" s="1092"/>
    </row>
    <row r="11163" spans="8:9">
      <c r="H11163" s="1092"/>
      <c r="I11163" s="1092"/>
    </row>
    <row r="11164" spans="8:9">
      <c r="H11164" s="1092"/>
      <c r="I11164" s="1092"/>
    </row>
    <row r="11165" spans="8:9">
      <c r="H11165" s="1092"/>
      <c r="I11165" s="1092"/>
    </row>
    <row r="11166" spans="8:9">
      <c r="H11166" s="1092"/>
      <c r="I11166" s="1092"/>
    </row>
    <row r="11167" spans="8:9">
      <c r="H11167" s="1092"/>
      <c r="I11167" s="1092"/>
    </row>
    <row r="11168" spans="8:9">
      <c r="H11168" s="1092"/>
      <c r="I11168" s="1092"/>
    </row>
    <row r="11169" spans="8:9">
      <c r="H11169" s="1092"/>
      <c r="I11169" s="1092"/>
    </row>
    <row r="11170" spans="8:9">
      <c r="H11170" s="1092"/>
      <c r="I11170" s="1092"/>
    </row>
    <row r="11171" spans="8:9">
      <c r="H11171" s="1092"/>
      <c r="I11171" s="1092"/>
    </row>
    <row r="11172" spans="8:9">
      <c r="H11172" s="1092"/>
      <c r="I11172" s="1092"/>
    </row>
    <row r="11173" spans="8:9">
      <c r="H11173" s="1092"/>
      <c r="I11173" s="1092"/>
    </row>
    <row r="11174" spans="8:9">
      <c r="H11174" s="1092"/>
      <c r="I11174" s="1092"/>
    </row>
    <row r="11175" spans="8:9">
      <c r="H11175" s="1092"/>
      <c r="I11175" s="1092"/>
    </row>
    <row r="11176" spans="8:9">
      <c r="H11176" s="1092"/>
      <c r="I11176" s="1092"/>
    </row>
    <row r="11177" spans="8:9">
      <c r="H11177" s="1092"/>
      <c r="I11177" s="1092"/>
    </row>
    <row r="11178" spans="8:9">
      <c r="H11178" s="1092"/>
      <c r="I11178" s="1092"/>
    </row>
    <row r="11179" spans="8:9">
      <c r="H11179" s="1092"/>
      <c r="I11179" s="1092"/>
    </row>
    <row r="11180" spans="8:9">
      <c r="H11180" s="1092"/>
      <c r="I11180" s="1092"/>
    </row>
    <row r="11181" spans="8:9">
      <c r="H11181" s="1092"/>
      <c r="I11181" s="1092"/>
    </row>
    <row r="11182" spans="8:9">
      <c r="H11182" s="1092"/>
      <c r="I11182" s="1092"/>
    </row>
    <row r="11183" spans="8:9">
      <c r="H11183" s="1092"/>
      <c r="I11183" s="1092"/>
    </row>
    <row r="11184" spans="8:9">
      <c r="H11184" s="1092"/>
      <c r="I11184" s="1092"/>
    </row>
    <row r="11185" spans="8:9">
      <c r="H11185" s="1092"/>
      <c r="I11185" s="1092"/>
    </row>
    <row r="11186" spans="8:9">
      <c r="H11186" s="1092"/>
      <c r="I11186" s="1092"/>
    </row>
    <row r="11187" spans="8:9">
      <c r="H11187" s="1092"/>
      <c r="I11187" s="1092"/>
    </row>
    <row r="11188" spans="8:9">
      <c r="H11188" s="1092"/>
      <c r="I11188" s="1092"/>
    </row>
    <row r="11189" spans="8:9">
      <c r="H11189" s="1092"/>
      <c r="I11189" s="1092"/>
    </row>
    <row r="11190" spans="8:9">
      <c r="H11190" s="1092"/>
      <c r="I11190" s="1092"/>
    </row>
    <row r="11191" spans="8:9">
      <c r="H11191" s="1092"/>
      <c r="I11191" s="1092"/>
    </row>
    <row r="11192" spans="8:9">
      <c r="H11192" s="1092"/>
      <c r="I11192" s="1092"/>
    </row>
    <row r="11193" spans="8:9">
      <c r="H11193" s="1092"/>
      <c r="I11193" s="1092"/>
    </row>
    <row r="11194" spans="8:9">
      <c r="H11194" s="1092"/>
      <c r="I11194" s="1092"/>
    </row>
    <row r="11195" spans="8:9">
      <c r="H11195" s="1092"/>
      <c r="I11195" s="1092"/>
    </row>
    <row r="11196" spans="8:9">
      <c r="H11196" s="1092"/>
      <c r="I11196" s="1092"/>
    </row>
    <row r="11197" spans="8:9">
      <c r="H11197" s="1092"/>
      <c r="I11197" s="1092"/>
    </row>
    <row r="11198" spans="8:9">
      <c r="H11198" s="1092"/>
      <c r="I11198" s="1092"/>
    </row>
    <row r="11199" spans="8:9">
      <c r="H11199" s="1092"/>
      <c r="I11199" s="1092"/>
    </row>
    <row r="11200" spans="8:9">
      <c r="H11200" s="1092"/>
      <c r="I11200" s="1092"/>
    </row>
    <row r="11201" spans="8:9">
      <c r="H11201" s="1092"/>
      <c r="I11201" s="1092"/>
    </row>
    <row r="11202" spans="8:9">
      <c r="H11202" s="1092"/>
      <c r="I11202" s="1092"/>
    </row>
    <row r="11203" spans="8:9">
      <c r="H11203" s="1092"/>
      <c r="I11203" s="1092"/>
    </row>
    <row r="11204" spans="8:9">
      <c r="H11204" s="1092"/>
      <c r="I11204" s="1092"/>
    </row>
    <row r="11205" spans="8:9">
      <c r="H11205" s="1092"/>
      <c r="I11205" s="1092"/>
    </row>
    <row r="11206" spans="8:9">
      <c r="H11206" s="1092"/>
      <c r="I11206" s="1092"/>
    </row>
    <row r="11207" spans="8:9">
      <c r="H11207" s="1092"/>
      <c r="I11207" s="1092"/>
    </row>
    <row r="11208" spans="8:9">
      <c r="H11208" s="1092"/>
      <c r="I11208" s="1092"/>
    </row>
    <row r="11209" spans="8:9">
      <c r="H11209" s="1092"/>
      <c r="I11209" s="1092"/>
    </row>
    <row r="11210" spans="8:9">
      <c r="H11210" s="1092"/>
      <c r="I11210" s="1092"/>
    </row>
    <row r="11211" spans="8:9">
      <c r="H11211" s="1092"/>
      <c r="I11211" s="1092"/>
    </row>
    <row r="11212" spans="8:9">
      <c r="H11212" s="1092"/>
      <c r="I11212" s="1092"/>
    </row>
    <row r="11213" spans="8:9">
      <c r="H11213" s="1092"/>
      <c r="I11213" s="1092"/>
    </row>
    <row r="11214" spans="8:9">
      <c r="H11214" s="1092"/>
      <c r="I11214" s="1092"/>
    </row>
    <row r="11215" spans="8:9">
      <c r="H11215" s="1092"/>
      <c r="I11215" s="1092"/>
    </row>
    <row r="11216" spans="8:9">
      <c r="H11216" s="1092"/>
      <c r="I11216" s="1092"/>
    </row>
    <row r="11217" spans="8:9">
      <c r="H11217" s="1092"/>
      <c r="I11217" s="1092"/>
    </row>
    <row r="11218" spans="8:9">
      <c r="H11218" s="1092"/>
      <c r="I11218" s="1092"/>
    </row>
    <row r="11219" spans="8:9">
      <c r="H11219" s="1092"/>
      <c r="I11219" s="1092"/>
    </row>
    <row r="11220" spans="8:9">
      <c r="H11220" s="1092"/>
      <c r="I11220" s="1092"/>
    </row>
    <row r="11221" spans="8:9">
      <c r="H11221" s="1092"/>
      <c r="I11221" s="1092"/>
    </row>
    <row r="11222" spans="8:9">
      <c r="H11222" s="1092"/>
      <c r="I11222" s="1092"/>
    </row>
    <row r="11223" spans="8:9">
      <c r="H11223" s="1092"/>
      <c r="I11223" s="1092"/>
    </row>
    <row r="11224" spans="8:9">
      <c r="H11224" s="1092"/>
      <c r="I11224" s="1092"/>
    </row>
    <row r="11225" spans="8:9">
      <c r="H11225" s="1092"/>
      <c r="I11225" s="1092"/>
    </row>
    <row r="11226" spans="8:9">
      <c r="H11226" s="1092"/>
      <c r="I11226" s="1092"/>
    </row>
    <row r="11227" spans="8:9">
      <c r="H11227" s="1092"/>
      <c r="I11227" s="1092"/>
    </row>
    <row r="11228" spans="8:9">
      <c r="H11228" s="1092"/>
      <c r="I11228" s="1092"/>
    </row>
    <row r="11229" spans="8:9">
      <c r="H11229" s="1092"/>
      <c r="I11229" s="1092"/>
    </row>
    <row r="11230" spans="8:9">
      <c r="H11230" s="1092"/>
      <c r="I11230" s="1092"/>
    </row>
    <row r="11231" spans="8:9">
      <c r="H11231" s="1092"/>
      <c r="I11231" s="1092"/>
    </row>
    <row r="11232" spans="8:9">
      <c r="H11232" s="1092"/>
      <c r="I11232" s="1092"/>
    </row>
    <row r="11233" spans="8:9">
      <c r="H11233" s="1092"/>
      <c r="I11233" s="1092"/>
    </row>
    <row r="11234" spans="8:9">
      <c r="H11234" s="1092"/>
      <c r="I11234" s="1092"/>
    </row>
    <row r="11235" spans="8:9">
      <c r="H11235" s="1092"/>
      <c r="I11235" s="1092"/>
    </row>
    <row r="11236" spans="8:9">
      <c r="H11236" s="1092"/>
      <c r="I11236" s="1092"/>
    </row>
    <row r="11237" spans="8:9">
      <c r="H11237" s="1092"/>
      <c r="I11237" s="1092"/>
    </row>
    <row r="11238" spans="8:9">
      <c r="H11238" s="1092"/>
      <c r="I11238" s="1092"/>
    </row>
    <row r="11239" spans="8:9">
      <c r="H11239" s="1092"/>
      <c r="I11239" s="1092"/>
    </row>
    <row r="11240" spans="8:9">
      <c r="H11240" s="1092"/>
      <c r="I11240" s="1092"/>
    </row>
    <row r="11241" spans="8:9">
      <c r="H11241" s="1092"/>
      <c r="I11241" s="1092"/>
    </row>
    <row r="11242" spans="8:9">
      <c r="H11242" s="1092"/>
      <c r="I11242" s="1092"/>
    </row>
    <row r="11243" spans="8:9">
      <c r="H11243" s="1092"/>
      <c r="I11243" s="1092"/>
    </row>
    <row r="11244" spans="8:9">
      <c r="H11244" s="1092"/>
      <c r="I11244" s="1092"/>
    </row>
    <row r="11245" spans="8:9">
      <c r="H11245" s="1092"/>
      <c r="I11245" s="1092"/>
    </row>
    <row r="11246" spans="8:9">
      <c r="H11246" s="1092"/>
      <c r="I11246" s="1092"/>
    </row>
    <row r="11247" spans="8:9">
      <c r="H11247" s="1092"/>
      <c r="I11247" s="1092"/>
    </row>
    <row r="11248" spans="8:9">
      <c r="H11248" s="1092"/>
      <c r="I11248" s="1092"/>
    </row>
    <row r="11249" spans="8:9">
      <c r="H11249" s="1092"/>
      <c r="I11249" s="1092"/>
    </row>
    <row r="11250" spans="8:9">
      <c r="H11250" s="1092"/>
      <c r="I11250" s="1092"/>
    </row>
    <row r="11251" spans="8:9">
      <c r="H11251" s="1092"/>
      <c r="I11251" s="1092"/>
    </row>
    <row r="11252" spans="8:9">
      <c r="H11252" s="1092"/>
      <c r="I11252" s="1092"/>
    </row>
    <row r="11253" spans="8:9">
      <c r="H11253" s="1092"/>
      <c r="I11253" s="1092"/>
    </row>
    <row r="11254" spans="8:9">
      <c r="H11254" s="1092"/>
      <c r="I11254" s="1092"/>
    </row>
    <row r="11255" spans="8:9">
      <c r="H11255" s="1092"/>
      <c r="I11255" s="1092"/>
    </row>
    <row r="11256" spans="8:9">
      <c r="H11256" s="1092"/>
      <c r="I11256" s="1092"/>
    </row>
    <row r="11257" spans="8:9">
      <c r="H11257" s="1092"/>
      <c r="I11257" s="1092"/>
    </row>
    <row r="11258" spans="8:9">
      <c r="H11258" s="1092"/>
      <c r="I11258" s="1092"/>
    </row>
    <row r="11259" spans="8:9">
      <c r="H11259" s="1092"/>
      <c r="I11259" s="1092"/>
    </row>
    <row r="11260" spans="8:9">
      <c r="H11260" s="1092"/>
      <c r="I11260" s="1092"/>
    </row>
    <row r="11261" spans="8:9">
      <c r="H11261" s="1092"/>
      <c r="I11261" s="1092"/>
    </row>
    <row r="11262" spans="8:9">
      <c r="H11262" s="1092"/>
      <c r="I11262" s="1092"/>
    </row>
    <row r="11263" spans="8:9">
      <c r="H11263" s="1092"/>
      <c r="I11263" s="1092"/>
    </row>
    <row r="11264" spans="8:9">
      <c r="H11264" s="1092"/>
      <c r="I11264" s="1092"/>
    </row>
    <row r="11265" spans="8:9">
      <c r="H11265" s="1092"/>
      <c r="I11265" s="1092"/>
    </row>
    <row r="11266" spans="8:9">
      <c r="H11266" s="1092"/>
      <c r="I11266" s="1092"/>
    </row>
    <row r="11267" spans="8:9">
      <c r="H11267" s="1092"/>
      <c r="I11267" s="1092"/>
    </row>
    <row r="11268" spans="8:9">
      <c r="H11268" s="1092"/>
      <c r="I11268" s="1092"/>
    </row>
    <row r="11269" spans="8:9">
      <c r="H11269" s="1092"/>
      <c r="I11269" s="1092"/>
    </row>
    <row r="11270" spans="8:9">
      <c r="H11270" s="1092"/>
      <c r="I11270" s="1092"/>
    </row>
    <row r="11271" spans="8:9">
      <c r="H11271" s="1092"/>
      <c r="I11271" s="1092"/>
    </row>
    <row r="11272" spans="8:9">
      <c r="H11272" s="1092"/>
      <c r="I11272" s="1092"/>
    </row>
    <row r="11273" spans="8:9">
      <c r="H11273" s="1092"/>
      <c r="I11273" s="1092"/>
    </row>
    <row r="11274" spans="8:9">
      <c r="H11274" s="1092"/>
      <c r="I11274" s="1092"/>
    </row>
    <row r="11275" spans="8:9">
      <c r="H11275" s="1092"/>
      <c r="I11275" s="1092"/>
    </row>
    <row r="11276" spans="8:9">
      <c r="H11276" s="1092"/>
      <c r="I11276" s="1092"/>
    </row>
    <row r="11277" spans="8:9">
      <c r="H11277" s="1092"/>
      <c r="I11277" s="1092"/>
    </row>
    <row r="11278" spans="8:9">
      <c r="H11278" s="1092"/>
      <c r="I11278" s="1092"/>
    </row>
    <row r="11279" spans="8:9">
      <c r="H11279" s="1092"/>
      <c r="I11279" s="1092"/>
    </row>
    <row r="11280" spans="8:9">
      <c r="H11280" s="1092"/>
      <c r="I11280" s="1092"/>
    </row>
    <row r="11281" spans="8:9">
      <c r="H11281" s="1092"/>
      <c r="I11281" s="1092"/>
    </row>
    <row r="11282" spans="8:9">
      <c r="H11282" s="1092"/>
      <c r="I11282" s="1092"/>
    </row>
    <row r="11283" spans="8:9">
      <c r="H11283" s="1092"/>
      <c r="I11283" s="1092"/>
    </row>
    <row r="11284" spans="8:9">
      <c r="H11284" s="1092"/>
      <c r="I11284" s="1092"/>
    </row>
    <row r="11285" spans="8:9">
      <c r="H11285" s="1092"/>
      <c r="I11285" s="1092"/>
    </row>
    <row r="11286" spans="8:9">
      <c r="H11286" s="1092"/>
      <c r="I11286" s="1092"/>
    </row>
    <row r="11287" spans="8:9">
      <c r="H11287" s="1092"/>
      <c r="I11287" s="1092"/>
    </row>
    <row r="11288" spans="8:9">
      <c r="H11288" s="1092"/>
      <c r="I11288" s="1092"/>
    </row>
    <row r="11289" spans="8:9">
      <c r="H11289" s="1092"/>
      <c r="I11289" s="1092"/>
    </row>
    <row r="11290" spans="8:9">
      <c r="H11290" s="1092"/>
      <c r="I11290" s="1092"/>
    </row>
    <row r="11291" spans="8:9">
      <c r="H11291" s="1092"/>
      <c r="I11291" s="1092"/>
    </row>
    <row r="11292" spans="8:9">
      <c r="H11292" s="1092"/>
      <c r="I11292" s="1092"/>
    </row>
    <row r="11293" spans="8:9">
      <c r="H11293" s="1092"/>
      <c r="I11293" s="1092"/>
    </row>
    <row r="11294" spans="8:9">
      <c r="H11294" s="1092"/>
      <c r="I11294" s="1092"/>
    </row>
    <row r="11295" spans="8:9">
      <c r="H11295" s="1092"/>
      <c r="I11295" s="1092"/>
    </row>
    <row r="11296" spans="8:9">
      <c r="H11296" s="1092"/>
      <c r="I11296" s="1092"/>
    </row>
    <row r="11297" spans="8:9">
      <c r="H11297" s="1092"/>
      <c r="I11297" s="1092"/>
    </row>
    <row r="11298" spans="8:9">
      <c r="H11298" s="1092"/>
      <c r="I11298" s="1092"/>
    </row>
    <row r="11299" spans="8:9">
      <c r="H11299" s="1092"/>
      <c r="I11299" s="1092"/>
    </row>
    <row r="11300" spans="8:9">
      <c r="H11300" s="1092"/>
      <c r="I11300" s="1092"/>
    </row>
    <row r="11301" spans="8:9">
      <c r="H11301" s="1092"/>
      <c r="I11301" s="1092"/>
    </row>
    <row r="11302" spans="8:9">
      <c r="H11302" s="1092"/>
      <c r="I11302" s="1092"/>
    </row>
    <row r="11303" spans="8:9">
      <c r="H11303" s="1092"/>
      <c r="I11303" s="1092"/>
    </row>
    <row r="11304" spans="8:9">
      <c r="H11304" s="1092"/>
      <c r="I11304" s="1092"/>
    </row>
    <row r="11305" spans="8:9">
      <c r="H11305" s="1092"/>
      <c r="I11305" s="1092"/>
    </row>
    <row r="11306" spans="8:9">
      <c r="H11306" s="1092"/>
      <c r="I11306" s="1092"/>
    </row>
    <row r="11307" spans="8:9">
      <c r="H11307" s="1092"/>
      <c r="I11307" s="1092"/>
    </row>
    <row r="11308" spans="8:9">
      <c r="H11308" s="1092"/>
      <c r="I11308" s="1092"/>
    </row>
    <row r="11309" spans="8:9">
      <c r="H11309" s="1092"/>
      <c r="I11309" s="1092"/>
    </row>
    <row r="11310" spans="8:9">
      <c r="H11310" s="1092"/>
      <c r="I11310" s="1092"/>
    </row>
    <row r="11311" spans="8:9">
      <c r="H11311" s="1092"/>
      <c r="I11311" s="1092"/>
    </row>
    <row r="11312" spans="8:9">
      <c r="H11312" s="1092"/>
      <c r="I11312" s="1092"/>
    </row>
    <row r="11313" spans="8:9">
      <c r="H11313" s="1092"/>
      <c r="I11313" s="1092"/>
    </row>
    <row r="11314" spans="8:9">
      <c r="H11314" s="1092"/>
      <c r="I11314" s="1092"/>
    </row>
    <row r="11315" spans="8:9">
      <c r="H11315" s="1092"/>
      <c r="I11315" s="1092"/>
    </row>
    <row r="11316" spans="8:9">
      <c r="H11316" s="1092"/>
      <c r="I11316" s="1092"/>
    </row>
    <row r="11317" spans="8:9">
      <c r="H11317" s="1092"/>
      <c r="I11317" s="1092"/>
    </row>
    <row r="11318" spans="8:9">
      <c r="H11318" s="1092"/>
      <c r="I11318" s="1092"/>
    </row>
    <row r="11319" spans="8:9">
      <c r="H11319" s="1092"/>
      <c r="I11319" s="1092"/>
    </row>
    <row r="11320" spans="8:9">
      <c r="H11320" s="1092"/>
      <c r="I11320" s="1092"/>
    </row>
    <row r="11321" spans="8:9">
      <c r="H11321" s="1092"/>
      <c r="I11321" s="1092"/>
    </row>
    <row r="11322" spans="8:9">
      <c r="H11322" s="1092"/>
      <c r="I11322" s="1092"/>
    </row>
    <row r="11323" spans="8:9">
      <c r="H11323" s="1092"/>
      <c r="I11323" s="1092"/>
    </row>
    <row r="11324" spans="8:9">
      <c r="H11324" s="1092"/>
      <c r="I11324" s="1092"/>
    </row>
    <row r="11325" spans="8:9">
      <c r="H11325" s="1092"/>
      <c r="I11325" s="1092"/>
    </row>
    <row r="11326" spans="8:9">
      <c r="H11326" s="1092"/>
      <c r="I11326" s="1092"/>
    </row>
    <row r="11327" spans="8:9">
      <c r="H11327" s="1092"/>
      <c r="I11327" s="1092"/>
    </row>
    <row r="11328" spans="8:9">
      <c r="H11328" s="1092"/>
      <c r="I11328" s="1092"/>
    </row>
    <row r="11329" spans="8:9">
      <c r="H11329" s="1092"/>
      <c r="I11329" s="1092"/>
    </row>
    <row r="11330" spans="8:9">
      <c r="H11330" s="1092"/>
      <c r="I11330" s="1092"/>
    </row>
    <row r="11331" spans="8:9">
      <c r="H11331" s="1092"/>
      <c r="I11331" s="1092"/>
    </row>
    <row r="11332" spans="8:9">
      <c r="H11332" s="1092"/>
      <c r="I11332" s="1092"/>
    </row>
    <row r="11333" spans="8:9">
      <c r="H11333" s="1092"/>
      <c r="I11333" s="1092"/>
    </row>
    <row r="11334" spans="8:9">
      <c r="H11334" s="1092"/>
      <c r="I11334" s="1092"/>
    </row>
    <row r="11335" spans="8:9">
      <c r="H11335" s="1092"/>
      <c r="I11335" s="1092"/>
    </row>
    <row r="11336" spans="8:9">
      <c r="H11336" s="1092"/>
      <c r="I11336" s="1092"/>
    </row>
    <row r="11337" spans="8:9">
      <c r="H11337" s="1092"/>
      <c r="I11337" s="1092"/>
    </row>
    <row r="11338" spans="8:9">
      <c r="H11338" s="1092"/>
      <c r="I11338" s="1092"/>
    </row>
    <row r="11339" spans="8:9">
      <c r="H11339" s="1092"/>
      <c r="I11339" s="1092"/>
    </row>
    <row r="11340" spans="8:9">
      <c r="H11340" s="1092"/>
      <c r="I11340" s="1092"/>
    </row>
    <row r="11341" spans="8:9">
      <c r="H11341" s="1092"/>
      <c r="I11341" s="1092"/>
    </row>
    <row r="11342" spans="8:9">
      <c r="H11342" s="1092"/>
      <c r="I11342" s="1092"/>
    </row>
    <row r="11343" spans="8:9">
      <c r="H11343" s="1092"/>
      <c r="I11343" s="1092"/>
    </row>
    <row r="11344" spans="8:9">
      <c r="H11344" s="1092"/>
      <c r="I11344" s="1092"/>
    </row>
    <row r="11345" spans="8:9">
      <c r="H11345" s="1092"/>
      <c r="I11345" s="1092"/>
    </row>
    <row r="11346" spans="8:9">
      <c r="H11346" s="1092"/>
      <c r="I11346" s="1092"/>
    </row>
    <row r="11347" spans="8:9">
      <c r="H11347" s="1092"/>
      <c r="I11347" s="1092"/>
    </row>
    <row r="11348" spans="8:9">
      <c r="H11348" s="1092"/>
      <c r="I11348" s="1092"/>
    </row>
    <row r="11349" spans="8:9">
      <c r="H11349" s="1092"/>
      <c r="I11349" s="1092"/>
    </row>
    <row r="11350" spans="8:9">
      <c r="H11350" s="1092"/>
      <c r="I11350" s="1092"/>
    </row>
    <row r="11351" spans="8:9">
      <c r="H11351" s="1092"/>
      <c r="I11351" s="1092"/>
    </row>
    <row r="11352" spans="8:9">
      <c r="H11352" s="1092"/>
      <c r="I11352" s="1092"/>
    </row>
    <row r="11353" spans="8:9">
      <c r="H11353" s="1092"/>
      <c r="I11353" s="1092"/>
    </row>
    <row r="11354" spans="8:9">
      <c r="H11354" s="1092"/>
      <c r="I11354" s="1092"/>
    </row>
    <row r="11355" spans="8:9">
      <c r="H11355" s="1092"/>
      <c r="I11355" s="1092"/>
    </row>
    <row r="11356" spans="8:9">
      <c r="H11356" s="1092"/>
      <c r="I11356" s="1092"/>
    </row>
    <row r="11357" spans="8:9">
      <c r="H11357" s="1092"/>
      <c r="I11357" s="1092"/>
    </row>
    <row r="11358" spans="8:9">
      <c r="H11358" s="1092"/>
      <c r="I11358" s="1092"/>
    </row>
    <row r="11359" spans="8:9">
      <c r="H11359" s="1092"/>
      <c r="I11359" s="1092"/>
    </row>
    <row r="11360" spans="8:9">
      <c r="H11360" s="1092"/>
      <c r="I11360" s="1092"/>
    </row>
    <row r="11361" spans="8:9">
      <c r="H11361" s="1092"/>
      <c r="I11361" s="1092"/>
    </row>
    <row r="11362" spans="8:9">
      <c r="H11362" s="1092"/>
      <c r="I11362" s="1092"/>
    </row>
    <row r="11363" spans="8:9">
      <c r="H11363" s="1092"/>
      <c r="I11363" s="1092"/>
    </row>
    <row r="11364" spans="8:9">
      <c r="H11364" s="1092"/>
      <c r="I11364" s="1092"/>
    </row>
    <row r="11365" spans="8:9">
      <c r="H11365" s="1092"/>
      <c r="I11365" s="1092"/>
    </row>
    <row r="11366" spans="8:9">
      <c r="H11366" s="1092"/>
      <c r="I11366" s="1092"/>
    </row>
    <row r="11367" spans="8:9">
      <c r="H11367" s="1092"/>
      <c r="I11367" s="1092"/>
    </row>
    <row r="11368" spans="8:9">
      <c r="H11368" s="1092"/>
      <c r="I11368" s="1092"/>
    </row>
    <row r="11369" spans="8:9">
      <c r="H11369" s="1092"/>
      <c r="I11369" s="1092"/>
    </row>
    <row r="11370" spans="8:9">
      <c r="H11370" s="1092"/>
      <c r="I11370" s="1092"/>
    </row>
    <row r="11371" spans="8:9">
      <c r="H11371" s="1092"/>
      <c r="I11371" s="1092"/>
    </row>
    <row r="11372" spans="8:9">
      <c r="H11372" s="1092"/>
      <c r="I11372" s="1092"/>
    </row>
    <row r="11373" spans="8:9">
      <c r="H11373" s="1092"/>
      <c r="I11373" s="1092"/>
    </row>
    <row r="11374" spans="8:9">
      <c r="H11374" s="1092"/>
      <c r="I11374" s="1092"/>
    </row>
    <row r="11375" spans="8:9">
      <c r="H11375" s="1092"/>
      <c r="I11375" s="1092"/>
    </row>
    <row r="11376" spans="8:9">
      <c r="H11376" s="1092"/>
      <c r="I11376" s="1092"/>
    </row>
    <row r="11377" spans="8:9">
      <c r="H11377" s="1092"/>
      <c r="I11377" s="1092"/>
    </row>
    <row r="11378" spans="8:9">
      <c r="H11378" s="1092"/>
      <c r="I11378" s="1092"/>
    </row>
    <row r="11379" spans="8:9">
      <c r="H11379" s="1092"/>
      <c r="I11379" s="1092"/>
    </row>
    <row r="11380" spans="8:9">
      <c r="H11380" s="1092"/>
      <c r="I11380" s="1092"/>
    </row>
    <row r="11381" spans="8:9">
      <c r="H11381" s="1092"/>
      <c r="I11381" s="1092"/>
    </row>
    <row r="11382" spans="8:9">
      <c r="H11382" s="1092"/>
      <c r="I11382" s="1092"/>
    </row>
    <row r="11383" spans="8:9">
      <c r="H11383" s="1092"/>
      <c r="I11383" s="1092"/>
    </row>
    <row r="11384" spans="8:9">
      <c r="H11384" s="1092"/>
      <c r="I11384" s="1092"/>
    </row>
    <row r="11385" spans="8:9">
      <c r="H11385" s="1092"/>
      <c r="I11385" s="1092"/>
    </row>
    <row r="11386" spans="8:9">
      <c r="H11386" s="1092"/>
      <c r="I11386" s="1092"/>
    </row>
    <row r="11387" spans="8:9">
      <c r="H11387" s="1092"/>
      <c r="I11387" s="1092"/>
    </row>
    <row r="11388" spans="8:9">
      <c r="H11388" s="1092"/>
      <c r="I11388" s="1092"/>
    </row>
    <row r="11389" spans="8:9">
      <c r="H11389" s="1092"/>
      <c r="I11389" s="1092"/>
    </row>
    <row r="11390" spans="8:9">
      <c r="H11390" s="1092"/>
      <c r="I11390" s="1092"/>
    </row>
    <row r="11391" spans="8:9">
      <c r="H11391" s="1092"/>
      <c r="I11391" s="1092"/>
    </row>
    <row r="11392" spans="8:9">
      <c r="H11392" s="1092"/>
      <c r="I11392" s="1092"/>
    </row>
    <row r="11393" spans="8:9">
      <c r="H11393" s="1092"/>
      <c r="I11393" s="1092"/>
    </row>
    <row r="11394" spans="8:9">
      <c r="H11394" s="1092"/>
      <c r="I11394" s="1092"/>
    </row>
    <row r="11395" spans="8:9">
      <c r="H11395" s="1092"/>
      <c r="I11395" s="1092"/>
    </row>
    <row r="11396" spans="8:9">
      <c r="H11396" s="1092"/>
      <c r="I11396" s="1092"/>
    </row>
    <row r="11397" spans="8:9">
      <c r="H11397" s="1092"/>
      <c r="I11397" s="1092"/>
    </row>
    <row r="11398" spans="8:9">
      <c r="H11398" s="1092"/>
      <c r="I11398" s="1092"/>
    </row>
    <row r="11399" spans="8:9">
      <c r="H11399" s="1092"/>
      <c r="I11399" s="1092"/>
    </row>
    <row r="11400" spans="8:9">
      <c r="H11400" s="1092"/>
      <c r="I11400" s="1092"/>
    </row>
    <row r="11401" spans="8:9">
      <c r="H11401" s="1092"/>
      <c r="I11401" s="1092"/>
    </row>
    <row r="11402" spans="8:9">
      <c r="H11402" s="1092"/>
      <c r="I11402" s="1092"/>
    </row>
    <row r="11403" spans="8:9">
      <c r="H11403" s="1092"/>
      <c r="I11403" s="1092"/>
    </row>
    <row r="11404" spans="8:9">
      <c r="H11404" s="1092"/>
      <c r="I11404" s="1092"/>
    </row>
    <row r="11405" spans="8:9">
      <c r="H11405" s="1092"/>
      <c r="I11405" s="1092"/>
    </row>
    <row r="11406" spans="8:9">
      <c r="H11406" s="1092"/>
      <c r="I11406" s="1092"/>
    </row>
    <row r="11407" spans="8:9">
      <c r="H11407" s="1092"/>
      <c r="I11407" s="1092"/>
    </row>
    <row r="11408" spans="8:9">
      <c r="H11408" s="1092"/>
      <c r="I11408" s="1092"/>
    </row>
    <row r="11409" spans="8:9">
      <c r="H11409" s="1092"/>
      <c r="I11409" s="1092"/>
    </row>
    <row r="11410" spans="8:9">
      <c r="H11410" s="1092"/>
      <c r="I11410" s="1092"/>
    </row>
    <row r="11411" spans="8:9">
      <c r="H11411" s="1092"/>
      <c r="I11411" s="1092"/>
    </row>
    <row r="11412" spans="8:9">
      <c r="H11412" s="1092"/>
      <c r="I11412" s="1092"/>
    </row>
    <row r="11413" spans="8:9">
      <c r="H11413" s="1092"/>
      <c r="I11413" s="1092"/>
    </row>
    <row r="11414" spans="8:9">
      <c r="H11414" s="1092"/>
      <c r="I11414" s="1092"/>
    </row>
    <row r="11415" spans="8:9">
      <c r="H11415" s="1092"/>
      <c r="I11415" s="1092"/>
    </row>
    <row r="11416" spans="8:9">
      <c r="H11416" s="1092"/>
      <c r="I11416" s="1092"/>
    </row>
    <row r="11417" spans="8:9">
      <c r="H11417" s="1092"/>
      <c r="I11417" s="1092"/>
    </row>
    <row r="11418" spans="8:9">
      <c r="H11418" s="1092"/>
      <c r="I11418" s="1092"/>
    </row>
    <row r="11419" spans="8:9">
      <c r="H11419" s="1092"/>
      <c r="I11419" s="1092"/>
    </row>
    <row r="11420" spans="8:9">
      <c r="H11420" s="1092"/>
      <c r="I11420" s="1092"/>
    </row>
    <row r="11421" spans="8:9">
      <c r="H11421" s="1092"/>
      <c r="I11421" s="1092"/>
    </row>
    <row r="11422" spans="8:9">
      <c r="H11422" s="1092"/>
      <c r="I11422" s="1092"/>
    </row>
    <row r="11423" spans="8:9">
      <c r="H11423" s="1092"/>
      <c r="I11423" s="1092"/>
    </row>
    <row r="11424" spans="8:9">
      <c r="H11424" s="1092"/>
      <c r="I11424" s="1092"/>
    </row>
    <row r="11425" spans="8:9">
      <c r="H11425" s="1092"/>
      <c r="I11425" s="1092"/>
    </row>
    <row r="11426" spans="8:9">
      <c r="H11426" s="1092"/>
      <c r="I11426" s="1092"/>
    </row>
    <row r="11427" spans="8:9">
      <c r="H11427" s="1092"/>
      <c r="I11427" s="1092"/>
    </row>
    <row r="11428" spans="8:9">
      <c r="H11428" s="1092"/>
      <c r="I11428" s="1092"/>
    </row>
    <row r="11429" spans="8:9">
      <c r="H11429" s="1092"/>
      <c r="I11429" s="1092"/>
    </row>
    <row r="11430" spans="8:9">
      <c r="H11430" s="1092"/>
      <c r="I11430" s="1092"/>
    </row>
    <row r="11431" spans="8:9">
      <c r="H11431" s="1092"/>
      <c r="I11431" s="1092"/>
    </row>
    <row r="11432" spans="8:9">
      <c r="H11432" s="1092"/>
      <c r="I11432" s="1092"/>
    </row>
    <row r="11433" spans="8:9">
      <c r="H11433" s="1092"/>
      <c r="I11433" s="1092"/>
    </row>
    <row r="11434" spans="8:9">
      <c r="H11434" s="1092"/>
      <c r="I11434" s="1092"/>
    </row>
    <row r="11435" spans="8:9">
      <c r="H11435" s="1092"/>
      <c r="I11435" s="1092"/>
    </row>
    <row r="11436" spans="8:9">
      <c r="H11436" s="1092"/>
      <c r="I11436" s="1092"/>
    </row>
    <row r="11437" spans="8:9">
      <c r="H11437" s="1092"/>
      <c r="I11437" s="1092"/>
    </row>
    <row r="11438" spans="8:9">
      <c r="H11438" s="1092"/>
      <c r="I11438" s="1092"/>
    </row>
    <row r="11439" spans="8:9">
      <c r="H11439" s="1092"/>
      <c r="I11439" s="1092"/>
    </row>
    <row r="11440" spans="8:9">
      <c r="H11440" s="1092"/>
      <c r="I11440" s="1092"/>
    </row>
    <row r="11441" spans="8:9">
      <c r="H11441" s="1092"/>
      <c r="I11441" s="1092"/>
    </row>
    <row r="11442" spans="8:9">
      <c r="H11442" s="1092"/>
      <c r="I11442" s="1092"/>
    </row>
    <row r="11443" spans="8:9">
      <c r="H11443" s="1092"/>
      <c r="I11443" s="1092"/>
    </row>
    <row r="11444" spans="8:9">
      <c r="H11444" s="1092"/>
      <c r="I11444" s="1092"/>
    </row>
    <row r="11445" spans="8:9">
      <c r="H11445" s="1092"/>
      <c r="I11445" s="1092"/>
    </row>
    <row r="11446" spans="8:9">
      <c r="H11446" s="1092"/>
      <c r="I11446" s="1092"/>
    </row>
    <row r="11447" spans="8:9">
      <c r="H11447" s="1092"/>
      <c r="I11447" s="1092"/>
    </row>
    <row r="11448" spans="8:9">
      <c r="H11448" s="1092"/>
      <c r="I11448" s="1092"/>
    </row>
    <row r="11449" spans="8:9">
      <c r="H11449" s="1092"/>
      <c r="I11449" s="1092"/>
    </row>
    <row r="11450" spans="8:9">
      <c r="H11450" s="1092"/>
      <c r="I11450" s="1092"/>
    </row>
    <row r="11451" spans="8:9">
      <c r="H11451" s="1092"/>
      <c r="I11451" s="1092"/>
    </row>
    <row r="11452" spans="8:9">
      <c r="H11452" s="1092"/>
      <c r="I11452" s="1092"/>
    </row>
    <row r="11453" spans="8:9">
      <c r="H11453" s="1092"/>
      <c r="I11453" s="1092"/>
    </row>
    <row r="11454" spans="8:9">
      <c r="H11454" s="1092"/>
      <c r="I11454" s="1092"/>
    </row>
    <row r="11455" spans="8:9">
      <c r="H11455" s="1092"/>
      <c r="I11455" s="1092"/>
    </row>
    <row r="11456" spans="8:9">
      <c r="H11456" s="1092"/>
      <c r="I11456" s="1092"/>
    </row>
    <row r="11457" spans="8:9">
      <c r="H11457" s="1092"/>
      <c r="I11457" s="1092"/>
    </row>
    <row r="11458" spans="8:9">
      <c r="H11458" s="1092"/>
      <c r="I11458" s="1092"/>
    </row>
    <row r="11459" spans="8:9">
      <c r="H11459" s="1092"/>
      <c r="I11459" s="1092"/>
    </row>
    <row r="11460" spans="8:9">
      <c r="H11460" s="1092"/>
      <c r="I11460" s="1092"/>
    </row>
    <row r="11461" spans="8:9">
      <c r="H11461" s="1092"/>
      <c r="I11461" s="1092"/>
    </row>
    <row r="11462" spans="8:9">
      <c r="H11462" s="1092"/>
      <c r="I11462" s="1092"/>
    </row>
    <row r="11463" spans="8:9">
      <c r="H11463" s="1092"/>
      <c r="I11463" s="1092"/>
    </row>
    <row r="11464" spans="8:9">
      <c r="H11464" s="1092"/>
      <c r="I11464" s="1092"/>
    </row>
    <row r="11465" spans="8:9">
      <c r="H11465" s="1092"/>
      <c r="I11465" s="1092"/>
    </row>
    <row r="11466" spans="8:9">
      <c r="H11466" s="1092"/>
      <c r="I11466" s="1092"/>
    </row>
    <row r="11467" spans="8:9">
      <c r="H11467" s="1092"/>
      <c r="I11467" s="1092"/>
    </row>
    <row r="11468" spans="8:9">
      <c r="H11468" s="1092"/>
      <c r="I11468" s="1092"/>
    </row>
    <row r="11469" spans="8:9">
      <c r="H11469" s="1092"/>
      <c r="I11469" s="1092"/>
    </row>
    <row r="11470" spans="8:9">
      <c r="H11470" s="1092"/>
      <c r="I11470" s="1092"/>
    </row>
    <row r="11471" spans="8:9">
      <c r="H11471" s="1092"/>
      <c r="I11471" s="1092"/>
    </row>
    <row r="11472" spans="8:9">
      <c r="H11472" s="1092"/>
      <c r="I11472" s="1092"/>
    </row>
    <row r="11473" spans="8:9">
      <c r="H11473" s="1092"/>
      <c r="I11473" s="1092"/>
    </row>
    <row r="11474" spans="8:9">
      <c r="H11474" s="1092"/>
      <c r="I11474" s="1092"/>
    </row>
    <row r="11475" spans="8:9">
      <c r="H11475" s="1092"/>
      <c r="I11475" s="1092"/>
    </row>
    <row r="11476" spans="8:9">
      <c r="H11476" s="1092"/>
      <c r="I11476" s="1092"/>
    </row>
    <row r="11477" spans="8:9">
      <c r="H11477" s="1092"/>
      <c r="I11477" s="1092"/>
    </row>
    <row r="11478" spans="8:9">
      <c r="H11478" s="1092"/>
      <c r="I11478" s="1092"/>
    </row>
    <row r="11479" spans="8:9">
      <c r="H11479" s="1092"/>
      <c r="I11479" s="1092"/>
    </row>
    <row r="11480" spans="8:9">
      <c r="H11480" s="1092"/>
      <c r="I11480" s="1092"/>
    </row>
    <row r="11481" spans="8:9">
      <c r="H11481" s="1092"/>
      <c r="I11481" s="1092"/>
    </row>
    <row r="11482" spans="8:9">
      <c r="H11482" s="1092"/>
      <c r="I11482" s="1092"/>
    </row>
    <row r="11483" spans="8:9">
      <c r="H11483" s="1092"/>
      <c r="I11483" s="1092"/>
    </row>
    <row r="11484" spans="8:9">
      <c r="H11484" s="1092"/>
      <c r="I11484" s="1092"/>
    </row>
    <row r="11485" spans="8:9">
      <c r="H11485" s="1092"/>
      <c r="I11485" s="1092"/>
    </row>
    <row r="11486" spans="8:9">
      <c r="H11486" s="1092"/>
      <c r="I11486" s="1092"/>
    </row>
    <row r="11487" spans="8:9">
      <c r="H11487" s="1092"/>
      <c r="I11487" s="1092"/>
    </row>
    <row r="11488" spans="8:9">
      <c r="H11488" s="1092"/>
      <c r="I11488" s="1092"/>
    </row>
    <row r="11489" spans="8:9">
      <c r="H11489" s="1092"/>
      <c r="I11489" s="1092"/>
    </row>
    <row r="11490" spans="8:9">
      <c r="H11490" s="1092"/>
      <c r="I11490" s="1092"/>
    </row>
    <row r="11491" spans="8:9">
      <c r="H11491" s="1092"/>
      <c r="I11491" s="1092"/>
    </row>
    <row r="11492" spans="8:9">
      <c r="H11492" s="1092"/>
      <c r="I11492" s="1092"/>
    </row>
    <row r="11493" spans="8:9">
      <c r="H11493" s="1092"/>
      <c r="I11493" s="1092"/>
    </row>
    <row r="11494" spans="8:9">
      <c r="H11494" s="1092"/>
      <c r="I11494" s="1092"/>
    </row>
    <row r="11495" spans="8:9">
      <c r="H11495" s="1092"/>
      <c r="I11495" s="1092"/>
    </row>
    <row r="11496" spans="8:9">
      <c r="H11496" s="1092"/>
      <c r="I11496" s="1092"/>
    </row>
    <row r="11497" spans="8:9">
      <c r="H11497" s="1092"/>
      <c r="I11497" s="1092"/>
    </row>
    <row r="11498" spans="8:9">
      <c r="H11498" s="1092"/>
      <c r="I11498" s="1092"/>
    </row>
    <row r="11499" spans="8:9">
      <c r="H11499" s="1092"/>
      <c r="I11499" s="1092"/>
    </row>
    <row r="11500" spans="8:9">
      <c r="H11500" s="1092"/>
      <c r="I11500" s="1092"/>
    </row>
    <row r="11501" spans="8:9">
      <c r="H11501" s="1092"/>
      <c r="I11501" s="1092"/>
    </row>
    <row r="11502" spans="8:9">
      <c r="H11502" s="1092"/>
      <c r="I11502" s="1092"/>
    </row>
    <row r="11503" spans="8:9">
      <c r="H11503" s="1092"/>
      <c r="I11503" s="1092"/>
    </row>
    <row r="11504" spans="8:9">
      <c r="H11504" s="1092"/>
      <c r="I11504" s="1092"/>
    </row>
    <row r="11505" spans="8:9">
      <c r="H11505" s="1092"/>
      <c r="I11505" s="1092"/>
    </row>
    <row r="11506" spans="8:9">
      <c r="H11506" s="1092"/>
      <c r="I11506" s="1092"/>
    </row>
    <row r="11507" spans="8:9">
      <c r="H11507" s="1092"/>
      <c r="I11507" s="1092"/>
    </row>
    <row r="11508" spans="8:9">
      <c r="H11508" s="1092"/>
      <c r="I11508" s="1092"/>
    </row>
    <row r="11509" spans="8:9">
      <c r="H11509" s="1092"/>
      <c r="I11509" s="1092"/>
    </row>
    <row r="11510" spans="8:9">
      <c r="H11510" s="1092"/>
      <c r="I11510" s="1092"/>
    </row>
    <row r="11511" spans="8:9">
      <c r="H11511" s="1092"/>
      <c r="I11511" s="1092"/>
    </row>
    <row r="11512" spans="8:9">
      <c r="H11512" s="1092"/>
      <c r="I11512" s="1092"/>
    </row>
    <row r="11513" spans="8:9">
      <c r="H11513" s="1092"/>
      <c r="I11513" s="1092"/>
    </row>
    <row r="11514" spans="8:9">
      <c r="H11514" s="1092"/>
      <c r="I11514" s="1092"/>
    </row>
    <row r="11515" spans="8:9">
      <c r="H11515" s="1092"/>
      <c r="I11515" s="1092"/>
    </row>
    <row r="11516" spans="8:9">
      <c r="H11516" s="1092"/>
      <c r="I11516" s="1092"/>
    </row>
    <row r="11517" spans="8:9">
      <c r="H11517" s="1092"/>
      <c r="I11517" s="1092"/>
    </row>
    <row r="11518" spans="8:9">
      <c r="H11518" s="1092"/>
      <c r="I11518" s="1092"/>
    </row>
    <row r="11519" spans="8:9">
      <c r="H11519" s="1092"/>
      <c r="I11519" s="1092"/>
    </row>
    <row r="11520" spans="8:9">
      <c r="H11520" s="1092"/>
      <c r="I11520" s="1092"/>
    </row>
    <row r="11521" spans="8:9">
      <c r="H11521" s="1092"/>
      <c r="I11521" s="1092"/>
    </row>
    <row r="11522" spans="8:9">
      <c r="H11522" s="1092"/>
      <c r="I11522" s="1092"/>
    </row>
    <row r="11523" spans="8:9">
      <c r="H11523" s="1092"/>
      <c r="I11523" s="1092"/>
    </row>
    <row r="11524" spans="8:9">
      <c r="H11524" s="1092"/>
      <c r="I11524" s="1092"/>
    </row>
    <row r="11525" spans="8:9">
      <c r="H11525" s="1092"/>
      <c r="I11525" s="1092"/>
    </row>
    <row r="11526" spans="8:9">
      <c r="H11526" s="1092"/>
      <c r="I11526" s="1092"/>
    </row>
    <row r="11527" spans="8:9">
      <c r="H11527" s="1092"/>
      <c r="I11527" s="1092"/>
    </row>
    <row r="11528" spans="8:9">
      <c r="H11528" s="1092"/>
      <c r="I11528" s="1092"/>
    </row>
    <row r="11529" spans="8:9">
      <c r="H11529" s="1092"/>
      <c r="I11529" s="1092"/>
    </row>
    <row r="11530" spans="8:9">
      <c r="H11530" s="1092"/>
      <c r="I11530" s="1092"/>
    </row>
    <row r="11531" spans="8:9">
      <c r="H11531" s="1092"/>
      <c r="I11531" s="1092"/>
    </row>
    <row r="11532" spans="8:9">
      <c r="H11532" s="1092"/>
      <c r="I11532" s="1092"/>
    </row>
    <row r="11533" spans="8:9">
      <c r="H11533" s="1092"/>
      <c r="I11533" s="1092"/>
    </row>
    <row r="11534" spans="8:9">
      <c r="H11534" s="1092"/>
      <c r="I11534" s="1092"/>
    </row>
    <row r="11535" spans="8:9">
      <c r="H11535" s="1092"/>
      <c r="I11535" s="1092"/>
    </row>
    <row r="11536" spans="8:9">
      <c r="H11536" s="1092"/>
      <c r="I11536" s="1092"/>
    </row>
    <row r="11537" spans="8:9">
      <c r="H11537" s="1092"/>
      <c r="I11537" s="1092"/>
    </row>
    <row r="11538" spans="8:9">
      <c r="H11538" s="1092"/>
      <c r="I11538" s="1092"/>
    </row>
    <row r="11539" spans="8:9">
      <c r="H11539" s="1092"/>
      <c r="I11539" s="1092"/>
    </row>
    <row r="11540" spans="8:9">
      <c r="H11540" s="1092"/>
      <c r="I11540" s="1092"/>
    </row>
    <row r="11541" spans="8:9">
      <c r="H11541" s="1092"/>
      <c r="I11541" s="1092"/>
    </row>
    <row r="11542" spans="8:9">
      <c r="H11542" s="1092"/>
      <c r="I11542" s="1092"/>
    </row>
    <row r="11543" spans="8:9">
      <c r="H11543" s="1092"/>
      <c r="I11543" s="1092"/>
    </row>
    <row r="11544" spans="8:9">
      <c r="H11544" s="1092"/>
      <c r="I11544" s="1092"/>
    </row>
    <row r="11545" spans="8:9">
      <c r="H11545" s="1092"/>
      <c r="I11545" s="1092"/>
    </row>
    <row r="11546" spans="8:9">
      <c r="H11546" s="1092"/>
      <c r="I11546" s="1092"/>
    </row>
    <row r="11547" spans="8:9">
      <c r="H11547" s="1092"/>
      <c r="I11547" s="1092"/>
    </row>
    <row r="11548" spans="8:9">
      <c r="H11548" s="1092"/>
      <c r="I11548" s="1092"/>
    </row>
    <row r="11549" spans="8:9">
      <c r="H11549" s="1092"/>
      <c r="I11549" s="1092"/>
    </row>
    <row r="11550" spans="8:9">
      <c r="H11550" s="1092"/>
      <c r="I11550" s="1092"/>
    </row>
    <row r="11551" spans="8:9">
      <c r="H11551" s="1092"/>
      <c r="I11551" s="1092"/>
    </row>
    <row r="11552" spans="8:9">
      <c r="H11552" s="1092"/>
      <c r="I11552" s="1092"/>
    </row>
    <row r="11553" spans="8:9">
      <c r="H11553" s="1092"/>
      <c r="I11553" s="1092"/>
    </row>
    <row r="11554" spans="8:9">
      <c r="H11554" s="1092"/>
      <c r="I11554" s="1092"/>
    </row>
    <row r="11555" spans="8:9">
      <c r="H11555" s="1092"/>
      <c r="I11555" s="1092"/>
    </row>
    <row r="11556" spans="8:9">
      <c r="H11556" s="1092"/>
      <c r="I11556" s="1092"/>
    </row>
    <row r="11557" spans="8:9">
      <c r="H11557" s="1092"/>
      <c r="I11557" s="1092"/>
    </row>
    <row r="11558" spans="8:9">
      <c r="H11558" s="1092"/>
      <c r="I11558" s="1092"/>
    </row>
    <row r="11559" spans="8:9">
      <c r="H11559" s="1092"/>
      <c r="I11559" s="1092"/>
    </row>
    <row r="11560" spans="8:9">
      <c r="H11560" s="1092"/>
      <c r="I11560" s="1092"/>
    </row>
    <row r="11561" spans="8:9">
      <c r="H11561" s="1092"/>
      <c r="I11561" s="1092"/>
    </row>
    <row r="11562" spans="8:9">
      <c r="H11562" s="1092"/>
      <c r="I11562" s="1092"/>
    </row>
    <row r="11563" spans="8:9">
      <c r="H11563" s="1092"/>
      <c r="I11563" s="1092"/>
    </row>
    <row r="11564" spans="8:9">
      <c r="H11564" s="1092"/>
      <c r="I11564" s="1092"/>
    </row>
    <row r="11565" spans="8:9">
      <c r="H11565" s="1092"/>
      <c r="I11565" s="1092"/>
    </row>
    <row r="11566" spans="8:9">
      <c r="H11566" s="1092"/>
      <c r="I11566" s="1092"/>
    </row>
    <row r="11567" spans="8:9">
      <c r="H11567" s="1092"/>
      <c r="I11567" s="1092"/>
    </row>
    <row r="11568" spans="8:9">
      <c r="H11568" s="1092"/>
      <c r="I11568" s="1092"/>
    </row>
    <row r="11569" spans="8:9">
      <c r="H11569" s="1092"/>
      <c r="I11569" s="1092"/>
    </row>
    <row r="11570" spans="8:9">
      <c r="H11570" s="1092"/>
      <c r="I11570" s="1092"/>
    </row>
    <row r="11571" spans="8:9">
      <c r="H11571" s="1092"/>
      <c r="I11571" s="1092"/>
    </row>
    <row r="11572" spans="8:9">
      <c r="H11572" s="1092"/>
      <c r="I11572" s="1092"/>
    </row>
    <row r="11573" spans="8:9">
      <c r="H11573" s="1092"/>
      <c r="I11573" s="1092"/>
    </row>
    <row r="11574" spans="8:9">
      <c r="H11574" s="1092"/>
      <c r="I11574" s="1092"/>
    </row>
    <row r="11575" spans="8:9">
      <c r="H11575" s="1092"/>
      <c r="I11575" s="1092"/>
    </row>
    <row r="11576" spans="8:9">
      <c r="H11576" s="1092"/>
      <c r="I11576" s="1092"/>
    </row>
    <row r="11577" spans="8:9">
      <c r="H11577" s="1092"/>
      <c r="I11577" s="1092"/>
    </row>
    <row r="11578" spans="8:9">
      <c r="H11578" s="1092"/>
      <c r="I11578" s="1092"/>
    </row>
    <row r="11579" spans="8:9">
      <c r="H11579" s="1092"/>
      <c r="I11579" s="1092"/>
    </row>
    <row r="11580" spans="8:9">
      <c r="H11580" s="1092"/>
      <c r="I11580" s="1092"/>
    </row>
    <row r="11581" spans="8:9">
      <c r="H11581" s="1092"/>
      <c r="I11581" s="1092"/>
    </row>
    <row r="11582" spans="8:9">
      <c r="H11582" s="1092"/>
      <c r="I11582" s="1092"/>
    </row>
    <row r="11583" spans="8:9">
      <c r="H11583" s="1092"/>
      <c r="I11583" s="1092"/>
    </row>
    <row r="11584" spans="8:9">
      <c r="H11584" s="1092"/>
      <c r="I11584" s="1092"/>
    </row>
    <row r="11585" spans="8:9">
      <c r="H11585" s="1092"/>
      <c r="I11585" s="1092"/>
    </row>
    <row r="11586" spans="8:9">
      <c r="H11586" s="1092"/>
      <c r="I11586" s="1092"/>
    </row>
    <row r="11587" spans="8:9">
      <c r="H11587" s="1092"/>
      <c r="I11587" s="1092"/>
    </row>
    <row r="11588" spans="8:9">
      <c r="H11588" s="1092"/>
      <c r="I11588" s="1092"/>
    </row>
    <row r="11589" spans="8:9">
      <c r="H11589" s="1092"/>
      <c r="I11589" s="1092"/>
    </row>
    <row r="11590" spans="8:9">
      <c r="H11590" s="1092"/>
      <c r="I11590" s="1092"/>
    </row>
    <row r="11591" spans="8:9">
      <c r="H11591" s="1092"/>
      <c r="I11591" s="1092"/>
    </row>
    <row r="11592" spans="8:9">
      <c r="H11592" s="1092"/>
      <c r="I11592" s="1092"/>
    </row>
    <row r="11593" spans="8:9">
      <c r="H11593" s="1092"/>
      <c r="I11593" s="1092"/>
    </row>
    <row r="11594" spans="8:9">
      <c r="H11594" s="1092"/>
      <c r="I11594" s="1092"/>
    </row>
    <row r="11595" spans="8:9">
      <c r="H11595" s="1092"/>
      <c r="I11595" s="1092"/>
    </row>
    <row r="11596" spans="8:9">
      <c r="H11596" s="1092"/>
      <c r="I11596" s="1092"/>
    </row>
    <row r="11597" spans="8:9">
      <c r="H11597" s="1092"/>
      <c r="I11597" s="1092"/>
    </row>
    <row r="11598" spans="8:9">
      <c r="H11598" s="1092"/>
      <c r="I11598" s="1092"/>
    </row>
    <row r="11599" spans="8:9">
      <c r="H11599" s="1092"/>
      <c r="I11599" s="1092"/>
    </row>
    <row r="11600" spans="8:9">
      <c r="H11600" s="1092"/>
      <c r="I11600" s="1092"/>
    </row>
    <row r="11601" spans="8:9">
      <c r="H11601" s="1092"/>
      <c r="I11601" s="1092"/>
    </row>
    <row r="11602" spans="8:9">
      <c r="H11602" s="1092"/>
      <c r="I11602" s="1092"/>
    </row>
    <row r="11603" spans="8:9">
      <c r="H11603" s="1092"/>
      <c r="I11603" s="1092"/>
    </row>
    <row r="11604" spans="8:9">
      <c r="H11604" s="1092"/>
      <c r="I11604" s="1092"/>
    </row>
    <row r="11605" spans="8:9">
      <c r="H11605" s="1092"/>
      <c r="I11605" s="1092"/>
    </row>
    <row r="11606" spans="8:9">
      <c r="H11606" s="1092"/>
      <c r="I11606" s="1092"/>
    </row>
    <row r="11607" spans="8:9">
      <c r="H11607" s="1092"/>
      <c r="I11607" s="1092"/>
    </row>
    <row r="11608" spans="8:9">
      <c r="H11608" s="1092"/>
      <c r="I11608" s="1092"/>
    </row>
    <row r="11609" spans="8:9">
      <c r="H11609" s="1092"/>
      <c r="I11609" s="1092"/>
    </row>
    <row r="11610" spans="8:9">
      <c r="H11610" s="1092"/>
      <c r="I11610" s="1092"/>
    </row>
    <row r="11611" spans="8:9">
      <c r="H11611" s="1092"/>
      <c r="I11611" s="1092"/>
    </row>
    <row r="11612" spans="8:9">
      <c r="H11612" s="1092"/>
      <c r="I11612" s="1092"/>
    </row>
    <row r="11613" spans="8:9">
      <c r="H11613" s="1092"/>
      <c r="I11613" s="1092"/>
    </row>
    <row r="11614" spans="8:9">
      <c r="H11614" s="1092"/>
      <c r="I11614" s="1092"/>
    </row>
    <row r="11615" spans="8:9">
      <c r="H11615" s="1092"/>
      <c r="I11615" s="1092"/>
    </row>
    <row r="11616" spans="8:9">
      <c r="H11616" s="1092"/>
      <c r="I11616" s="1092"/>
    </row>
    <row r="11617" spans="8:9">
      <c r="H11617" s="1092"/>
      <c r="I11617" s="1092"/>
    </row>
    <row r="11618" spans="8:9">
      <c r="H11618" s="1092"/>
      <c r="I11618" s="1092"/>
    </row>
    <row r="11619" spans="8:9">
      <c r="H11619" s="1092"/>
      <c r="I11619" s="1092"/>
    </row>
    <row r="11620" spans="8:9">
      <c r="H11620" s="1092"/>
      <c r="I11620" s="1092"/>
    </row>
    <row r="11621" spans="8:9">
      <c r="H11621" s="1092"/>
      <c r="I11621" s="1092"/>
    </row>
    <row r="11622" spans="8:9">
      <c r="H11622" s="1092"/>
      <c r="I11622" s="1092"/>
    </row>
    <row r="11623" spans="8:9">
      <c r="H11623" s="1092"/>
      <c r="I11623" s="1092"/>
    </row>
    <row r="11624" spans="8:9">
      <c r="H11624" s="1092"/>
      <c r="I11624" s="1092"/>
    </row>
    <row r="11625" spans="8:9">
      <c r="H11625" s="1092"/>
      <c r="I11625" s="1092"/>
    </row>
    <row r="11626" spans="8:9">
      <c r="H11626" s="1092"/>
      <c r="I11626" s="1092"/>
    </row>
    <row r="11627" spans="8:9">
      <c r="H11627" s="1092"/>
      <c r="I11627" s="1092"/>
    </row>
    <row r="11628" spans="8:9">
      <c r="H11628" s="1092"/>
      <c r="I11628" s="1092"/>
    </row>
    <row r="11629" spans="8:9">
      <c r="H11629" s="1092"/>
      <c r="I11629" s="1092"/>
    </row>
    <row r="11630" spans="8:9">
      <c r="H11630" s="1092"/>
      <c r="I11630" s="1092"/>
    </row>
    <row r="11631" spans="8:9">
      <c r="H11631" s="1092"/>
      <c r="I11631" s="1092"/>
    </row>
    <row r="11632" spans="8:9">
      <c r="H11632" s="1092"/>
      <c r="I11632" s="1092"/>
    </row>
    <row r="11633" spans="8:9">
      <c r="H11633" s="1092"/>
      <c r="I11633" s="1092"/>
    </row>
    <row r="11634" spans="8:9">
      <c r="H11634" s="1092"/>
      <c r="I11634" s="1092"/>
    </row>
    <row r="11635" spans="8:9">
      <c r="H11635" s="1092"/>
      <c r="I11635" s="1092"/>
    </row>
    <row r="11636" spans="8:9">
      <c r="H11636" s="1092"/>
      <c r="I11636" s="1092"/>
    </row>
    <row r="11637" spans="8:9">
      <c r="H11637" s="1092"/>
      <c r="I11637" s="1092"/>
    </row>
    <row r="11638" spans="8:9">
      <c r="H11638" s="1092"/>
      <c r="I11638" s="1092"/>
    </row>
    <row r="11639" spans="8:9">
      <c r="H11639" s="1092"/>
      <c r="I11639" s="1092"/>
    </row>
    <row r="11640" spans="8:9">
      <c r="H11640" s="1092"/>
      <c r="I11640" s="1092"/>
    </row>
    <row r="11641" spans="8:9">
      <c r="H11641" s="1092"/>
      <c r="I11641" s="1092"/>
    </row>
    <row r="11642" spans="8:9">
      <c r="H11642" s="1092"/>
      <c r="I11642" s="1092"/>
    </row>
    <row r="11643" spans="8:9">
      <c r="H11643" s="1092"/>
      <c r="I11643" s="1092"/>
    </row>
    <row r="11644" spans="8:9">
      <c r="H11644" s="1092"/>
      <c r="I11644" s="1092"/>
    </row>
    <row r="11645" spans="8:9">
      <c r="H11645" s="1092"/>
      <c r="I11645" s="1092"/>
    </row>
    <row r="11646" spans="8:9">
      <c r="H11646" s="1092"/>
      <c r="I11646" s="1092"/>
    </row>
    <row r="11647" spans="8:9">
      <c r="H11647" s="1092"/>
      <c r="I11647" s="1092"/>
    </row>
    <row r="11648" spans="8:9">
      <c r="H11648" s="1092"/>
      <c r="I11648" s="1092"/>
    </row>
    <row r="11649" spans="8:9">
      <c r="H11649" s="1092"/>
      <c r="I11649" s="1092"/>
    </row>
    <row r="11650" spans="8:9">
      <c r="H11650" s="1092"/>
      <c r="I11650" s="1092"/>
    </row>
    <row r="11651" spans="8:9">
      <c r="H11651" s="1092"/>
      <c r="I11651" s="1092"/>
    </row>
    <row r="11652" spans="8:9">
      <c r="H11652" s="1092"/>
      <c r="I11652" s="1092"/>
    </row>
    <row r="11653" spans="8:9">
      <c r="H11653" s="1092"/>
      <c r="I11653" s="1092"/>
    </row>
    <row r="11654" spans="8:9">
      <c r="H11654" s="1092"/>
      <c r="I11654" s="1092"/>
    </row>
    <row r="11655" spans="8:9">
      <c r="H11655" s="1092"/>
      <c r="I11655" s="1092"/>
    </row>
    <row r="11656" spans="8:9">
      <c r="H11656" s="1092"/>
      <c r="I11656" s="1092"/>
    </row>
    <row r="11657" spans="8:9">
      <c r="H11657" s="1092"/>
      <c r="I11657" s="1092"/>
    </row>
    <row r="11658" spans="8:9">
      <c r="H11658" s="1092"/>
      <c r="I11658" s="1092"/>
    </row>
    <row r="11659" spans="8:9">
      <c r="H11659" s="1092"/>
      <c r="I11659" s="1092"/>
    </row>
    <row r="11660" spans="8:9">
      <c r="H11660" s="1092"/>
      <c r="I11660" s="1092"/>
    </row>
    <row r="11661" spans="8:9">
      <c r="H11661" s="1092"/>
      <c r="I11661" s="1092"/>
    </row>
    <row r="11662" spans="8:9">
      <c r="H11662" s="1092"/>
      <c r="I11662" s="1092"/>
    </row>
    <row r="11663" spans="8:9">
      <c r="H11663" s="1092"/>
      <c r="I11663" s="1092"/>
    </row>
    <row r="11664" spans="8:9">
      <c r="H11664" s="1092"/>
      <c r="I11664" s="1092"/>
    </row>
    <row r="11665" spans="8:9">
      <c r="H11665" s="1092"/>
      <c r="I11665" s="1092"/>
    </row>
    <row r="11666" spans="8:9">
      <c r="H11666" s="1092"/>
      <c r="I11666" s="1092"/>
    </row>
    <row r="11667" spans="8:9">
      <c r="H11667" s="1092"/>
      <c r="I11667" s="1092"/>
    </row>
    <row r="11668" spans="8:9">
      <c r="H11668" s="1092"/>
      <c r="I11668" s="1092"/>
    </row>
    <row r="11669" spans="8:9">
      <c r="H11669" s="1092"/>
      <c r="I11669" s="1092"/>
    </row>
    <row r="11670" spans="8:9">
      <c r="H11670" s="1092"/>
      <c r="I11670" s="1092"/>
    </row>
    <row r="11671" spans="8:9">
      <c r="H11671" s="1092"/>
      <c r="I11671" s="1092"/>
    </row>
    <row r="11672" spans="8:9">
      <c r="H11672" s="1092"/>
      <c r="I11672" s="1092"/>
    </row>
    <row r="11673" spans="8:9">
      <c r="H11673" s="1092"/>
      <c r="I11673" s="1092"/>
    </row>
    <row r="11674" spans="8:9">
      <c r="H11674" s="1092"/>
      <c r="I11674" s="1092"/>
    </row>
    <row r="11675" spans="8:9">
      <c r="H11675" s="1092"/>
      <c r="I11675" s="1092"/>
    </row>
    <row r="11676" spans="8:9">
      <c r="H11676" s="1092"/>
      <c r="I11676" s="1092"/>
    </row>
    <row r="11677" spans="8:9">
      <c r="H11677" s="1092"/>
      <c r="I11677" s="1092"/>
    </row>
    <row r="11678" spans="8:9">
      <c r="H11678" s="1092"/>
      <c r="I11678" s="1092"/>
    </row>
    <row r="11679" spans="8:9">
      <c r="H11679" s="1092"/>
      <c r="I11679" s="1092"/>
    </row>
    <row r="11680" spans="8:9">
      <c r="H11680" s="1092"/>
      <c r="I11680" s="1092"/>
    </row>
    <row r="11681" spans="8:9">
      <c r="H11681" s="1092"/>
      <c r="I11681" s="1092"/>
    </row>
    <row r="11682" spans="8:9">
      <c r="H11682" s="1092"/>
      <c r="I11682" s="1092"/>
    </row>
    <row r="11683" spans="8:9">
      <c r="H11683" s="1092"/>
      <c r="I11683" s="1092"/>
    </row>
    <row r="11684" spans="8:9">
      <c r="H11684" s="1092"/>
      <c r="I11684" s="1092"/>
    </row>
    <row r="11685" spans="8:9">
      <c r="H11685" s="1092"/>
      <c r="I11685" s="1092"/>
    </row>
    <row r="11686" spans="8:9">
      <c r="H11686" s="1092"/>
      <c r="I11686" s="1092"/>
    </row>
    <row r="11687" spans="8:9">
      <c r="H11687" s="1092"/>
      <c r="I11687" s="1092"/>
    </row>
    <row r="11688" spans="8:9">
      <c r="H11688" s="1092"/>
      <c r="I11688" s="1092"/>
    </row>
    <row r="11689" spans="8:9">
      <c r="H11689" s="1092"/>
      <c r="I11689" s="1092"/>
    </row>
    <row r="11690" spans="8:9">
      <c r="H11690" s="1092"/>
      <c r="I11690" s="1092"/>
    </row>
    <row r="11691" spans="8:9">
      <c r="H11691" s="1092"/>
      <c r="I11691" s="1092"/>
    </row>
    <row r="11692" spans="8:9">
      <c r="H11692" s="1092"/>
      <c r="I11692" s="1092"/>
    </row>
    <row r="11693" spans="8:9">
      <c r="H11693" s="1092"/>
      <c r="I11693" s="1092"/>
    </row>
    <row r="11694" spans="8:9">
      <c r="H11694" s="1092"/>
      <c r="I11694" s="1092"/>
    </row>
    <row r="11695" spans="8:9">
      <c r="H11695" s="1092"/>
      <c r="I11695" s="1092"/>
    </row>
    <row r="11696" spans="8:9">
      <c r="H11696" s="1092"/>
      <c r="I11696" s="1092"/>
    </row>
    <row r="11697" spans="8:9">
      <c r="H11697" s="1092"/>
      <c r="I11697" s="1092"/>
    </row>
    <row r="11698" spans="8:9">
      <c r="H11698" s="1092"/>
      <c r="I11698" s="1092"/>
    </row>
    <row r="11699" spans="8:9">
      <c r="H11699" s="1092"/>
      <c r="I11699" s="1092"/>
    </row>
    <row r="11700" spans="8:9">
      <c r="H11700" s="1092"/>
      <c r="I11700" s="1092"/>
    </row>
    <row r="11701" spans="8:9">
      <c r="H11701" s="1092"/>
      <c r="I11701" s="1092"/>
    </row>
    <row r="11702" spans="8:9">
      <c r="H11702" s="1092"/>
      <c r="I11702" s="1092"/>
    </row>
    <row r="11703" spans="8:9">
      <c r="H11703" s="1092"/>
      <c r="I11703" s="1092"/>
    </row>
    <row r="11704" spans="8:9">
      <c r="H11704" s="1092"/>
      <c r="I11704" s="1092"/>
    </row>
    <row r="11705" spans="8:9">
      <c r="H11705" s="1092"/>
      <c r="I11705" s="1092"/>
    </row>
    <row r="11706" spans="8:9">
      <c r="H11706" s="1092"/>
      <c r="I11706" s="1092"/>
    </row>
    <row r="11707" spans="8:9">
      <c r="H11707" s="1092"/>
      <c r="I11707" s="1092"/>
    </row>
    <row r="11708" spans="8:9">
      <c r="H11708" s="1092"/>
      <c r="I11708" s="1092"/>
    </row>
    <row r="11709" spans="8:9">
      <c r="H11709" s="1092"/>
      <c r="I11709" s="1092"/>
    </row>
    <row r="11710" spans="8:9">
      <c r="H11710" s="1092"/>
      <c r="I11710" s="1092"/>
    </row>
    <row r="11711" spans="8:9">
      <c r="H11711" s="1092"/>
      <c r="I11711" s="1092"/>
    </row>
    <row r="11712" spans="8:9">
      <c r="H11712" s="1092"/>
      <c r="I11712" s="1092"/>
    </row>
    <row r="11713" spans="8:9">
      <c r="H11713" s="1092"/>
      <c r="I11713" s="1092"/>
    </row>
    <row r="11714" spans="8:9">
      <c r="H11714" s="1092"/>
      <c r="I11714" s="1092"/>
    </row>
    <row r="11715" spans="8:9">
      <c r="H11715" s="1092"/>
      <c r="I11715" s="1092"/>
    </row>
    <row r="11716" spans="8:9">
      <c r="H11716" s="1092"/>
      <c r="I11716" s="1092"/>
    </row>
    <row r="11717" spans="8:9">
      <c r="H11717" s="1092"/>
      <c r="I11717" s="1092"/>
    </row>
    <row r="11718" spans="8:9">
      <c r="H11718" s="1092"/>
      <c r="I11718" s="1092"/>
    </row>
    <row r="11719" spans="8:9">
      <c r="H11719" s="1092"/>
      <c r="I11719" s="1092"/>
    </row>
    <row r="11720" spans="8:9">
      <c r="H11720" s="1092"/>
      <c r="I11720" s="1092"/>
    </row>
    <row r="11721" spans="8:9">
      <c r="H11721" s="1092"/>
      <c r="I11721" s="1092"/>
    </row>
    <row r="11722" spans="8:9">
      <c r="H11722" s="1092"/>
      <c r="I11722" s="1092"/>
    </row>
    <row r="11723" spans="8:9">
      <c r="H11723" s="1092"/>
      <c r="I11723" s="1092"/>
    </row>
    <row r="11724" spans="8:9">
      <c r="H11724" s="1092"/>
      <c r="I11724" s="1092"/>
    </row>
    <row r="11725" spans="8:9">
      <c r="H11725" s="1092"/>
      <c r="I11725" s="1092"/>
    </row>
    <row r="11726" spans="8:9">
      <c r="H11726" s="1092"/>
      <c r="I11726" s="1092"/>
    </row>
    <row r="11727" spans="8:9">
      <c r="H11727" s="1092"/>
      <c r="I11727" s="1092"/>
    </row>
    <row r="11728" spans="8:9">
      <c r="H11728" s="1092"/>
      <c r="I11728" s="1092"/>
    </row>
    <row r="11729" spans="8:9">
      <c r="H11729" s="1092"/>
      <c r="I11729" s="1092"/>
    </row>
    <row r="11730" spans="8:9">
      <c r="H11730" s="1092"/>
      <c r="I11730" s="1092"/>
    </row>
    <row r="11731" spans="8:9">
      <c r="H11731" s="1092"/>
      <c r="I11731" s="1092"/>
    </row>
    <row r="11732" spans="8:9">
      <c r="H11732" s="1092"/>
      <c r="I11732" s="1092"/>
    </row>
    <row r="11733" spans="8:9">
      <c r="H11733" s="1092"/>
      <c r="I11733" s="1092"/>
    </row>
    <row r="11734" spans="8:9">
      <c r="H11734" s="1092"/>
      <c r="I11734" s="1092"/>
    </row>
    <row r="11735" spans="8:9">
      <c r="H11735" s="1092"/>
      <c r="I11735" s="1092"/>
    </row>
    <row r="11736" spans="8:9">
      <c r="H11736" s="1092"/>
      <c r="I11736" s="1092"/>
    </row>
    <row r="11737" spans="8:9">
      <c r="H11737" s="1092"/>
      <c r="I11737" s="1092"/>
    </row>
    <row r="11738" spans="8:9">
      <c r="H11738" s="1092"/>
      <c r="I11738" s="1092"/>
    </row>
    <row r="11739" spans="8:9">
      <c r="H11739" s="1092"/>
      <c r="I11739" s="1092"/>
    </row>
    <row r="11740" spans="8:9">
      <c r="H11740" s="1092"/>
      <c r="I11740" s="1092"/>
    </row>
    <row r="11741" spans="8:9">
      <c r="H11741" s="1092"/>
      <c r="I11741" s="1092"/>
    </row>
    <row r="11742" spans="8:9">
      <c r="H11742" s="1092"/>
      <c r="I11742" s="1092"/>
    </row>
    <row r="11743" spans="8:9">
      <c r="H11743" s="1092"/>
      <c r="I11743" s="1092"/>
    </row>
    <row r="11744" spans="8:9">
      <c r="H11744" s="1092"/>
      <c r="I11744" s="1092"/>
    </row>
    <row r="11745" spans="8:9">
      <c r="H11745" s="1092"/>
      <c r="I11745" s="1092"/>
    </row>
    <row r="11746" spans="8:9">
      <c r="H11746" s="1092"/>
      <c r="I11746" s="1092"/>
    </row>
    <row r="11747" spans="8:9">
      <c r="H11747" s="1092"/>
      <c r="I11747" s="1092"/>
    </row>
    <row r="11748" spans="8:9">
      <c r="H11748" s="1092"/>
      <c r="I11748" s="1092"/>
    </row>
    <row r="11749" spans="8:9">
      <c r="H11749" s="1092"/>
      <c r="I11749" s="1092"/>
    </row>
    <row r="11750" spans="8:9">
      <c r="H11750" s="1092"/>
      <c r="I11750" s="1092"/>
    </row>
    <row r="11751" spans="8:9">
      <c r="H11751" s="1092"/>
      <c r="I11751" s="1092"/>
    </row>
    <row r="11752" spans="8:9">
      <c r="H11752" s="1092"/>
      <c r="I11752" s="1092"/>
    </row>
    <row r="11753" spans="8:9">
      <c r="H11753" s="1092"/>
      <c r="I11753" s="1092"/>
    </row>
    <row r="11754" spans="8:9">
      <c r="H11754" s="1092"/>
      <c r="I11754" s="1092"/>
    </row>
    <row r="11755" spans="8:9">
      <c r="H11755" s="1092"/>
      <c r="I11755" s="1092"/>
    </row>
    <row r="11756" spans="8:9">
      <c r="H11756" s="1092"/>
      <c r="I11756" s="1092"/>
    </row>
    <row r="11757" spans="8:9">
      <c r="H11757" s="1092"/>
      <c r="I11757" s="1092"/>
    </row>
    <row r="11758" spans="8:9">
      <c r="H11758" s="1092"/>
      <c r="I11758" s="1092"/>
    </row>
    <row r="11759" spans="8:9">
      <c r="H11759" s="1092"/>
      <c r="I11759" s="1092"/>
    </row>
    <row r="11760" spans="8:9">
      <c r="H11760" s="1092"/>
      <c r="I11760" s="1092"/>
    </row>
    <row r="11761" spans="8:9">
      <c r="H11761" s="1092"/>
      <c r="I11761" s="1092"/>
    </row>
    <row r="11762" spans="8:9">
      <c r="H11762" s="1092"/>
      <c r="I11762" s="1092"/>
    </row>
    <row r="11763" spans="8:9">
      <c r="H11763" s="1092"/>
      <c r="I11763" s="1092"/>
    </row>
    <row r="11764" spans="8:9">
      <c r="H11764" s="1092"/>
      <c r="I11764" s="1092"/>
    </row>
    <row r="11765" spans="8:9">
      <c r="H11765" s="1092"/>
      <c r="I11765" s="1092"/>
    </row>
    <row r="11766" spans="8:9">
      <c r="H11766" s="1092"/>
      <c r="I11766" s="1092"/>
    </row>
    <row r="11767" spans="8:9">
      <c r="H11767" s="1092"/>
      <c r="I11767" s="1092"/>
    </row>
    <row r="11768" spans="8:9">
      <c r="H11768" s="1092"/>
      <c r="I11768" s="1092"/>
    </row>
    <row r="11769" spans="8:9">
      <c r="H11769" s="1092"/>
      <c r="I11769" s="1092"/>
    </row>
    <row r="11770" spans="8:9">
      <c r="H11770" s="1092"/>
      <c r="I11770" s="1092"/>
    </row>
    <row r="11771" spans="8:9">
      <c r="H11771" s="1092"/>
      <c r="I11771" s="1092"/>
    </row>
    <row r="11772" spans="8:9">
      <c r="H11772" s="1092"/>
      <c r="I11772" s="1092"/>
    </row>
    <row r="11773" spans="8:9">
      <c r="H11773" s="1092"/>
      <c r="I11773" s="1092"/>
    </row>
    <row r="11774" spans="8:9">
      <c r="H11774" s="1092"/>
      <c r="I11774" s="1092"/>
    </row>
    <row r="11775" spans="8:9">
      <c r="H11775" s="1092"/>
      <c r="I11775" s="1092"/>
    </row>
    <row r="11776" spans="8:9">
      <c r="H11776" s="1092"/>
      <c r="I11776" s="1092"/>
    </row>
    <row r="11777" spans="8:9">
      <c r="H11777" s="1092"/>
      <c r="I11777" s="1092"/>
    </row>
    <row r="11778" spans="8:9">
      <c r="H11778" s="1092"/>
      <c r="I11778" s="1092"/>
    </row>
    <row r="11779" spans="8:9">
      <c r="H11779" s="1092"/>
      <c r="I11779" s="1092"/>
    </row>
    <row r="11780" spans="8:9">
      <c r="H11780" s="1092"/>
      <c r="I11780" s="1092"/>
    </row>
    <row r="11781" spans="8:9">
      <c r="H11781" s="1092"/>
      <c r="I11781" s="1092"/>
    </row>
    <row r="11782" spans="8:9">
      <c r="H11782" s="1092"/>
      <c r="I11782" s="1092"/>
    </row>
    <row r="11783" spans="8:9">
      <c r="H11783" s="1092"/>
      <c r="I11783" s="1092"/>
    </row>
    <row r="11784" spans="8:9">
      <c r="H11784" s="1092"/>
      <c r="I11784" s="1092"/>
    </row>
    <row r="11785" spans="8:9">
      <c r="H11785" s="1092"/>
      <c r="I11785" s="1092"/>
    </row>
    <row r="11786" spans="8:9">
      <c r="H11786" s="1092"/>
      <c r="I11786" s="1092"/>
    </row>
    <row r="11787" spans="8:9">
      <c r="H11787" s="1092"/>
      <c r="I11787" s="1092"/>
    </row>
    <row r="11788" spans="8:9">
      <c r="H11788" s="1092"/>
      <c r="I11788" s="1092"/>
    </row>
    <row r="11789" spans="8:9">
      <c r="H11789" s="1092"/>
      <c r="I11789" s="1092"/>
    </row>
    <row r="11790" spans="8:9">
      <c r="H11790" s="1092"/>
      <c r="I11790" s="1092"/>
    </row>
    <row r="11791" spans="8:9">
      <c r="H11791" s="1092"/>
      <c r="I11791" s="1092"/>
    </row>
    <row r="11792" spans="8:9">
      <c r="H11792" s="1092"/>
      <c r="I11792" s="1092"/>
    </row>
    <row r="11793" spans="8:9">
      <c r="H11793" s="1092"/>
      <c r="I11793" s="1092"/>
    </row>
    <row r="11794" spans="8:9">
      <c r="H11794" s="1092"/>
      <c r="I11794" s="1092"/>
    </row>
    <row r="11795" spans="8:9">
      <c r="H11795" s="1092"/>
      <c r="I11795" s="1092"/>
    </row>
    <row r="11796" spans="8:9">
      <c r="H11796" s="1092"/>
      <c r="I11796" s="1092"/>
    </row>
    <row r="11797" spans="8:9">
      <c r="H11797" s="1092"/>
      <c r="I11797" s="1092"/>
    </row>
    <row r="11798" spans="8:9">
      <c r="H11798" s="1092"/>
      <c r="I11798" s="1092"/>
    </row>
    <row r="11799" spans="8:9">
      <c r="H11799" s="1092"/>
      <c r="I11799" s="1092"/>
    </row>
    <row r="11800" spans="8:9">
      <c r="H11800" s="1092"/>
      <c r="I11800" s="1092"/>
    </row>
    <row r="11801" spans="8:9">
      <c r="H11801" s="1092"/>
      <c r="I11801" s="1092"/>
    </row>
    <row r="11802" spans="8:9">
      <c r="H11802" s="1092"/>
      <c r="I11802" s="1092"/>
    </row>
    <row r="11803" spans="8:9">
      <c r="H11803" s="1092"/>
      <c r="I11803" s="1092"/>
    </row>
    <row r="11804" spans="8:9">
      <c r="H11804" s="1092"/>
      <c r="I11804" s="1092"/>
    </row>
    <row r="11805" spans="8:9">
      <c r="H11805" s="1092"/>
      <c r="I11805" s="1092"/>
    </row>
    <row r="11806" spans="8:9">
      <c r="H11806" s="1092"/>
      <c r="I11806" s="1092"/>
    </row>
    <row r="11807" spans="8:9">
      <c r="H11807" s="1092"/>
      <c r="I11807" s="1092"/>
    </row>
    <row r="11808" spans="8:9">
      <c r="H11808" s="1092"/>
      <c r="I11808" s="1092"/>
    </row>
    <row r="11809" spans="8:9">
      <c r="H11809" s="1092"/>
      <c r="I11809" s="1092"/>
    </row>
    <row r="11810" spans="8:9">
      <c r="H11810" s="1092"/>
      <c r="I11810" s="1092"/>
    </row>
    <row r="11811" spans="8:9">
      <c r="H11811" s="1092"/>
      <c r="I11811" s="1092"/>
    </row>
    <row r="11812" spans="8:9">
      <c r="H11812" s="1092"/>
      <c r="I11812" s="1092"/>
    </row>
    <row r="11813" spans="8:9">
      <c r="H11813" s="1092"/>
      <c r="I11813" s="1092"/>
    </row>
    <row r="11814" spans="8:9">
      <c r="H11814" s="1092"/>
      <c r="I11814" s="1092"/>
    </row>
    <row r="11815" spans="8:9">
      <c r="H11815" s="1092"/>
      <c r="I11815" s="1092"/>
    </row>
    <row r="11816" spans="8:9">
      <c r="H11816" s="1092"/>
      <c r="I11816" s="1092"/>
    </row>
    <row r="11817" spans="8:9">
      <c r="H11817" s="1092"/>
      <c r="I11817" s="1092"/>
    </row>
    <row r="11818" spans="8:9">
      <c r="H11818" s="1092"/>
      <c r="I11818" s="1092"/>
    </row>
    <row r="11819" spans="8:9">
      <c r="H11819" s="1092"/>
      <c r="I11819" s="1092"/>
    </row>
    <row r="11820" spans="8:9">
      <c r="H11820" s="1092"/>
      <c r="I11820" s="1092"/>
    </row>
    <row r="11821" spans="8:9">
      <c r="H11821" s="1092"/>
      <c r="I11821" s="1092"/>
    </row>
    <row r="11822" spans="8:9">
      <c r="H11822" s="1092"/>
      <c r="I11822" s="1092"/>
    </row>
    <row r="11823" spans="8:9">
      <c r="H11823" s="1092"/>
      <c r="I11823" s="1092"/>
    </row>
    <row r="11824" spans="8:9">
      <c r="H11824" s="1092"/>
      <c r="I11824" s="1092"/>
    </row>
    <row r="11825" spans="8:9">
      <c r="H11825" s="1092"/>
      <c r="I11825" s="1092"/>
    </row>
    <row r="11826" spans="8:9">
      <c r="H11826" s="1092"/>
      <c r="I11826" s="1092"/>
    </row>
    <row r="11827" spans="8:9">
      <c r="H11827" s="1092"/>
      <c r="I11827" s="1092"/>
    </row>
    <row r="11828" spans="8:9">
      <c r="H11828" s="1092"/>
      <c r="I11828" s="1092"/>
    </row>
    <row r="11829" spans="8:9">
      <c r="H11829" s="1092"/>
      <c r="I11829" s="1092"/>
    </row>
    <row r="11830" spans="8:9">
      <c r="H11830" s="1092"/>
      <c r="I11830" s="1092"/>
    </row>
    <row r="11831" spans="8:9">
      <c r="H11831" s="1092"/>
      <c r="I11831" s="1092"/>
    </row>
    <row r="11832" spans="8:9">
      <c r="H11832" s="1092"/>
      <c r="I11832" s="1092"/>
    </row>
    <row r="11833" spans="8:9">
      <c r="H11833" s="1092"/>
      <c r="I11833" s="1092"/>
    </row>
    <row r="11834" spans="8:9">
      <c r="H11834" s="1092"/>
      <c r="I11834" s="1092"/>
    </row>
    <row r="11835" spans="8:9">
      <c r="H11835" s="1092"/>
      <c r="I11835" s="1092"/>
    </row>
    <row r="11836" spans="8:9">
      <c r="H11836" s="1092"/>
      <c r="I11836" s="1092"/>
    </row>
    <row r="11837" spans="8:9">
      <c r="H11837" s="1092"/>
      <c r="I11837" s="1092"/>
    </row>
    <row r="11838" spans="8:9">
      <c r="H11838" s="1092"/>
      <c r="I11838" s="1092"/>
    </row>
    <row r="11839" spans="8:9">
      <c r="H11839" s="1092"/>
      <c r="I11839" s="1092"/>
    </row>
    <row r="11840" spans="8:9">
      <c r="H11840" s="1092"/>
      <c r="I11840" s="1092"/>
    </row>
    <row r="11841" spans="8:9">
      <c r="H11841" s="1092"/>
      <c r="I11841" s="1092"/>
    </row>
    <row r="11842" spans="8:9">
      <c r="H11842" s="1092"/>
      <c r="I11842" s="1092"/>
    </row>
    <row r="11843" spans="8:9">
      <c r="H11843" s="1092"/>
      <c r="I11843" s="1092"/>
    </row>
    <row r="11844" spans="8:9">
      <c r="H11844" s="1092"/>
      <c r="I11844" s="1092"/>
    </row>
    <row r="11845" spans="8:9">
      <c r="H11845" s="1092"/>
      <c r="I11845" s="1092"/>
    </row>
    <row r="11846" spans="8:9">
      <c r="H11846" s="1092"/>
      <c r="I11846" s="1092"/>
    </row>
    <row r="11847" spans="8:9">
      <c r="H11847" s="1092"/>
      <c r="I11847" s="1092"/>
    </row>
    <row r="11848" spans="8:9">
      <c r="H11848" s="1092"/>
      <c r="I11848" s="1092"/>
    </row>
    <row r="11849" spans="8:9">
      <c r="H11849" s="1092"/>
      <c r="I11849" s="1092"/>
    </row>
    <row r="11850" spans="8:9">
      <c r="H11850" s="1092"/>
      <c r="I11850" s="1092"/>
    </row>
    <row r="11851" spans="8:9">
      <c r="H11851" s="1092"/>
      <c r="I11851" s="1092"/>
    </row>
    <row r="11852" spans="8:9">
      <c r="H11852" s="1092"/>
      <c r="I11852" s="1092"/>
    </row>
    <row r="11853" spans="8:9">
      <c r="H11853" s="1092"/>
      <c r="I11853" s="1092"/>
    </row>
    <row r="11854" spans="8:9">
      <c r="H11854" s="1092"/>
      <c r="I11854" s="1092"/>
    </row>
    <row r="11855" spans="8:9">
      <c r="H11855" s="1092"/>
      <c r="I11855" s="1092"/>
    </row>
    <row r="11856" spans="8:9">
      <c r="H11856" s="1092"/>
      <c r="I11856" s="1092"/>
    </row>
    <row r="11857" spans="8:9">
      <c r="H11857" s="1092"/>
      <c r="I11857" s="1092"/>
    </row>
    <row r="11858" spans="8:9">
      <c r="H11858" s="1092"/>
      <c r="I11858" s="1092"/>
    </row>
    <row r="11859" spans="8:9">
      <c r="H11859" s="1092"/>
      <c r="I11859" s="1092"/>
    </row>
    <row r="11860" spans="8:9">
      <c r="H11860" s="1092"/>
      <c r="I11860" s="1092"/>
    </row>
    <row r="11861" spans="8:9">
      <c r="H11861" s="1092"/>
      <c r="I11861" s="1092"/>
    </row>
    <row r="11862" spans="8:9">
      <c r="H11862" s="1092"/>
      <c r="I11862" s="1092"/>
    </row>
    <row r="11863" spans="8:9">
      <c r="H11863" s="1092"/>
      <c r="I11863" s="1092"/>
    </row>
    <row r="11864" spans="8:9">
      <c r="H11864" s="1092"/>
      <c r="I11864" s="1092"/>
    </row>
    <row r="11865" spans="8:9">
      <c r="H11865" s="1092"/>
      <c r="I11865" s="1092"/>
    </row>
    <row r="11866" spans="8:9">
      <c r="H11866" s="1092"/>
      <c r="I11866" s="1092"/>
    </row>
    <row r="11867" spans="8:9">
      <c r="H11867" s="1092"/>
      <c r="I11867" s="1092"/>
    </row>
    <row r="11868" spans="8:9">
      <c r="H11868" s="1092"/>
      <c r="I11868" s="1092"/>
    </row>
    <row r="11869" spans="8:9">
      <c r="H11869" s="1092"/>
      <c r="I11869" s="1092"/>
    </row>
    <row r="11870" spans="8:9">
      <c r="H11870" s="1092"/>
      <c r="I11870" s="1092"/>
    </row>
    <row r="11871" spans="8:9">
      <c r="H11871" s="1092"/>
      <c r="I11871" s="1092"/>
    </row>
    <row r="11872" spans="8:9">
      <c r="H11872" s="1092"/>
      <c r="I11872" s="1092"/>
    </row>
    <row r="11873" spans="8:9">
      <c r="H11873" s="1092"/>
      <c r="I11873" s="1092"/>
    </row>
    <row r="11874" spans="8:9">
      <c r="H11874" s="1092"/>
      <c r="I11874" s="1092"/>
    </row>
    <row r="11875" spans="8:9">
      <c r="H11875" s="1092"/>
      <c r="I11875" s="1092"/>
    </row>
    <row r="11876" spans="8:9">
      <c r="H11876" s="1092"/>
      <c r="I11876" s="1092"/>
    </row>
    <row r="11877" spans="8:9">
      <c r="H11877" s="1092"/>
      <c r="I11877" s="1092"/>
    </row>
    <row r="11878" spans="8:9">
      <c r="H11878" s="1092"/>
      <c r="I11878" s="1092"/>
    </row>
    <row r="11879" spans="8:9">
      <c r="H11879" s="1092"/>
      <c r="I11879" s="1092"/>
    </row>
    <row r="11880" spans="8:9">
      <c r="H11880" s="1092"/>
      <c r="I11880" s="1092"/>
    </row>
    <row r="11881" spans="8:9">
      <c r="H11881" s="1092"/>
      <c r="I11881" s="1092"/>
    </row>
    <row r="11882" spans="8:9">
      <c r="H11882" s="1092"/>
      <c r="I11882" s="1092"/>
    </row>
    <row r="11883" spans="8:9">
      <c r="H11883" s="1092"/>
      <c r="I11883" s="1092"/>
    </row>
    <row r="11884" spans="8:9">
      <c r="H11884" s="1092"/>
      <c r="I11884" s="1092"/>
    </row>
    <row r="11885" spans="8:9">
      <c r="H11885" s="1092"/>
      <c r="I11885" s="1092"/>
    </row>
    <row r="11886" spans="8:9">
      <c r="H11886" s="1092"/>
      <c r="I11886" s="1092"/>
    </row>
    <row r="11887" spans="8:9">
      <c r="H11887" s="1092"/>
      <c r="I11887" s="1092"/>
    </row>
    <row r="11888" spans="8:9">
      <c r="H11888" s="1092"/>
      <c r="I11888" s="1092"/>
    </row>
    <row r="11889" spans="8:9">
      <c r="H11889" s="1092"/>
      <c r="I11889" s="1092"/>
    </row>
    <row r="11890" spans="8:9">
      <c r="H11890" s="1092"/>
      <c r="I11890" s="1092"/>
    </row>
    <row r="11891" spans="8:9">
      <c r="H11891" s="1092"/>
      <c r="I11891" s="1092"/>
    </row>
    <row r="11892" spans="8:9">
      <c r="H11892" s="1092"/>
      <c r="I11892" s="1092"/>
    </row>
    <row r="11893" spans="8:9">
      <c r="H11893" s="1092"/>
      <c r="I11893" s="1092"/>
    </row>
    <row r="11894" spans="8:9">
      <c r="H11894" s="1092"/>
      <c r="I11894" s="1092"/>
    </row>
    <row r="11895" spans="8:9">
      <c r="H11895" s="1092"/>
      <c r="I11895" s="1092"/>
    </row>
    <row r="11896" spans="8:9">
      <c r="H11896" s="1092"/>
      <c r="I11896" s="1092"/>
    </row>
    <row r="11897" spans="8:9">
      <c r="H11897" s="1092"/>
      <c r="I11897" s="1092"/>
    </row>
    <row r="11898" spans="8:9">
      <c r="H11898" s="1092"/>
      <c r="I11898" s="1092"/>
    </row>
    <row r="11899" spans="8:9">
      <c r="H11899" s="1092"/>
      <c r="I11899" s="1092"/>
    </row>
    <row r="11900" spans="8:9">
      <c r="H11900" s="1092"/>
      <c r="I11900" s="1092"/>
    </row>
    <row r="11901" spans="8:9">
      <c r="H11901" s="1092"/>
      <c r="I11901" s="1092"/>
    </row>
    <row r="11902" spans="8:9">
      <c r="H11902" s="1092"/>
      <c r="I11902" s="1092"/>
    </row>
    <row r="11903" spans="8:9">
      <c r="H11903" s="1092"/>
      <c r="I11903" s="1092"/>
    </row>
    <row r="11904" spans="8:9">
      <c r="H11904" s="1092"/>
      <c r="I11904" s="1092"/>
    </row>
    <row r="11905" spans="8:9">
      <c r="H11905" s="1092"/>
      <c r="I11905" s="1092"/>
    </row>
    <row r="11906" spans="8:9">
      <c r="H11906" s="1092"/>
      <c r="I11906" s="1092"/>
    </row>
    <row r="11907" spans="8:9">
      <c r="H11907" s="1092"/>
      <c r="I11907" s="1092"/>
    </row>
    <row r="11908" spans="8:9">
      <c r="H11908" s="1092"/>
      <c r="I11908" s="1092"/>
    </row>
    <row r="11909" spans="8:9">
      <c r="H11909" s="1092"/>
      <c r="I11909" s="1092"/>
    </row>
    <row r="11910" spans="8:9">
      <c r="H11910" s="1092"/>
      <c r="I11910" s="1092"/>
    </row>
    <row r="11911" spans="8:9">
      <c r="H11911" s="1092"/>
      <c r="I11911" s="1092"/>
    </row>
    <row r="11912" spans="8:9">
      <c r="H11912" s="1092"/>
      <c r="I11912" s="1092"/>
    </row>
    <row r="11913" spans="8:9">
      <c r="H11913" s="1092"/>
      <c r="I11913" s="1092"/>
    </row>
    <row r="11914" spans="8:9">
      <c r="H11914" s="1092"/>
      <c r="I11914" s="1092"/>
    </row>
    <row r="11915" spans="8:9">
      <c r="H11915" s="1092"/>
      <c r="I11915" s="1092"/>
    </row>
    <row r="11916" spans="8:9">
      <c r="H11916" s="1092"/>
      <c r="I11916" s="1092"/>
    </row>
    <row r="11917" spans="8:9">
      <c r="H11917" s="1092"/>
      <c r="I11917" s="1092"/>
    </row>
    <row r="11918" spans="8:9">
      <c r="H11918" s="1092"/>
      <c r="I11918" s="1092"/>
    </row>
    <row r="11919" spans="8:9">
      <c r="H11919" s="1092"/>
      <c r="I11919" s="1092"/>
    </row>
    <row r="11920" spans="8:9">
      <c r="H11920" s="1092"/>
      <c r="I11920" s="1092"/>
    </row>
    <row r="11921" spans="8:9">
      <c r="H11921" s="1092"/>
      <c r="I11921" s="1092"/>
    </row>
    <row r="11922" spans="8:9">
      <c r="H11922" s="1092"/>
      <c r="I11922" s="1092"/>
    </row>
    <row r="11923" spans="8:9">
      <c r="H11923" s="1092"/>
      <c r="I11923" s="1092"/>
    </row>
    <row r="11924" spans="8:9">
      <c r="H11924" s="1092"/>
      <c r="I11924" s="1092"/>
    </row>
    <row r="11925" spans="8:9">
      <c r="H11925" s="1092"/>
      <c r="I11925" s="1092"/>
    </row>
    <row r="11926" spans="8:9">
      <c r="H11926" s="1092"/>
      <c r="I11926" s="1092"/>
    </row>
    <row r="11927" spans="8:9">
      <c r="H11927" s="1092"/>
      <c r="I11927" s="1092"/>
    </row>
    <row r="11928" spans="8:9">
      <c r="H11928" s="1092"/>
      <c r="I11928" s="1092"/>
    </row>
    <row r="11929" spans="8:9">
      <c r="H11929" s="1092"/>
      <c r="I11929" s="1092"/>
    </row>
    <row r="11930" spans="8:9">
      <c r="H11930" s="1092"/>
      <c r="I11930" s="1092"/>
    </row>
    <row r="11931" spans="8:9">
      <c r="H11931" s="1092"/>
      <c r="I11931" s="1092"/>
    </row>
    <row r="11932" spans="8:9">
      <c r="H11932" s="1092"/>
      <c r="I11932" s="1092"/>
    </row>
    <row r="11933" spans="8:9">
      <c r="H11933" s="1092"/>
      <c r="I11933" s="1092"/>
    </row>
    <row r="11934" spans="8:9">
      <c r="H11934" s="1092"/>
      <c r="I11934" s="1092"/>
    </row>
    <row r="11935" spans="8:9">
      <c r="H11935" s="1092"/>
      <c r="I11935" s="1092"/>
    </row>
    <row r="11936" spans="8:9">
      <c r="H11936" s="1092"/>
      <c r="I11936" s="1092"/>
    </row>
    <row r="11937" spans="8:9">
      <c r="H11937" s="1092"/>
      <c r="I11937" s="1092"/>
    </row>
    <row r="11938" spans="8:9">
      <c r="H11938" s="1092"/>
      <c r="I11938" s="1092"/>
    </row>
    <row r="11939" spans="8:9">
      <c r="H11939" s="1092"/>
      <c r="I11939" s="1092"/>
    </row>
    <row r="11940" spans="8:9">
      <c r="H11940" s="1092"/>
      <c r="I11940" s="1092"/>
    </row>
    <row r="11941" spans="8:9">
      <c r="H11941" s="1092"/>
      <c r="I11941" s="1092"/>
    </row>
    <row r="11942" spans="8:9">
      <c r="H11942" s="1092"/>
      <c r="I11942" s="1092"/>
    </row>
    <row r="11943" spans="8:9">
      <c r="H11943" s="1092"/>
      <c r="I11943" s="1092"/>
    </row>
    <row r="11944" spans="8:9">
      <c r="H11944" s="1092"/>
      <c r="I11944" s="1092"/>
    </row>
    <row r="11945" spans="8:9">
      <c r="H11945" s="1092"/>
      <c r="I11945" s="1092"/>
    </row>
    <row r="11946" spans="8:9">
      <c r="H11946" s="1092"/>
      <c r="I11946" s="1092"/>
    </row>
    <row r="11947" spans="8:9">
      <c r="H11947" s="1092"/>
      <c r="I11947" s="1092"/>
    </row>
    <row r="11948" spans="8:9">
      <c r="H11948" s="1092"/>
      <c r="I11948" s="1092"/>
    </row>
    <row r="11949" spans="8:9">
      <c r="H11949" s="1092"/>
      <c r="I11949" s="1092"/>
    </row>
    <row r="11950" spans="8:9">
      <c r="H11950" s="1092"/>
      <c r="I11950" s="1092"/>
    </row>
    <row r="11951" spans="8:9">
      <c r="H11951" s="1092"/>
      <c r="I11951" s="1092"/>
    </row>
    <row r="11952" spans="8:9">
      <c r="H11952" s="1092"/>
      <c r="I11952" s="1092"/>
    </row>
    <row r="11953" spans="8:9">
      <c r="H11953" s="1092"/>
      <c r="I11953" s="1092"/>
    </row>
    <row r="11954" spans="8:9">
      <c r="H11954" s="1092"/>
      <c r="I11954" s="1092"/>
    </row>
    <row r="11955" spans="8:9">
      <c r="H11955" s="1092"/>
      <c r="I11955" s="1092"/>
    </row>
    <row r="11956" spans="8:9">
      <c r="H11956" s="1092"/>
      <c r="I11956" s="1092"/>
    </row>
    <row r="11957" spans="8:9">
      <c r="H11957" s="1092"/>
      <c r="I11957" s="1092"/>
    </row>
    <row r="11958" spans="8:9">
      <c r="H11958" s="1092"/>
      <c r="I11958" s="1092"/>
    </row>
    <row r="11959" spans="8:9">
      <c r="H11959" s="1092"/>
      <c r="I11959" s="1092"/>
    </row>
    <row r="11960" spans="8:9">
      <c r="H11960" s="1092"/>
      <c r="I11960" s="1092"/>
    </row>
    <row r="11961" spans="8:9">
      <c r="H11961" s="1092"/>
      <c r="I11961" s="1092"/>
    </row>
    <row r="11962" spans="8:9">
      <c r="H11962" s="1092"/>
      <c r="I11962" s="1092"/>
    </row>
    <row r="11963" spans="8:9">
      <c r="H11963" s="1092"/>
      <c r="I11963" s="1092"/>
    </row>
    <row r="11964" spans="8:9">
      <c r="H11964" s="1092"/>
      <c r="I11964" s="1092"/>
    </row>
    <row r="11965" spans="8:9">
      <c r="H11965" s="1092"/>
      <c r="I11965" s="1092"/>
    </row>
    <row r="11966" spans="8:9">
      <c r="H11966" s="1092"/>
      <c r="I11966" s="1092"/>
    </row>
    <row r="11967" spans="8:9">
      <c r="H11967" s="1092"/>
      <c r="I11967" s="1092"/>
    </row>
    <row r="11968" spans="8:9">
      <c r="H11968" s="1092"/>
      <c r="I11968" s="1092"/>
    </row>
    <row r="11969" spans="8:9">
      <c r="H11969" s="1092"/>
      <c r="I11969" s="1092"/>
    </row>
    <row r="11970" spans="8:9">
      <c r="H11970" s="1092"/>
      <c r="I11970" s="1092"/>
    </row>
    <row r="11971" spans="8:9">
      <c r="H11971" s="1092"/>
      <c r="I11971" s="1092"/>
    </row>
    <row r="11972" spans="8:9">
      <c r="H11972" s="1092"/>
      <c r="I11972" s="1092"/>
    </row>
    <row r="11973" spans="8:9">
      <c r="H11973" s="1092"/>
      <c r="I11973" s="1092"/>
    </row>
    <row r="11974" spans="8:9">
      <c r="H11974" s="1092"/>
      <c r="I11974" s="1092"/>
    </row>
    <row r="11975" spans="8:9">
      <c r="H11975" s="1092"/>
      <c r="I11975" s="1092"/>
    </row>
    <row r="11976" spans="8:9">
      <c r="H11976" s="1092"/>
      <c r="I11976" s="1092"/>
    </row>
    <row r="11977" spans="8:9">
      <c r="H11977" s="1092"/>
      <c r="I11977" s="1092"/>
    </row>
    <row r="11978" spans="8:9">
      <c r="H11978" s="1092"/>
      <c r="I11978" s="1092"/>
    </row>
    <row r="11979" spans="8:9">
      <c r="H11979" s="1092"/>
      <c r="I11979" s="1092"/>
    </row>
    <row r="11980" spans="8:9">
      <c r="H11980" s="1092"/>
      <c r="I11980" s="1092"/>
    </row>
    <row r="11981" spans="8:9">
      <c r="H11981" s="1092"/>
      <c r="I11981" s="1092"/>
    </row>
    <row r="11982" spans="8:9">
      <c r="H11982" s="1092"/>
      <c r="I11982" s="1092"/>
    </row>
    <row r="11983" spans="8:9">
      <c r="H11983" s="1092"/>
      <c r="I11983" s="1092"/>
    </row>
    <row r="11984" spans="8:9">
      <c r="H11984" s="1092"/>
      <c r="I11984" s="1092"/>
    </row>
    <row r="11985" spans="8:9">
      <c r="H11985" s="1092"/>
      <c r="I11985" s="1092"/>
    </row>
    <row r="11986" spans="8:9">
      <c r="H11986" s="1092"/>
      <c r="I11986" s="1092"/>
    </row>
    <row r="11987" spans="8:9">
      <c r="H11987" s="1092"/>
      <c r="I11987" s="1092"/>
    </row>
    <row r="11988" spans="8:9">
      <c r="H11988" s="1092"/>
      <c r="I11988" s="1092"/>
    </row>
    <row r="11989" spans="8:9">
      <c r="H11989" s="1092"/>
      <c r="I11989" s="1092"/>
    </row>
    <row r="11990" spans="8:9">
      <c r="H11990" s="1092"/>
      <c r="I11990" s="1092"/>
    </row>
    <row r="11991" spans="8:9">
      <c r="H11991" s="1092"/>
      <c r="I11991" s="1092"/>
    </row>
    <row r="11992" spans="8:9">
      <c r="H11992" s="1092"/>
      <c r="I11992" s="1092"/>
    </row>
    <row r="11993" spans="8:9">
      <c r="H11993" s="1092"/>
      <c r="I11993" s="1092"/>
    </row>
    <row r="11994" spans="8:9">
      <c r="H11994" s="1092"/>
      <c r="I11994" s="1092"/>
    </row>
    <row r="11995" spans="8:9">
      <c r="H11995" s="1092"/>
      <c r="I11995" s="1092"/>
    </row>
    <row r="11996" spans="8:9">
      <c r="H11996" s="1092"/>
      <c r="I11996" s="1092"/>
    </row>
    <row r="11997" spans="8:9">
      <c r="H11997" s="1092"/>
      <c r="I11997" s="1092"/>
    </row>
    <row r="11998" spans="8:9">
      <c r="H11998" s="1092"/>
      <c r="I11998" s="1092"/>
    </row>
    <row r="11999" spans="8:9">
      <c r="H11999" s="1092"/>
      <c r="I11999" s="1092"/>
    </row>
    <row r="12000" spans="8:9">
      <c r="H12000" s="1092"/>
      <c r="I12000" s="1092"/>
    </row>
    <row r="12001" spans="8:9">
      <c r="H12001" s="1092"/>
      <c r="I12001" s="1092"/>
    </row>
    <row r="12002" spans="8:9">
      <c r="H12002" s="1092"/>
      <c r="I12002" s="1092"/>
    </row>
    <row r="12003" spans="8:9">
      <c r="H12003" s="1092"/>
      <c r="I12003" s="1092"/>
    </row>
    <row r="12004" spans="8:9">
      <c r="H12004" s="1092"/>
      <c r="I12004" s="1092"/>
    </row>
    <row r="12005" spans="8:9">
      <c r="H12005" s="1092"/>
      <c r="I12005" s="1092"/>
    </row>
    <row r="12006" spans="8:9">
      <c r="H12006" s="1092"/>
      <c r="I12006" s="1092"/>
    </row>
    <row r="12007" spans="8:9">
      <c r="H12007" s="1092"/>
      <c r="I12007" s="1092"/>
    </row>
    <row r="12008" spans="8:9">
      <c r="H12008" s="1092"/>
      <c r="I12008" s="1092"/>
    </row>
    <row r="12009" spans="8:9">
      <c r="H12009" s="1092"/>
      <c r="I12009" s="1092"/>
    </row>
    <row r="12010" spans="8:9">
      <c r="H12010" s="1092"/>
      <c r="I12010" s="1092"/>
    </row>
    <row r="12011" spans="8:9">
      <c r="H12011" s="1092"/>
      <c r="I12011" s="1092"/>
    </row>
    <row r="12012" spans="8:9">
      <c r="H12012" s="1092"/>
      <c r="I12012" s="1092"/>
    </row>
    <row r="12013" spans="8:9">
      <c r="H12013" s="1092"/>
      <c r="I12013" s="1092"/>
    </row>
    <row r="12014" spans="8:9">
      <c r="H12014" s="1092"/>
      <c r="I12014" s="1092"/>
    </row>
    <row r="12015" spans="8:9">
      <c r="H12015" s="1092"/>
      <c r="I12015" s="1092"/>
    </row>
    <row r="12016" spans="8:9">
      <c r="H12016" s="1092"/>
      <c r="I12016" s="1092"/>
    </row>
    <row r="12017" spans="8:9">
      <c r="H12017" s="1092"/>
      <c r="I12017" s="1092"/>
    </row>
    <row r="12018" spans="8:9">
      <c r="H12018" s="1092"/>
      <c r="I12018" s="1092"/>
    </row>
    <row r="12019" spans="8:9">
      <c r="H12019" s="1092"/>
      <c r="I12019" s="1092"/>
    </row>
    <row r="12020" spans="8:9">
      <c r="H12020" s="1092"/>
      <c r="I12020" s="1092"/>
    </row>
    <row r="12021" spans="8:9">
      <c r="H12021" s="1092"/>
      <c r="I12021" s="1092"/>
    </row>
    <row r="12022" spans="8:9">
      <c r="H12022" s="1092"/>
      <c r="I12022" s="1092"/>
    </row>
    <row r="12023" spans="8:9">
      <c r="H12023" s="1092"/>
      <c r="I12023" s="1092"/>
    </row>
    <row r="12024" spans="8:9">
      <c r="H12024" s="1092"/>
      <c r="I12024" s="1092"/>
    </row>
    <row r="12025" spans="8:9">
      <c r="H12025" s="1092"/>
      <c r="I12025" s="1092"/>
    </row>
    <row r="12026" spans="8:9">
      <c r="H12026" s="1092"/>
      <c r="I12026" s="1092"/>
    </row>
    <row r="12027" spans="8:9">
      <c r="H12027" s="1092"/>
      <c r="I12027" s="1092"/>
    </row>
    <row r="12028" spans="8:9">
      <c r="H12028" s="1092"/>
      <c r="I12028" s="1092"/>
    </row>
    <row r="12029" spans="8:9">
      <c r="H12029" s="1092"/>
      <c r="I12029" s="1092"/>
    </row>
    <row r="12030" spans="8:9">
      <c r="H12030" s="1092"/>
      <c r="I12030" s="1092"/>
    </row>
    <row r="12031" spans="8:9">
      <c r="H12031" s="1092"/>
      <c r="I12031" s="1092"/>
    </row>
    <row r="12032" spans="8:9">
      <c r="H12032" s="1092"/>
      <c r="I12032" s="1092"/>
    </row>
    <row r="12033" spans="8:9">
      <c r="H12033" s="1092"/>
      <c r="I12033" s="1092"/>
    </row>
    <row r="12034" spans="8:9">
      <c r="H12034" s="1092"/>
      <c r="I12034" s="1092"/>
    </row>
    <row r="12035" spans="8:9">
      <c r="H12035" s="1092"/>
      <c r="I12035" s="1092"/>
    </row>
    <row r="12036" spans="8:9">
      <c r="H12036" s="1092"/>
      <c r="I12036" s="1092"/>
    </row>
    <row r="12037" spans="8:9">
      <c r="H12037" s="1092"/>
      <c r="I12037" s="1092"/>
    </row>
    <row r="12038" spans="8:9">
      <c r="H12038" s="1092"/>
      <c r="I12038" s="1092"/>
    </row>
    <row r="12039" spans="8:9">
      <c r="H12039" s="1092"/>
      <c r="I12039" s="1092"/>
    </row>
    <row r="12040" spans="8:9">
      <c r="H12040" s="1092"/>
      <c r="I12040" s="1092"/>
    </row>
    <row r="12041" spans="8:9">
      <c r="H12041" s="1092"/>
      <c r="I12041" s="1092"/>
    </row>
    <row r="12042" spans="8:9">
      <c r="H12042" s="1092"/>
      <c r="I12042" s="1092"/>
    </row>
    <row r="12043" spans="8:9">
      <c r="H12043" s="1092"/>
      <c r="I12043" s="1092"/>
    </row>
    <row r="12044" spans="8:9">
      <c r="H12044" s="1092"/>
      <c r="I12044" s="1092"/>
    </row>
    <row r="12045" spans="8:9">
      <c r="H12045" s="1092"/>
      <c r="I12045" s="1092"/>
    </row>
    <row r="12046" spans="8:9">
      <c r="H12046" s="1092"/>
      <c r="I12046" s="1092"/>
    </row>
    <row r="12047" spans="8:9">
      <c r="H12047" s="1092"/>
      <c r="I12047" s="1092"/>
    </row>
    <row r="12048" spans="8:9">
      <c r="H12048" s="1092"/>
      <c r="I12048" s="1092"/>
    </row>
    <row r="12049" spans="8:9">
      <c r="H12049" s="1092"/>
      <c r="I12049" s="1092"/>
    </row>
    <row r="12050" spans="8:9">
      <c r="H12050" s="1092"/>
      <c r="I12050" s="1092"/>
    </row>
    <row r="12051" spans="8:9">
      <c r="H12051" s="1092"/>
      <c r="I12051" s="1092"/>
    </row>
    <row r="12052" spans="8:9">
      <c r="H12052" s="1092"/>
      <c r="I12052" s="1092"/>
    </row>
    <row r="12053" spans="8:9">
      <c r="H12053" s="1092"/>
      <c r="I12053" s="1092"/>
    </row>
    <row r="12054" spans="8:9">
      <c r="H12054" s="1092"/>
      <c r="I12054" s="1092"/>
    </row>
    <row r="12055" spans="8:9">
      <c r="H12055" s="1092"/>
      <c r="I12055" s="1092"/>
    </row>
    <row r="12056" spans="8:9">
      <c r="H12056" s="1092"/>
      <c r="I12056" s="1092"/>
    </row>
    <row r="12057" spans="8:9">
      <c r="H12057" s="1092"/>
      <c r="I12057" s="1092"/>
    </row>
    <row r="12058" spans="8:9">
      <c r="H12058" s="1092"/>
      <c r="I12058" s="1092"/>
    </row>
    <row r="12059" spans="8:9">
      <c r="H12059" s="1092"/>
      <c r="I12059" s="1092"/>
    </row>
    <row r="12060" spans="8:9">
      <c r="H12060" s="1092"/>
      <c r="I12060" s="1092"/>
    </row>
    <row r="12061" spans="8:9">
      <c r="H12061" s="1092"/>
      <c r="I12061" s="1092"/>
    </row>
    <row r="12062" spans="8:9">
      <c r="H12062" s="1092"/>
      <c r="I12062" s="1092"/>
    </row>
    <row r="12063" spans="8:9">
      <c r="H12063" s="1092"/>
      <c r="I12063" s="1092"/>
    </row>
    <row r="12064" spans="8:9">
      <c r="H12064" s="1092"/>
      <c r="I12064" s="1092"/>
    </row>
    <row r="12065" spans="8:9">
      <c r="H12065" s="1092"/>
      <c r="I12065" s="1092"/>
    </row>
    <row r="12066" spans="8:9">
      <c r="H12066" s="1092"/>
      <c r="I12066" s="1092"/>
    </row>
    <row r="12067" spans="8:9">
      <c r="H12067" s="1092"/>
      <c r="I12067" s="1092"/>
    </row>
    <row r="12068" spans="8:9">
      <c r="H12068" s="1092"/>
      <c r="I12068" s="1092"/>
    </row>
    <row r="12069" spans="8:9">
      <c r="H12069" s="1092"/>
      <c r="I12069" s="1092"/>
    </row>
    <row r="12070" spans="8:9">
      <c r="H12070" s="1092"/>
      <c r="I12070" s="1092"/>
    </row>
    <row r="12071" spans="8:9">
      <c r="H12071" s="1092"/>
      <c r="I12071" s="1092"/>
    </row>
    <row r="12072" spans="8:9">
      <c r="H12072" s="1092"/>
      <c r="I12072" s="1092"/>
    </row>
    <row r="12073" spans="8:9">
      <c r="H12073" s="1092"/>
      <c r="I12073" s="1092"/>
    </row>
    <row r="12074" spans="8:9">
      <c r="H12074" s="1092"/>
      <c r="I12074" s="1092"/>
    </row>
    <row r="12075" spans="8:9">
      <c r="H12075" s="1092"/>
      <c r="I12075" s="1092"/>
    </row>
    <row r="12076" spans="8:9">
      <c r="H12076" s="1092"/>
      <c r="I12076" s="1092"/>
    </row>
    <row r="12077" spans="8:9">
      <c r="H12077" s="1092"/>
      <c r="I12077" s="1092"/>
    </row>
    <row r="12078" spans="8:9">
      <c r="H12078" s="1092"/>
      <c r="I12078" s="1092"/>
    </row>
    <row r="12079" spans="8:9">
      <c r="H12079" s="1092"/>
      <c r="I12079" s="1092"/>
    </row>
    <row r="12080" spans="8:9">
      <c r="H12080" s="1092"/>
      <c r="I12080" s="1092"/>
    </row>
    <row r="12081" spans="8:9">
      <c r="H12081" s="1092"/>
      <c r="I12081" s="1092"/>
    </row>
    <row r="12082" spans="8:9">
      <c r="H12082" s="1092"/>
      <c r="I12082" s="1092"/>
    </row>
    <row r="12083" spans="8:9">
      <c r="H12083" s="1092"/>
      <c r="I12083" s="1092"/>
    </row>
    <row r="12084" spans="8:9">
      <c r="H12084" s="1092"/>
      <c r="I12084" s="1092"/>
    </row>
    <row r="12085" spans="8:9">
      <c r="H12085" s="1092"/>
      <c r="I12085" s="1092"/>
    </row>
    <row r="12086" spans="8:9">
      <c r="H12086" s="1092"/>
      <c r="I12086" s="1092"/>
    </row>
    <row r="12087" spans="8:9">
      <c r="H12087" s="1092"/>
      <c r="I12087" s="1092"/>
    </row>
    <row r="12088" spans="8:9">
      <c r="H12088" s="1092"/>
      <c r="I12088" s="1092"/>
    </row>
    <row r="12089" spans="8:9">
      <c r="H12089" s="1092"/>
      <c r="I12089" s="1092"/>
    </row>
    <row r="12090" spans="8:9">
      <c r="H12090" s="1092"/>
      <c r="I12090" s="1092"/>
    </row>
    <row r="12091" spans="8:9">
      <c r="H12091" s="1092"/>
      <c r="I12091" s="1092"/>
    </row>
    <row r="12092" spans="8:9">
      <c r="H12092" s="1092"/>
      <c r="I12092" s="1092"/>
    </row>
    <row r="12093" spans="8:9">
      <c r="H12093" s="1092"/>
      <c r="I12093" s="1092"/>
    </row>
    <row r="12094" spans="8:9">
      <c r="H12094" s="1092"/>
      <c r="I12094" s="1092"/>
    </row>
    <row r="12095" spans="8:9">
      <c r="H12095" s="1092"/>
      <c r="I12095" s="1092"/>
    </row>
    <row r="12096" spans="8:9">
      <c r="H12096" s="1092"/>
      <c r="I12096" s="1092"/>
    </row>
    <row r="12097" spans="8:9">
      <c r="H12097" s="1092"/>
      <c r="I12097" s="1092"/>
    </row>
    <row r="12098" spans="8:9">
      <c r="H12098" s="1092"/>
      <c r="I12098" s="1092"/>
    </row>
    <row r="12099" spans="8:9">
      <c r="H12099" s="1092"/>
      <c r="I12099" s="1092"/>
    </row>
    <row r="12100" spans="8:9">
      <c r="H12100" s="1092"/>
      <c r="I12100" s="1092"/>
    </row>
    <row r="12101" spans="8:9">
      <c r="H12101" s="1092"/>
      <c r="I12101" s="1092"/>
    </row>
    <row r="12102" spans="8:9">
      <c r="H12102" s="1092"/>
      <c r="I12102" s="1092"/>
    </row>
    <row r="12103" spans="8:9">
      <c r="H12103" s="1092"/>
      <c r="I12103" s="1092"/>
    </row>
    <row r="12104" spans="8:9">
      <c r="H12104" s="1092"/>
      <c r="I12104" s="1092"/>
    </row>
    <row r="12105" spans="8:9">
      <c r="H12105" s="1092"/>
      <c r="I12105" s="1092"/>
    </row>
    <row r="12106" spans="8:9">
      <c r="H12106" s="1092"/>
      <c r="I12106" s="1092"/>
    </row>
    <row r="12107" spans="8:9">
      <c r="H12107" s="1092"/>
      <c r="I12107" s="1092"/>
    </row>
    <row r="12108" spans="8:9">
      <c r="H12108" s="1092"/>
      <c r="I12108" s="1092"/>
    </row>
    <row r="12109" spans="8:9">
      <c r="H12109" s="1092"/>
      <c r="I12109" s="1092"/>
    </row>
    <row r="12110" spans="8:9">
      <c r="H12110" s="1092"/>
      <c r="I12110" s="1092"/>
    </row>
    <row r="12111" spans="8:9">
      <c r="H12111" s="1092"/>
      <c r="I12111" s="1092"/>
    </row>
    <row r="12112" spans="8:9">
      <c r="H12112" s="1092"/>
      <c r="I12112" s="1092"/>
    </row>
    <row r="12113" spans="8:9">
      <c r="H12113" s="1092"/>
      <c r="I12113" s="1092"/>
    </row>
    <row r="12114" spans="8:9">
      <c r="H12114" s="1092"/>
      <c r="I12114" s="1092"/>
    </row>
    <row r="12115" spans="8:9">
      <c r="H12115" s="1092"/>
      <c r="I12115" s="1092"/>
    </row>
    <row r="12116" spans="8:9">
      <c r="H12116" s="1092"/>
      <c r="I12116" s="1092"/>
    </row>
    <row r="12117" spans="8:9">
      <c r="H12117" s="1092"/>
      <c r="I12117" s="1092"/>
    </row>
    <row r="12118" spans="8:9">
      <c r="H12118" s="1092"/>
      <c r="I12118" s="1092"/>
    </row>
    <row r="12119" spans="8:9">
      <c r="H12119" s="1092"/>
      <c r="I12119" s="1092"/>
    </row>
    <row r="12120" spans="8:9">
      <c r="H12120" s="1092"/>
      <c r="I12120" s="1092"/>
    </row>
    <row r="12121" spans="8:9">
      <c r="H12121" s="1092"/>
      <c r="I12121" s="1092"/>
    </row>
    <row r="12122" spans="8:9">
      <c r="H12122" s="1092"/>
      <c r="I12122" s="1092"/>
    </row>
    <row r="12123" spans="8:9">
      <c r="H12123" s="1092"/>
      <c r="I12123" s="1092"/>
    </row>
    <row r="12124" spans="8:9">
      <c r="H12124" s="1092"/>
      <c r="I12124" s="1092"/>
    </row>
    <row r="12125" spans="8:9">
      <c r="H12125" s="1092"/>
      <c r="I12125" s="1092"/>
    </row>
    <row r="12126" spans="8:9">
      <c r="H12126" s="1092"/>
      <c r="I12126" s="1092"/>
    </row>
    <row r="12127" spans="8:9">
      <c r="H12127" s="1092"/>
      <c r="I12127" s="1092"/>
    </row>
    <row r="12128" spans="8:9">
      <c r="H12128" s="1092"/>
      <c r="I12128" s="1092"/>
    </row>
    <row r="12129" spans="8:9">
      <c r="H12129" s="1092"/>
      <c r="I12129" s="1092"/>
    </row>
    <row r="12130" spans="8:9">
      <c r="H12130" s="1092"/>
      <c r="I12130" s="1092"/>
    </row>
    <row r="12131" spans="8:9">
      <c r="H12131" s="1092"/>
      <c r="I12131" s="1092"/>
    </row>
    <row r="12132" spans="8:9">
      <c r="H12132" s="1092"/>
      <c r="I12132" s="1092"/>
    </row>
    <row r="12133" spans="8:9">
      <c r="H12133" s="1092"/>
      <c r="I12133" s="1092"/>
    </row>
    <row r="12134" spans="8:9">
      <c r="H12134" s="1092"/>
      <c r="I12134" s="1092"/>
    </row>
    <row r="12135" spans="8:9">
      <c r="H12135" s="1092"/>
      <c r="I12135" s="1092"/>
    </row>
    <row r="12136" spans="8:9">
      <c r="H12136" s="1092"/>
      <c r="I12136" s="1092"/>
    </row>
    <row r="12137" spans="8:9">
      <c r="H12137" s="1092"/>
      <c r="I12137" s="1092"/>
    </row>
    <row r="12138" spans="8:9">
      <c r="H12138" s="1092"/>
      <c r="I12138" s="1092"/>
    </row>
    <row r="12139" spans="8:9">
      <c r="H12139" s="1092"/>
      <c r="I12139" s="1092"/>
    </row>
    <row r="12140" spans="8:9">
      <c r="H12140" s="1092"/>
      <c r="I12140" s="1092"/>
    </row>
    <row r="12141" spans="8:9">
      <c r="H12141" s="1092"/>
      <c r="I12141" s="1092"/>
    </row>
    <row r="12142" spans="8:9">
      <c r="H12142" s="1092"/>
      <c r="I12142" s="1092"/>
    </row>
    <row r="12143" spans="8:9">
      <c r="H12143" s="1092"/>
      <c r="I12143" s="1092"/>
    </row>
    <row r="12144" spans="8:9">
      <c r="H12144" s="1092"/>
      <c r="I12144" s="1092"/>
    </row>
    <row r="12145" spans="8:9">
      <c r="H12145" s="1092"/>
      <c r="I12145" s="1092"/>
    </row>
    <row r="12146" spans="8:9">
      <c r="H12146" s="1092"/>
      <c r="I12146" s="1092"/>
    </row>
    <row r="12147" spans="8:9">
      <c r="H12147" s="1092"/>
      <c r="I12147" s="1092"/>
    </row>
    <row r="12148" spans="8:9">
      <c r="H12148" s="1092"/>
      <c r="I12148" s="1092"/>
    </row>
    <row r="12149" spans="8:9">
      <c r="H12149" s="1092"/>
      <c r="I12149" s="1092"/>
    </row>
    <row r="12150" spans="8:9">
      <c r="H12150" s="1092"/>
      <c r="I12150" s="1092"/>
    </row>
    <row r="12151" spans="8:9">
      <c r="H12151" s="1092"/>
      <c r="I12151" s="1092"/>
    </row>
    <row r="12152" spans="8:9">
      <c r="H12152" s="1092"/>
      <c r="I12152" s="1092"/>
    </row>
    <row r="12153" spans="8:9">
      <c r="H12153" s="1092"/>
      <c r="I12153" s="1092"/>
    </row>
    <row r="12154" spans="8:9">
      <c r="H12154" s="1092"/>
      <c r="I12154" s="1092"/>
    </row>
    <row r="12155" spans="8:9">
      <c r="H12155" s="1092"/>
      <c r="I12155" s="1092"/>
    </row>
    <row r="12156" spans="8:9">
      <c r="H12156" s="1092"/>
      <c r="I12156" s="1092"/>
    </row>
    <row r="12157" spans="8:9">
      <c r="H12157" s="1092"/>
      <c r="I12157" s="1092"/>
    </row>
    <row r="12158" spans="8:9">
      <c r="H12158" s="1092"/>
      <c r="I12158" s="1092"/>
    </row>
    <row r="12159" spans="8:9">
      <c r="H12159" s="1092"/>
      <c r="I12159" s="1092"/>
    </row>
    <row r="12160" spans="8:9">
      <c r="H12160" s="1092"/>
      <c r="I12160" s="1092"/>
    </row>
    <row r="12161" spans="8:9">
      <c r="H12161" s="1092"/>
      <c r="I12161" s="1092"/>
    </row>
    <row r="12162" spans="8:9">
      <c r="H12162" s="1092"/>
      <c r="I12162" s="1092"/>
    </row>
    <row r="12163" spans="8:9">
      <c r="H12163" s="1092"/>
      <c r="I12163" s="1092"/>
    </row>
    <row r="12164" spans="8:9">
      <c r="H12164" s="1092"/>
      <c r="I12164" s="1092"/>
    </row>
    <row r="12165" spans="8:9">
      <c r="H12165" s="1092"/>
      <c r="I12165" s="1092"/>
    </row>
    <row r="12166" spans="8:9">
      <c r="H12166" s="1092"/>
      <c r="I12166" s="1092"/>
    </row>
    <row r="12167" spans="8:9">
      <c r="H12167" s="1092"/>
      <c r="I12167" s="1092"/>
    </row>
    <row r="12168" spans="8:9">
      <c r="H12168" s="1092"/>
      <c r="I12168" s="1092"/>
    </row>
    <row r="12169" spans="8:9">
      <c r="H12169" s="1092"/>
      <c r="I12169" s="1092"/>
    </row>
    <row r="12170" spans="8:9">
      <c r="H12170" s="1092"/>
      <c r="I12170" s="1092"/>
    </row>
    <row r="12171" spans="8:9">
      <c r="H12171" s="1092"/>
      <c r="I12171" s="1092"/>
    </row>
    <row r="12172" spans="8:9">
      <c r="H12172" s="1092"/>
      <c r="I12172" s="1092"/>
    </row>
    <row r="12173" spans="8:9">
      <c r="H12173" s="1092"/>
      <c r="I12173" s="1092"/>
    </row>
    <row r="12174" spans="8:9">
      <c r="H12174" s="1092"/>
      <c r="I12174" s="1092"/>
    </row>
    <row r="12175" spans="8:9">
      <c r="H12175" s="1092"/>
      <c r="I12175" s="1092"/>
    </row>
    <row r="12176" spans="8:9">
      <c r="H12176" s="1092"/>
      <c r="I12176" s="1092"/>
    </row>
    <row r="12177" spans="8:9">
      <c r="H12177" s="1092"/>
      <c r="I12177" s="1092"/>
    </row>
    <row r="12178" spans="8:9">
      <c r="H12178" s="1092"/>
      <c r="I12178" s="1092"/>
    </row>
    <row r="12179" spans="8:9">
      <c r="H12179" s="1092"/>
      <c r="I12179" s="1092"/>
    </row>
    <row r="12180" spans="8:9">
      <c r="H12180" s="1092"/>
      <c r="I12180" s="1092"/>
    </row>
    <row r="12181" spans="8:9">
      <c r="H12181" s="1092"/>
      <c r="I12181" s="1092"/>
    </row>
    <row r="12182" spans="8:9">
      <c r="H12182" s="1092"/>
      <c r="I12182" s="1092"/>
    </row>
    <row r="12183" spans="8:9">
      <c r="H12183" s="1092"/>
      <c r="I12183" s="1092"/>
    </row>
    <row r="12184" spans="8:9">
      <c r="H12184" s="1092"/>
      <c r="I12184" s="1092"/>
    </row>
    <row r="12185" spans="8:9">
      <c r="H12185" s="1092"/>
      <c r="I12185" s="1092"/>
    </row>
    <row r="12186" spans="8:9">
      <c r="H12186" s="1092"/>
      <c r="I12186" s="1092"/>
    </row>
    <row r="12187" spans="8:9">
      <c r="H12187" s="1092"/>
      <c r="I12187" s="1092"/>
    </row>
    <row r="12188" spans="8:9">
      <c r="H12188" s="1092"/>
      <c r="I12188" s="1092"/>
    </row>
    <row r="12189" spans="8:9">
      <c r="H12189" s="1092"/>
      <c r="I12189" s="1092"/>
    </row>
    <row r="12190" spans="8:9">
      <c r="H12190" s="1092"/>
      <c r="I12190" s="1092"/>
    </row>
    <row r="12191" spans="8:9">
      <c r="H12191" s="1092"/>
      <c r="I12191" s="1092"/>
    </row>
    <row r="12192" spans="8:9">
      <c r="H12192" s="1092"/>
      <c r="I12192" s="1092"/>
    </row>
    <row r="12193" spans="8:9">
      <c r="H12193" s="1092"/>
      <c r="I12193" s="1092"/>
    </row>
    <row r="12194" spans="8:9">
      <c r="H12194" s="1092"/>
      <c r="I12194" s="1092"/>
    </row>
    <row r="12195" spans="8:9">
      <c r="H12195" s="1092"/>
      <c r="I12195" s="1092"/>
    </row>
    <row r="12196" spans="8:9">
      <c r="H12196" s="1092"/>
      <c r="I12196" s="1092"/>
    </row>
    <row r="12197" spans="8:9">
      <c r="H12197" s="1092"/>
      <c r="I12197" s="1092"/>
    </row>
    <row r="12198" spans="8:9">
      <c r="H12198" s="1092"/>
      <c r="I12198" s="1092"/>
    </row>
    <row r="12199" spans="8:9">
      <c r="H12199" s="1092"/>
      <c r="I12199" s="1092"/>
    </row>
    <row r="12200" spans="8:9">
      <c r="H12200" s="1092"/>
      <c r="I12200" s="1092"/>
    </row>
    <row r="12201" spans="8:9">
      <c r="H12201" s="1092"/>
      <c r="I12201" s="1092"/>
    </row>
    <row r="12202" spans="8:9">
      <c r="H12202" s="1092"/>
      <c r="I12202" s="1092"/>
    </row>
    <row r="12203" spans="8:9">
      <c r="H12203" s="1092"/>
      <c r="I12203" s="1092"/>
    </row>
    <row r="12204" spans="8:9">
      <c r="H12204" s="1092"/>
      <c r="I12204" s="1092"/>
    </row>
    <row r="12205" spans="8:9">
      <c r="H12205" s="1092"/>
      <c r="I12205" s="1092"/>
    </row>
    <row r="12206" spans="8:9">
      <c r="H12206" s="1092"/>
      <c r="I12206" s="1092"/>
    </row>
    <row r="12207" spans="8:9">
      <c r="H12207" s="1092"/>
      <c r="I12207" s="1092"/>
    </row>
    <row r="12208" spans="8:9">
      <c r="H12208" s="1092"/>
      <c r="I12208" s="1092"/>
    </row>
    <row r="12209" spans="8:9">
      <c r="H12209" s="1092"/>
      <c r="I12209" s="1092"/>
    </row>
    <row r="12210" spans="8:9">
      <c r="H12210" s="1092"/>
      <c r="I12210" s="1092"/>
    </row>
    <row r="12211" spans="8:9">
      <c r="H12211" s="1092"/>
      <c r="I12211" s="1092"/>
    </row>
    <row r="12212" spans="8:9">
      <c r="H12212" s="1092"/>
      <c r="I12212" s="1092"/>
    </row>
    <row r="12213" spans="8:9">
      <c r="H12213" s="1092"/>
      <c r="I12213" s="1092"/>
    </row>
    <row r="12214" spans="8:9">
      <c r="H12214" s="1092"/>
      <c r="I12214" s="1092"/>
    </row>
    <row r="12215" spans="8:9">
      <c r="H12215" s="1092"/>
      <c r="I12215" s="1092"/>
    </row>
    <row r="12216" spans="8:9">
      <c r="H12216" s="1092"/>
      <c r="I12216" s="1092"/>
    </row>
    <row r="12217" spans="8:9">
      <c r="H12217" s="1092"/>
      <c r="I12217" s="1092"/>
    </row>
    <row r="12218" spans="8:9">
      <c r="H12218" s="1092"/>
      <c r="I12218" s="1092"/>
    </row>
    <row r="12219" spans="8:9">
      <c r="H12219" s="1092"/>
      <c r="I12219" s="1092"/>
    </row>
    <row r="12220" spans="8:9">
      <c r="H12220" s="1092"/>
      <c r="I12220" s="1092"/>
    </row>
    <row r="12221" spans="8:9">
      <c r="H12221" s="1092"/>
      <c r="I12221" s="1092"/>
    </row>
    <row r="12222" spans="8:9">
      <c r="H12222" s="1092"/>
      <c r="I12222" s="1092"/>
    </row>
    <row r="12223" spans="8:9">
      <c r="H12223" s="1092"/>
      <c r="I12223" s="1092"/>
    </row>
    <row r="12224" spans="8:9">
      <c r="H12224" s="1092"/>
      <c r="I12224" s="1092"/>
    </row>
    <row r="12225" spans="8:9">
      <c r="H12225" s="1092"/>
      <c r="I12225" s="1092"/>
    </row>
    <row r="12226" spans="8:9">
      <c r="H12226" s="1092"/>
      <c r="I12226" s="1092"/>
    </row>
    <row r="12227" spans="8:9">
      <c r="H12227" s="1092"/>
      <c r="I12227" s="1092"/>
    </row>
    <row r="12228" spans="8:9">
      <c r="H12228" s="1092"/>
      <c r="I12228" s="1092"/>
    </row>
    <row r="12229" spans="8:9">
      <c r="H12229" s="1092"/>
      <c r="I12229" s="1092"/>
    </row>
    <row r="12230" spans="8:9">
      <c r="H12230" s="1092"/>
      <c r="I12230" s="1092"/>
    </row>
    <row r="12231" spans="8:9">
      <c r="H12231" s="1092"/>
      <c r="I12231" s="1092"/>
    </row>
    <row r="12232" spans="8:9">
      <c r="H12232" s="1092"/>
      <c r="I12232" s="1092"/>
    </row>
    <row r="12233" spans="8:9">
      <c r="H12233" s="1092"/>
      <c r="I12233" s="1092"/>
    </row>
    <row r="12234" spans="8:9">
      <c r="H12234" s="1092"/>
      <c r="I12234" s="1092"/>
    </row>
    <row r="12235" spans="8:9">
      <c r="H12235" s="1092"/>
      <c r="I12235" s="1092"/>
    </row>
    <row r="12236" spans="8:9">
      <c r="H12236" s="1092"/>
      <c r="I12236" s="1092"/>
    </row>
    <row r="12237" spans="8:9">
      <c r="H12237" s="1092"/>
      <c r="I12237" s="1092"/>
    </row>
    <row r="12238" spans="8:9">
      <c r="H12238" s="1092"/>
      <c r="I12238" s="1092"/>
    </row>
    <row r="12239" spans="8:9">
      <c r="H12239" s="1092"/>
      <c r="I12239" s="1092"/>
    </row>
    <row r="12240" spans="8:9">
      <c r="H12240" s="1092"/>
      <c r="I12240" s="1092"/>
    </row>
    <row r="12241" spans="8:9">
      <c r="H12241" s="1092"/>
      <c r="I12241" s="1092"/>
    </row>
    <row r="12242" spans="8:9">
      <c r="H12242" s="1092"/>
      <c r="I12242" s="1092"/>
    </row>
    <row r="12243" spans="8:9">
      <c r="H12243" s="1092"/>
      <c r="I12243" s="1092"/>
    </row>
    <row r="12244" spans="8:9">
      <c r="H12244" s="1092"/>
      <c r="I12244" s="1092"/>
    </row>
    <row r="12245" spans="8:9">
      <c r="H12245" s="1092"/>
      <c r="I12245" s="1092"/>
    </row>
    <row r="12246" spans="8:9">
      <c r="H12246" s="1092"/>
      <c r="I12246" s="1092"/>
    </row>
    <row r="12247" spans="8:9">
      <c r="H12247" s="1092"/>
      <c r="I12247" s="1092"/>
    </row>
    <row r="12248" spans="8:9">
      <c r="H12248" s="1092"/>
      <c r="I12248" s="1092"/>
    </row>
    <row r="12249" spans="8:9">
      <c r="H12249" s="1092"/>
      <c r="I12249" s="1092"/>
    </row>
    <row r="12250" spans="8:9">
      <c r="H12250" s="1092"/>
      <c r="I12250" s="1092"/>
    </row>
    <row r="12251" spans="8:9">
      <c r="H12251" s="1092"/>
      <c r="I12251" s="1092"/>
    </row>
    <row r="12252" spans="8:9">
      <c r="H12252" s="1092"/>
      <c r="I12252" s="1092"/>
    </row>
    <row r="12253" spans="8:9">
      <c r="H12253" s="1092"/>
      <c r="I12253" s="1092"/>
    </row>
    <row r="12254" spans="8:9">
      <c r="H12254" s="1092"/>
      <c r="I12254" s="1092"/>
    </row>
    <row r="12255" spans="8:9">
      <c r="H12255" s="1092"/>
      <c r="I12255" s="1092"/>
    </row>
    <row r="12256" spans="8:9">
      <c r="H12256" s="1092"/>
      <c r="I12256" s="1092"/>
    </row>
    <row r="12257" spans="8:9">
      <c r="H12257" s="1092"/>
      <c r="I12257" s="1092"/>
    </row>
    <row r="12258" spans="8:9">
      <c r="H12258" s="1092"/>
      <c r="I12258" s="1092"/>
    </row>
    <row r="12259" spans="8:9">
      <c r="H12259" s="1092"/>
      <c r="I12259" s="1092"/>
    </row>
    <row r="12260" spans="8:9">
      <c r="H12260" s="1092"/>
      <c r="I12260" s="1092"/>
    </row>
    <row r="12261" spans="8:9">
      <c r="H12261" s="1092"/>
      <c r="I12261" s="1092"/>
    </row>
    <row r="12262" spans="8:9">
      <c r="H12262" s="1092"/>
      <c r="I12262" s="1092"/>
    </row>
    <row r="12263" spans="8:9">
      <c r="H12263" s="1092"/>
      <c r="I12263" s="1092"/>
    </row>
    <row r="12264" spans="8:9">
      <c r="H12264" s="1092"/>
      <c r="I12264" s="1092"/>
    </row>
    <row r="12265" spans="8:9">
      <c r="H12265" s="1092"/>
      <c r="I12265" s="1092"/>
    </row>
    <row r="12266" spans="8:9">
      <c r="H12266" s="1092"/>
      <c r="I12266" s="1092"/>
    </row>
    <row r="12267" spans="8:9">
      <c r="H12267" s="1092"/>
      <c r="I12267" s="1092"/>
    </row>
    <row r="12268" spans="8:9">
      <c r="H12268" s="1092"/>
      <c r="I12268" s="1092"/>
    </row>
    <row r="12269" spans="8:9">
      <c r="H12269" s="1092"/>
      <c r="I12269" s="1092"/>
    </row>
    <row r="12270" spans="8:9">
      <c r="H12270" s="1092"/>
      <c r="I12270" s="1092"/>
    </row>
    <row r="12271" spans="8:9">
      <c r="H12271" s="1092"/>
      <c r="I12271" s="1092"/>
    </row>
    <row r="12272" spans="8:9">
      <c r="H12272" s="1092"/>
      <c r="I12272" s="1092"/>
    </row>
    <row r="12273" spans="8:9">
      <c r="H12273" s="1092"/>
      <c r="I12273" s="1092"/>
    </row>
    <row r="12274" spans="8:9">
      <c r="H12274" s="1092"/>
      <c r="I12274" s="1092"/>
    </row>
    <row r="12275" spans="8:9">
      <c r="H12275" s="1092"/>
      <c r="I12275" s="1092"/>
    </row>
    <row r="12276" spans="8:9">
      <c r="H12276" s="1092"/>
      <c r="I12276" s="1092"/>
    </row>
    <row r="12277" spans="8:9">
      <c r="H12277" s="1092"/>
      <c r="I12277" s="1092"/>
    </row>
    <row r="12278" spans="8:9">
      <c r="H12278" s="1092"/>
      <c r="I12278" s="1092"/>
    </row>
    <row r="12279" spans="8:9">
      <c r="H12279" s="1092"/>
      <c r="I12279" s="1092"/>
    </row>
    <row r="12280" spans="8:9">
      <c r="H12280" s="1092"/>
      <c r="I12280" s="1092"/>
    </row>
    <row r="12281" spans="8:9">
      <c r="H12281" s="1092"/>
      <c r="I12281" s="1092"/>
    </row>
    <row r="12282" spans="8:9">
      <c r="H12282" s="1092"/>
      <c r="I12282" s="1092"/>
    </row>
    <row r="12283" spans="8:9">
      <c r="H12283" s="1092"/>
      <c r="I12283" s="1092"/>
    </row>
    <row r="12284" spans="8:9">
      <c r="H12284" s="1092"/>
      <c r="I12284" s="1092"/>
    </row>
    <row r="12285" spans="8:9">
      <c r="H12285" s="1092"/>
      <c r="I12285" s="1092"/>
    </row>
    <row r="12286" spans="8:9">
      <c r="H12286" s="1092"/>
      <c r="I12286" s="1092"/>
    </row>
    <row r="12287" spans="8:9">
      <c r="H12287" s="1092"/>
      <c r="I12287" s="1092"/>
    </row>
    <row r="12288" spans="8:9">
      <c r="H12288" s="1092"/>
      <c r="I12288" s="1092"/>
    </row>
    <row r="12289" spans="8:9">
      <c r="H12289" s="1092"/>
      <c r="I12289" s="1092"/>
    </row>
    <row r="12290" spans="8:9">
      <c r="H12290" s="1092"/>
      <c r="I12290" s="1092"/>
    </row>
    <row r="12291" spans="8:9">
      <c r="H12291" s="1092"/>
      <c r="I12291" s="1092"/>
    </row>
    <row r="12292" spans="8:9">
      <c r="H12292" s="1092"/>
      <c r="I12292" s="1092"/>
    </row>
    <row r="12293" spans="8:9">
      <c r="H12293" s="1092"/>
      <c r="I12293" s="1092"/>
    </row>
    <row r="12294" spans="8:9">
      <c r="H12294" s="1092"/>
      <c r="I12294" s="1092"/>
    </row>
    <row r="12295" spans="8:9">
      <c r="H12295" s="1092"/>
      <c r="I12295" s="1092"/>
    </row>
    <row r="12296" spans="8:9">
      <c r="H12296" s="1092"/>
      <c r="I12296" s="1092"/>
    </row>
    <row r="12297" spans="8:9">
      <c r="H12297" s="1092"/>
      <c r="I12297" s="1092"/>
    </row>
    <row r="12298" spans="8:9">
      <c r="H12298" s="1092"/>
      <c r="I12298" s="1092"/>
    </row>
    <row r="12299" spans="8:9">
      <c r="H12299" s="1092"/>
      <c r="I12299" s="1092"/>
    </row>
    <row r="12300" spans="8:9">
      <c r="H12300" s="1092"/>
      <c r="I12300" s="1092"/>
    </row>
    <row r="12301" spans="8:9">
      <c r="H12301" s="1092"/>
      <c r="I12301" s="1092"/>
    </row>
    <row r="12302" spans="8:9">
      <c r="H12302" s="1092"/>
      <c r="I12302" s="1092"/>
    </row>
    <row r="12303" spans="8:9">
      <c r="H12303" s="1092"/>
      <c r="I12303" s="1092"/>
    </row>
    <row r="12304" spans="8:9">
      <c r="H12304" s="1092"/>
      <c r="I12304" s="1092"/>
    </row>
    <row r="12305" spans="8:9">
      <c r="H12305" s="1092"/>
      <c r="I12305" s="1092"/>
    </row>
    <row r="12306" spans="8:9">
      <c r="H12306" s="1092"/>
      <c r="I12306" s="1092"/>
    </row>
    <row r="12307" spans="8:9">
      <c r="H12307" s="1092"/>
      <c r="I12307" s="1092"/>
    </row>
    <row r="12308" spans="8:9">
      <c r="H12308" s="1092"/>
      <c r="I12308" s="1092"/>
    </row>
    <row r="12309" spans="8:9">
      <c r="H12309" s="1092"/>
      <c r="I12309" s="1092"/>
    </row>
    <row r="12310" spans="8:9">
      <c r="H12310" s="1092"/>
      <c r="I12310" s="1092"/>
    </row>
    <row r="12311" spans="8:9">
      <c r="H12311" s="1092"/>
      <c r="I12311" s="1092"/>
    </row>
    <row r="12312" spans="8:9">
      <c r="H12312" s="1092"/>
      <c r="I12312" s="1092"/>
    </row>
    <row r="12313" spans="8:9">
      <c r="H12313" s="1092"/>
      <c r="I12313" s="1092"/>
    </row>
    <row r="12314" spans="8:9">
      <c r="H12314" s="1092"/>
      <c r="I12314" s="1092"/>
    </row>
    <row r="12315" spans="8:9">
      <c r="H12315" s="1092"/>
      <c r="I12315" s="1092"/>
    </row>
    <row r="12316" spans="8:9">
      <c r="H12316" s="1092"/>
      <c r="I12316" s="1092"/>
    </row>
    <row r="12317" spans="8:9">
      <c r="H12317" s="1092"/>
      <c r="I12317" s="1092"/>
    </row>
    <row r="12318" spans="8:9">
      <c r="H12318" s="1092"/>
      <c r="I12318" s="1092"/>
    </row>
    <row r="12319" spans="8:9">
      <c r="H12319" s="1092"/>
      <c r="I12319" s="1092"/>
    </row>
    <row r="12320" spans="8:9">
      <c r="H12320" s="1092"/>
      <c r="I12320" s="1092"/>
    </row>
    <row r="12321" spans="8:9">
      <c r="H12321" s="1092"/>
      <c r="I12321" s="1092"/>
    </row>
    <row r="12322" spans="8:9">
      <c r="H12322" s="1092"/>
      <c r="I12322" s="1092"/>
    </row>
    <row r="12323" spans="8:9">
      <c r="H12323" s="1092"/>
      <c r="I12323" s="1092"/>
    </row>
    <row r="12324" spans="8:9">
      <c r="H12324" s="1092"/>
      <c r="I12324" s="1092"/>
    </row>
    <row r="12325" spans="8:9">
      <c r="H12325" s="1092"/>
      <c r="I12325" s="1092"/>
    </row>
    <row r="12326" spans="8:9">
      <c r="H12326" s="1092"/>
      <c r="I12326" s="1092"/>
    </row>
    <row r="12327" spans="8:9">
      <c r="H12327" s="1092"/>
      <c r="I12327" s="1092"/>
    </row>
    <row r="12328" spans="8:9">
      <c r="H12328" s="1092"/>
      <c r="I12328" s="1092"/>
    </row>
    <row r="12329" spans="8:9">
      <c r="H12329" s="1092"/>
      <c r="I12329" s="1092"/>
    </row>
    <row r="12330" spans="8:9">
      <c r="H12330" s="1092"/>
      <c r="I12330" s="1092"/>
    </row>
    <row r="12331" spans="8:9">
      <c r="H12331" s="1092"/>
      <c r="I12331" s="1092"/>
    </row>
    <row r="12332" spans="8:9">
      <c r="H12332" s="1092"/>
      <c r="I12332" s="1092"/>
    </row>
    <row r="12333" spans="8:9">
      <c r="H12333" s="1092"/>
      <c r="I12333" s="1092"/>
    </row>
    <row r="12334" spans="8:9">
      <c r="H12334" s="1092"/>
      <c r="I12334" s="1092"/>
    </row>
    <row r="12335" spans="8:9">
      <c r="H12335" s="1092"/>
      <c r="I12335" s="1092"/>
    </row>
    <row r="12336" spans="8:9">
      <c r="H12336" s="1092"/>
      <c r="I12336" s="1092"/>
    </row>
    <row r="12337" spans="8:9">
      <c r="H12337" s="1092"/>
      <c r="I12337" s="1092"/>
    </row>
    <row r="12338" spans="8:9">
      <c r="H12338" s="1092"/>
      <c r="I12338" s="1092"/>
    </row>
    <row r="12339" spans="8:9">
      <c r="H12339" s="1092"/>
      <c r="I12339" s="1092"/>
    </row>
    <row r="12340" spans="8:9">
      <c r="H12340" s="1092"/>
      <c r="I12340" s="1092"/>
    </row>
    <row r="12341" spans="8:9">
      <c r="H12341" s="1092"/>
      <c r="I12341" s="1092"/>
    </row>
    <row r="12342" spans="8:9">
      <c r="H12342" s="1092"/>
      <c r="I12342" s="1092"/>
    </row>
    <row r="12343" spans="8:9">
      <c r="H12343" s="1092"/>
      <c r="I12343" s="1092"/>
    </row>
    <row r="12344" spans="8:9">
      <c r="H12344" s="1092"/>
      <c r="I12344" s="1092"/>
    </row>
    <row r="12345" spans="8:9">
      <c r="H12345" s="1092"/>
      <c r="I12345" s="1092"/>
    </row>
    <row r="12346" spans="8:9">
      <c r="H12346" s="1092"/>
      <c r="I12346" s="1092"/>
    </row>
    <row r="12347" spans="8:9">
      <c r="H12347" s="1092"/>
      <c r="I12347" s="1092"/>
    </row>
    <row r="12348" spans="8:9">
      <c r="H12348" s="1092"/>
      <c r="I12348" s="1092"/>
    </row>
    <row r="12349" spans="8:9">
      <c r="H12349" s="1092"/>
      <c r="I12349" s="1092"/>
    </row>
    <row r="12350" spans="8:9">
      <c r="H12350" s="1092"/>
      <c r="I12350" s="1092"/>
    </row>
    <row r="12351" spans="8:9">
      <c r="H12351" s="1092"/>
      <c r="I12351" s="1092"/>
    </row>
    <row r="12352" spans="8:9">
      <c r="H12352" s="1092"/>
      <c r="I12352" s="1092"/>
    </row>
    <row r="12353" spans="8:9">
      <c r="H12353" s="1092"/>
      <c r="I12353" s="1092"/>
    </row>
    <row r="12354" spans="8:9">
      <c r="H12354" s="1092"/>
      <c r="I12354" s="1092"/>
    </row>
    <row r="12355" spans="8:9">
      <c r="H12355" s="1092"/>
      <c r="I12355" s="1092"/>
    </row>
    <row r="12356" spans="8:9">
      <c r="H12356" s="1092"/>
      <c r="I12356" s="1092"/>
    </row>
    <row r="12357" spans="8:9">
      <c r="H12357" s="1092"/>
      <c r="I12357" s="1092"/>
    </row>
    <row r="12358" spans="8:9">
      <c r="H12358" s="1092"/>
      <c r="I12358" s="1092"/>
    </row>
    <row r="12359" spans="8:9">
      <c r="H12359" s="1092"/>
      <c r="I12359" s="1092"/>
    </row>
    <row r="12360" spans="8:9">
      <c r="H12360" s="1092"/>
      <c r="I12360" s="1092"/>
    </row>
    <row r="12361" spans="8:9">
      <c r="H12361" s="1092"/>
      <c r="I12361" s="1092"/>
    </row>
    <row r="12362" spans="8:9">
      <c r="H12362" s="1092"/>
      <c r="I12362" s="1092"/>
    </row>
    <row r="12363" spans="8:9">
      <c r="H12363" s="1092"/>
      <c r="I12363" s="1092"/>
    </row>
    <row r="12364" spans="8:9">
      <c r="H12364" s="1092"/>
      <c r="I12364" s="1092"/>
    </row>
    <row r="12365" spans="8:9">
      <c r="H12365" s="1092"/>
      <c r="I12365" s="1092"/>
    </row>
    <row r="12366" spans="8:9">
      <c r="H12366" s="1092"/>
      <c r="I12366" s="1092"/>
    </row>
    <row r="12367" spans="8:9">
      <c r="H12367" s="1092"/>
      <c r="I12367" s="1092"/>
    </row>
    <row r="12368" spans="8:9">
      <c r="H12368" s="1092"/>
      <c r="I12368" s="1092"/>
    </row>
    <row r="12369" spans="8:9">
      <c r="H12369" s="1092"/>
      <c r="I12369" s="1092"/>
    </row>
    <row r="12370" spans="8:9">
      <c r="H12370" s="1092"/>
      <c r="I12370" s="1092"/>
    </row>
    <row r="12371" spans="8:9">
      <c r="H12371" s="1092"/>
      <c r="I12371" s="1092"/>
    </row>
    <row r="12372" spans="8:9">
      <c r="H12372" s="1092"/>
      <c r="I12372" s="1092"/>
    </row>
    <row r="12373" spans="8:9">
      <c r="H12373" s="1092"/>
      <c r="I12373" s="1092"/>
    </row>
    <row r="12374" spans="8:9">
      <c r="H12374" s="1092"/>
      <c r="I12374" s="1092"/>
    </row>
    <row r="12375" spans="8:9">
      <c r="H12375" s="1092"/>
      <c r="I12375" s="1092"/>
    </row>
    <row r="12376" spans="8:9">
      <c r="H12376" s="1092"/>
      <c r="I12376" s="1092"/>
    </row>
    <row r="12377" spans="8:9">
      <c r="H12377" s="1092"/>
      <c r="I12377" s="1092"/>
    </row>
    <row r="12378" spans="8:9">
      <c r="H12378" s="1092"/>
      <c r="I12378" s="1092"/>
    </row>
    <row r="12379" spans="8:9">
      <c r="H12379" s="1092"/>
      <c r="I12379" s="1092"/>
    </row>
    <row r="12380" spans="8:9">
      <c r="H12380" s="1092"/>
      <c r="I12380" s="1092"/>
    </row>
    <row r="12381" spans="8:9">
      <c r="H12381" s="1092"/>
      <c r="I12381" s="1092"/>
    </row>
    <row r="12382" spans="8:9">
      <c r="H12382" s="1092"/>
      <c r="I12382" s="1092"/>
    </row>
    <row r="12383" spans="8:9">
      <c r="H12383" s="1092"/>
      <c r="I12383" s="1092"/>
    </row>
    <row r="12384" spans="8:9">
      <c r="H12384" s="1092"/>
      <c r="I12384" s="1092"/>
    </row>
    <row r="12385" spans="8:9">
      <c r="H12385" s="1092"/>
      <c r="I12385" s="1092"/>
    </row>
    <row r="12386" spans="8:9">
      <c r="H12386" s="1092"/>
      <c r="I12386" s="1092"/>
    </row>
    <row r="12387" spans="8:9">
      <c r="H12387" s="1092"/>
      <c r="I12387" s="1092"/>
    </row>
    <row r="12388" spans="8:9">
      <c r="H12388" s="1092"/>
      <c r="I12388" s="1092"/>
    </row>
    <row r="12389" spans="8:9">
      <c r="H12389" s="1092"/>
      <c r="I12389" s="1092"/>
    </row>
    <row r="12390" spans="8:9">
      <c r="H12390" s="1092"/>
      <c r="I12390" s="1092"/>
    </row>
    <row r="12391" spans="8:9">
      <c r="H12391" s="1092"/>
      <c r="I12391" s="1092"/>
    </row>
    <row r="12392" spans="8:9">
      <c r="H12392" s="1092"/>
      <c r="I12392" s="1092"/>
    </row>
    <row r="12393" spans="8:9">
      <c r="H12393" s="1092"/>
      <c r="I12393" s="1092"/>
    </row>
    <row r="12394" spans="8:9">
      <c r="H12394" s="1092"/>
      <c r="I12394" s="1092"/>
    </row>
    <row r="12395" spans="8:9">
      <c r="H12395" s="1092"/>
      <c r="I12395" s="1092"/>
    </row>
    <row r="12396" spans="8:9">
      <c r="H12396" s="1092"/>
      <c r="I12396" s="1092"/>
    </row>
    <row r="12397" spans="8:9">
      <c r="H12397" s="1092"/>
      <c r="I12397" s="1092"/>
    </row>
    <row r="12398" spans="8:9">
      <c r="H12398" s="1092"/>
      <c r="I12398" s="1092"/>
    </row>
    <row r="12399" spans="8:9">
      <c r="H12399" s="1092"/>
      <c r="I12399" s="1092"/>
    </row>
    <row r="12400" spans="8:9">
      <c r="H12400" s="1092"/>
      <c r="I12400" s="1092"/>
    </row>
    <row r="12401" spans="8:9">
      <c r="H12401" s="1092"/>
      <c r="I12401" s="1092"/>
    </row>
    <row r="12402" spans="8:9">
      <c r="H12402" s="1092"/>
      <c r="I12402" s="1092"/>
    </row>
    <row r="12403" spans="8:9">
      <c r="H12403" s="1092"/>
      <c r="I12403" s="1092"/>
    </row>
    <row r="12404" spans="8:9">
      <c r="H12404" s="1092"/>
      <c r="I12404" s="1092"/>
    </row>
    <row r="12405" spans="8:9">
      <c r="H12405" s="1092"/>
      <c r="I12405" s="1092"/>
    </row>
    <row r="12406" spans="8:9">
      <c r="H12406" s="1092"/>
      <c r="I12406" s="1092"/>
    </row>
    <row r="12407" spans="8:9">
      <c r="H12407" s="1092"/>
      <c r="I12407" s="1092"/>
    </row>
    <row r="12408" spans="8:9">
      <c r="H12408" s="1092"/>
      <c r="I12408" s="1092"/>
    </row>
    <row r="12409" spans="8:9">
      <c r="H12409" s="1092"/>
      <c r="I12409" s="1092"/>
    </row>
    <row r="12410" spans="8:9">
      <c r="H12410" s="1092"/>
      <c r="I12410" s="1092"/>
    </row>
    <row r="12411" spans="8:9">
      <c r="H12411" s="1092"/>
      <c r="I12411" s="1092"/>
    </row>
    <row r="12412" spans="8:9">
      <c r="H12412" s="1092"/>
      <c r="I12412" s="1092"/>
    </row>
    <row r="12413" spans="8:9">
      <c r="H12413" s="1092"/>
      <c r="I12413" s="1092"/>
    </row>
    <row r="12414" spans="8:9">
      <c r="H12414" s="1092"/>
      <c r="I12414" s="1092"/>
    </row>
    <row r="12415" spans="8:9">
      <c r="H12415" s="1092"/>
      <c r="I12415" s="1092"/>
    </row>
    <row r="12416" spans="8:9">
      <c r="H12416" s="1092"/>
      <c r="I12416" s="1092"/>
    </row>
    <row r="12417" spans="8:9">
      <c r="H12417" s="1092"/>
      <c r="I12417" s="1092"/>
    </row>
    <row r="12418" spans="8:9">
      <c r="H12418" s="1092"/>
      <c r="I12418" s="1092"/>
    </row>
    <row r="12419" spans="8:9">
      <c r="H12419" s="1092"/>
      <c r="I12419" s="1092"/>
    </row>
    <row r="12420" spans="8:9">
      <c r="H12420" s="1092"/>
      <c r="I12420" s="1092"/>
    </row>
    <row r="12421" spans="8:9">
      <c r="H12421" s="1092"/>
      <c r="I12421" s="1092"/>
    </row>
    <row r="12422" spans="8:9">
      <c r="H12422" s="1092"/>
      <c r="I12422" s="1092"/>
    </row>
    <row r="12423" spans="8:9">
      <c r="H12423" s="1092"/>
      <c r="I12423" s="1092"/>
    </row>
    <row r="12424" spans="8:9">
      <c r="H12424" s="1092"/>
      <c r="I12424" s="1092"/>
    </row>
    <row r="12425" spans="8:9">
      <c r="H12425" s="1092"/>
      <c r="I12425" s="1092"/>
    </row>
    <row r="12426" spans="8:9">
      <c r="H12426" s="1092"/>
      <c r="I12426" s="1092"/>
    </row>
    <row r="12427" spans="8:9">
      <c r="H12427" s="1092"/>
      <c r="I12427" s="1092"/>
    </row>
    <row r="12428" spans="8:9">
      <c r="H12428" s="1092"/>
      <c r="I12428" s="1092"/>
    </row>
    <row r="12429" spans="8:9">
      <c r="H12429" s="1092"/>
      <c r="I12429" s="1092"/>
    </row>
    <row r="12430" spans="8:9">
      <c r="H12430" s="1092"/>
      <c r="I12430" s="1092"/>
    </row>
    <row r="12431" spans="8:9">
      <c r="H12431" s="1092"/>
      <c r="I12431" s="1092"/>
    </row>
    <row r="12432" spans="8:9">
      <c r="H12432" s="1092"/>
      <c r="I12432" s="1092"/>
    </row>
    <row r="12433" spans="8:9">
      <c r="H12433" s="1092"/>
      <c r="I12433" s="1092"/>
    </row>
    <row r="12434" spans="8:9">
      <c r="H12434" s="1092"/>
      <c r="I12434" s="1092"/>
    </row>
    <row r="12435" spans="8:9">
      <c r="H12435" s="1092"/>
      <c r="I12435" s="1092"/>
    </row>
    <row r="12436" spans="8:9">
      <c r="H12436" s="1092"/>
      <c r="I12436" s="1092"/>
    </row>
    <row r="12437" spans="8:9">
      <c r="H12437" s="1092"/>
      <c r="I12437" s="1092"/>
    </row>
    <row r="12438" spans="8:9">
      <c r="H12438" s="1092"/>
      <c r="I12438" s="1092"/>
    </row>
    <row r="12439" spans="8:9">
      <c r="H12439" s="1092"/>
      <c r="I12439" s="1092"/>
    </row>
    <row r="12440" spans="8:9">
      <c r="H12440" s="1092"/>
      <c r="I12440" s="1092"/>
    </row>
    <row r="12441" spans="8:9">
      <c r="H12441" s="1092"/>
      <c r="I12441" s="1092"/>
    </row>
    <row r="12442" spans="8:9">
      <c r="H12442" s="1092"/>
      <c r="I12442" s="1092"/>
    </row>
    <row r="12443" spans="8:9">
      <c r="H12443" s="1092"/>
      <c r="I12443" s="1092"/>
    </row>
    <row r="12444" spans="8:9">
      <c r="H12444" s="1092"/>
      <c r="I12444" s="1092"/>
    </row>
    <row r="12445" spans="8:9">
      <c r="H12445" s="1092"/>
      <c r="I12445" s="1092"/>
    </row>
    <row r="12446" spans="8:9">
      <c r="H12446" s="1092"/>
      <c r="I12446" s="1092"/>
    </row>
    <row r="12447" spans="8:9">
      <c r="H12447" s="1092"/>
      <c r="I12447" s="1092"/>
    </row>
    <row r="12448" spans="8:9">
      <c r="H12448" s="1092"/>
      <c r="I12448" s="1092"/>
    </row>
    <row r="12449" spans="8:9">
      <c r="H12449" s="1092"/>
      <c r="I12449" s="1092"/>
    </row>
    <row r="12450" spans="8:9">
      <c r="H12450" s="1092"/>
      <c r="I12450" s="1092"/>
    </row>
    <row r="12451" spans="8:9">
      <c r="H12451" s="1092"/>
      <c r="I12451" s="1092"/>
    </row>
    <row r="12452" spans="8:9">
      <c r="H12452" s="1092"/>
      <c r="I12452" s="1092"/>
    </row>
    <row r="12453" spans="8:9">
      <c r="H12453" s="1092"/>
      <c r="I12453" s="1092"/>
    </row>
    <row r="12454" spans="8:9">
      <c r="H12454" s="1092"/>
      <c r="I12454" s="1092"/>
    </row>
    <row r="12455" spans="8:9">
      <c r="H12455" s="1092"/>
      <c r="I12455" s="1092"/>
    </row>
    <row r="12456" spans="8:9">
      <c r="H12456" s="1092"/>
      <c r="I12456" s="1092"/>
    </row>
    <row r="12457" spans="8:9">
      <c r="H12457" s="1092"/>
      <c r="I12457" s="1092"/>
    </row>
    <row r="12458" spans="8:9">
      <c r="H12458" s="1092"/>
      <c r="I12458" s="1092"/>
    </row>
    <row r="12459" spans="8:9">
      <c r="H12459" s="1092"/>
      <c r="I12459" s="1092"/>
    </row>
    <row r="12460" spans="8:9">
      <c r="H12460" s="1092"/>
      <c r="I12460" s="1092"/>
    </row>
    <row r="12461" spans="8:9">
      <c r="H12461" s="1092"/>
      <c r="I12461" s="1092"/>
    </row>
    <row r="12462" spans="8:9">
      <c r="H12462" s="1092"/>
      <c r="I12462" s="1092"/>
    </row>
    <row r="12463" spans="8:9">
      <c r="H12463" s="1092"/>
      <c r="I12463" s="1092"/>
    </row>
    <row r="12464" spans="8:9">
      <c r="H12464" s="1092"/>
      <c r="I12464" s="1092"/>
    </row>
    <row r="12465" spans="8:9">
      <c r="H12465" s="1092"/>
      <c r="I12465" s="1092"/>
    </row>
    <row r="12466" spans="8:9">
      <c r="H12466" s="1092"/>
      <c r="I12466" s="1092"/>
    </row>
    <row r="12467" spans="8:9">
      <c r="H12467" s="1092"/>
      <c r="I12467" s="1092"/>
    </row>
    <row r="12468" spans="8:9">
      <c r="H12468" s="1092"/>
      <c r="I12468" s="1092"/>
    </row>
    <row r="12469" spans="8:9">
      <c r="H12469" s="1092"/>
      <c r="I12469" s="1092"/>
    </row>
    <row r="12470" spans="8:9">
      <c r="H12470" s="1092"/>
      <c r="I12470" s="1092"/>
    </row>
    <row r="12471" spans="8:9">
      <c r="H12471" s="1092"/>
      <c r="I12471" s="1092"/>
    </row>
    <row r="12472" spans="8:9">
      <c r="H12472" s="1092"/>
      <c r="I12472" s="1092"/>
    </row>
    <row r="12473" spans="8:9">
      <c r="H12473" s="1092"/>
      <c r="I12473" s="1092"/>
    </row>
    <row r="12474" spans="8:9">
      <c r="H12474" s="1092"/>
      <c r="I12474" s="1092"/>
    </row>
    <row r="12475" spans="8:9">
      <c r="H12475" s="1092"/>
      <c r="I12475" s="1092"/>
    </row>
    <row r="12476" spans="8:9">
      <c r="H12476" s="1092"/>
      <c r="I12476" s="1092"/>
    </row>
    <row r="12477" spans="8:9">
      <c r="H12477" s="1092"/>
      <c r="I12477" s="1092"/>
    </row>
    <row r="12478" spans="8:9">
      <c r="H12478" s="1092"/>
      <c r="I12478" s="1092"/>
    </row>
    <row r="12479" spans="8:9">
      <c r="H12479" s="1092"/>
      <c r="I12479" s="1092"/>
    </row>
    <row r="12480" spans="8:9">
      <c r="H12480" s="1092"/>
      <c r="I12480" s="1092"/>
    </row>
    <row r="12481" spans="8:9">
      <c r="H12481" s="1092"/>
      <c r="I12481" s="1092"/>
    </row>
    <row r="12482" spans="8:9">
      <c r="H12482" s="1092"/>
      <c r="I12482" s="1092"/>
    </row>
    <row r="12483" spans="8:9">
      <c r="H12483" s="1092"/>
      <c r="I12483" s="1092"/>
    </row>
    <row r="12484" spans="8:9">
      <c r="H12484" s="1092"/>
      <c r="I12484" s="1092"/>
    </row>
    <row r="12485" spans="8:9">
      <c r="H12485" s="1092"/>
      <c r="I12485" s="1092"/>
    </row>
    <row r="12486" spans="8:9">
      <c r="H12486" s="1092"/>
      <c r="I12486" s="1092"/>
    </row>
    <row r="12487" spans="8:9">
      <c r="H12487" s="1092"/>
      <c r="I12487" s="1092"/>
    </row>
    <row r="12488" spans="8:9">
      <c r="H12488" s="1092"/>
      <c r="I12488" s="1092"/>
    </row>
    <row r="12489" spans="8:9">
      <c r="H12489" s="1092"/>
      <c r="I12489" s="1092"/>
    </row>
    <row r="12490" spans="8:9">
      <c r="H12490" s="1092"/>
      <c r="I12490" s="1092"/>
    </row>
    <row r="12491" spans="8:9">
      <c r="H12491" s="1092"/>
      <c r="I12491" s="1092"/>
    </row>
    <row r="12492" spans="8:9">
      <c r="H12492" s="1092"/>
      <c r="I12492" s="1092"/>
    </row>
    <row r="12493" spans="8:9">
      <c r="H12493" s="1092"/>
      <c r="I12493" s="1092"/>
    </row>
    <row r="12494" spans="8:9">
      <c r="H12494" s="1092"/>
      <c r="I12494" s="1092"/>
    </row>
    <row r="12495" spans="8:9">
      <c r="H12495" s="1092"/>
      <c r="I12495" s="1092"/>
    </row>
    <row r="12496" spans="8:9">
      <c r="H12496" s="1092"/>
      <c r="I12496" s="1092"/>
    </row>
    <row r="12497" spans="8:9">
      <c r="H12497" s="1092"/>
      <c r="I12497" s="1092"/>
    </row>
    <row r="12498" spans="8:9">
      <c r="H12498" s="1092"/>
      <c r="I12498" s="1092"/>
    </row>
    <row r="12499" spans="8:9">
      <c r="H12499" s="1092"/>
      <c r="I12499" s="1092"/>
    </row>
    <row r="12500" spans="8:9">
      <c r="H12500" s="1092"/>
      <c r="I12500" s="1092"/>
    </row>
    <row r="12501" spans="8:9">
      <c r="H12501" s="1092"/>
      <c r="I12501" s="1092"/>
    </row>
    <row r="12502" spans="8:9">
      <c r="H12502" s="1092"/>
      <c r="I12502" s="1092"/>
    </row>
    <row r="12503" spans="8:9">
      <c r="H12503" s="1092"/>
      <c r="I12503" s="1092"/>
    </row>
    <row r="12504" spans="8:9">
      <c r="H12504" s="1092"/>
      <c r="I12504" s="1092"/>
    </row>
    <row r="12505" spans="8:9">
      <c r="H12505" s="1092"/>
      <c r="I12505" s="1092"/>
    </row>
    <row r="12506" spans="8:9">
      <c r="H12506" s="1092"/>
      <c r="I12506" s="1092"/>
    </row>
    <row r="12507" spans="8:9">
      <c r="H12507" s="1092"/>
      <c r="I12507" s="1092"/>
    </row>
    <row r="12508" spans="8:9">
      <c r="H12508" s="1092"/>
      <c r="I12508" s="1092"/>
    </row>
    <row r="12509" spans="8:9">
      <c r="H12509" s="1092"/>
      <c r="I12509" s="1092"/>
    </row>
    <row r="12510" spans="8:9">
      <c r="H12510" s="1092"/>
      <c r="I12510" s="1092"/>
    </row>
    <row r="12511" spans="8:9">
      <c r="H12511" s="1092"/>
      <c r="I12511" s="1092"/>
    </row>
    <row r="12512" spans="8:9">
      <c r="H12512" s="1092"/>
      <c r="I12512" s="1092"/>
    </row>
    <row r="12513" spans="8:9">
      <c r="H12513" s="1092"/>
      <c r="I12513" s="1092"/>
    </row>
    <row r="12514" spans="8:9">
      <c r="H12514" s="1092"/>
      <c r="I12514" s="1092"/>
    </row>
    <row r="12515" spans="8:9">
      <c r="H12515" s="1092"/>
      <c r="I12515" s="1092"/>
    </row>
    <row r="12516" spans="8:9">
      <c r="H12516" s="1092"/>
      <c r="I12516" s="1092"/>
    </row>
    <row r="12517" spans="8:9">
      <c r="H12517" s="1092"/>
      <c r="I12517" s="1092"/>
    </row>
    <row r="12518" spans="8:9">
      <c r="H12518" s="1092"/>
      <c r="I12518" s="1092"/>
    </row>
    <row r="12519" spans="8:9">
      <c r="H12519" s="1092"/>
      <c r="I12519" s="1092"/>
    </row>
    <row r="12520" spans="8:9">
      <c r="H12520" s="1092"/>
      <c r="I12520" s="1092"/>
    </row>
    <row r="12521" spans="8:9">
      <c r="H12521" s="1092"/>
      <c r="I12521" s="1092"/>
    </row>
    <row r="12522" spans="8:9">
      <c r="H12522" s="1092"/>
      <c r="I12522" s="1092"/>
    </row>
    <row r="12523" spans="8:9">
      <c r="H12523" s="1092"/>
      <c r="I12523" s="1092"/>
    </row>
    <row r="12524" spans="8:9">
      <c r="H12524" s="1092"/>
      <c r="I12524" s="1092"/>
    </row>
    <row r="12525" spans="8:9">
      <c r="H12525" s="1092"/>
      <c r="I12525" s="1092"/>
    </row>
    <row r="12526" spans="8:9">
      <c r="H12526" s="1092"/>
      <c r="I12526" s="1092"/>
    </row>
    <row r="12527" spans="8:9">
      <c r="H12527" s="1092"/>
      <c r="I12527" s="1092"/>
    </row>
    <row r="12528" spans="8:9">
      <c r="H12528" s="1092"/>
      <c r="I12528" s="1092"/>
    </row>
    <row r="12529" spans="8:9">
      <c r="H12529" s="1092"/>
      <c r="I12529" s="1092"/>
    </row>
    <row r="12530" spans="8:9">
      <c r="H12530" s="1092"/>
      <c r="I12530" s="1092"/>
    </row>
    <row r="12531" spans="8:9">
      <c r="H12531" s="1092"/>
      <c r="I12531" s="1092"/>
    </row>
    <row r="12532" spans="8:9">
      <c r="H12532" s="1092"/>
      <c r="I12532" s="1092"/>
    </row>
    <row r="12533" spans="8:9">
      <c r="H12533" s="1092"/>
      <c r="I12533" s="1092"/>
    </row>
    <row r="12534" spans="8:9">
      <c r="H12534" s="1092"/>
      <c r="I12534" s="1092"/>
    </row>
    <row r="12535" spans="8:9">
      <c r="H12535" s="1092"/>
      <c r="I12535" s="1092"/>
    </row>
    <row r="12536" spans="8:9">
      <c r="H12536" s="1092"/>
      <c r="I12536" s="1092"/>
    </row>
    <row r="12537" spans="8:9">
      <c r="H12537" s="1092"/>
      <c r="I12537" s="1092"/>
    </row>
    <row r="12538" spans="8:9">
      <c r="H12538" s="1092"/>
      <c r="I12538" s="1092"/>
    </row>
    <row r="12539" spans="8:9">
      <c r="H12539" s="1092"/>
      <c r="I12539" s="1092"/>
    </row>
    <row r="12540" spans="8:9">
      <c r="H12540" s="1092"/>
      <c r="I12540" s="1092"/>
    </row>
    <row r="12541" spans="8:9">
      <c r="H12541" s="1092"/>
      <c r="I12541" s="1092"/>
    </row>
    <row r="12542" spans="8:9">
      <c r="H12542" s="1092"/>
      <c r="I12542" s="1092"/>
    </row>
    <row r="12543" spans="8:9">
      <c r="H12543" s="1092"/>
      <c r="I12543" s="1092"/>
    </row>
    <row r="12544" spans="8:9">
      <c r="H12544" s="1092"/>
      <c r="I12544" s="1092"/>
    </row>
    <row r="12545" spans="8:9">
      <c r="H12545" s="1092"/>
      <c r="I12545" s="1092"/>
    </row>
    <row r="12546" spans="8:9">
      <c r="H12546" s="1092"/>
      <c r="I12546" s="1092"/>
    </row>
    <row r="12547" spans="8:9">
      <c r="H12547" s="1092"/>
      <c r="I12547" s="1092"/>
    </row>
    <row r="12548" spans="8:9">
      <c r="H12548" s="1092"/>
      <c r="I12548" s="1092"/>
    </row>
    <row r="12549" spans="8:9">
      <c r="H12549" s="1092"/>
      <c r="I12549" s="1092"/>
    </row>
    <row r="12550" spans="8:9">
      <c r="H12550" s="1092"/>
      <c r="I12550" s="1092"/>
    </row>
    <row r="12551" spans="8:9">
      <c r="H12551" s="1092"/>
      <c r="I12551" s="1092"/>
    </row>
    <row r="12552" spans="8:9">
      <c r="H12552" s="1092"/>
      <c r="I12552" s="1092"/>
    </row>
    <row r="12553" spans="8:9">
      <c r="H12553" s="1092"/>
      <c r="I12553" s="1092"/>
    </row>
    <row r="12554" spans="8:9">
      <c r="H12554" s="1092"/>
      <c r="I12554" s="1092"/>
    </row>
    <row r="12555" spans="8:9">
      <c r="H12555" s="1092"/>
      <c r="I12555" s="1092"/>
    </row>
    <row r="12556" spans="8:9">
      <c r="H12556" s="1092"/>
      <c r="I12556" s="1092"/>
    </row>
    <row r="12557" spans="8:9">
      <c r="H12557" s="1092"/>
      <c r="I12557" s="1092"/>
    </row>
    <row r="12558" spans="8:9">
      <c r="H12558" s="1092"/>
      <c r="I12558" s="1092"/>
    </row>
    <row r="12559" spans="8:9">
      <c r="H12559" s="1092"/>
      <c r="I12559" s="1092"/>
    </row>
    <row r="12560" spans="8:9">
      <c r="H12560" s="1092"/>
      <c r="I12560" s="1092"/>
    </row>
    <row r="12561" spans="8:9">
      <c r="H12561" s="1092"/>
      <c r="I12561" s="1092"/>
    </row>
    <row r="12562" spans="8:9">
      <c r="H12562" s="1092"/>
      <c r="I12562" s="1092"/>
    </row>
    <row r="12563" spans="8:9">
      <c r="H12563" s="1092"/>
      <c r="I12563" s="1092"/>
    </row>
    <row r="12564" spans="8:9">
      <c r="H12564" s="1092"/>
      <c r="I12564" s="1092"/>
    </row>
    <row r="12565" spans="8:9">
      <c r="H12565" s="1092"/>
      <c r="I12565" s="1092"/>
    </row>
    <row r="12566" spans="8:9">
      <c r="H12566" s="1092"/>
      <c r="I12566" s="1092"/>
    </row>
    <row r="12567" spans="8:9">
      <c r="H12567" s="1092"/>
      <c r="I12567" s="1092"/>
    </row>
    <row r="12568" spans="8:9">
      <c r="H12568" s="1092"/>
      <c r="I12568" s="1092"/>
    </row>
    <row r="12569" spans="8:9">
      <c r="H12569" s="1092"/>
      <c r="I12569" s="1092"/>
    </row>
    <row r="12570" spans="8:9">
      <c r="H12570" s="1092"/>
      <c r="I12570" s="1092"/>
    </row>
    <row r="12571" spans="8:9">
      <c r="H12571" s="1092"/>
      <c r="I12571" s="1092"/>
    </row>
    <row r="12572" spans="8:9">
      <c r="H12572" s="1092"/>
      <c r="I12572" s="1092"/>
    </row>
    <row r="12573" spans="8:9">
      <c r="H12573" s="1092"/>
      <c r="I12573" s="1092"/>
    </row>
    <row r="12574" spans="8:9">
      <c r="H12574" s="1092"/>
      <c r="I12574" s="1092"/>
    </row>
    <row r="12575" spans="8:9">
      <c r="H12575" s="1092"/>
      <c r="I12575" s="1092"/>
    </row>
    <row r="12576" spans="8:9">
      <c r="H12576" s="1092"/>
      <c r="I12576" s="1092"/>
    </row>
    <row r="12577" spans="8:9">
      <c r="H12577" s="1092"/>
      <c r="I12577" s="1092"/>
    </row>
    <row r="12578" spans="8:9">
      <c r="H12578" s="1092"/>
      <c r="I12578" s="1092"/>
    </row>
    <row r="12579" spans="8:9">
      <c r="H12579" s="1092"/>
      <c r="I12579" s="1092"/>
    </row>
    <row r="12580" spans="8:9">
      <c r="H12580" s="1092"/>
      <c r="I12580" s="1092"/>
    </row>
    <row r="12581" spans="8:9">
      <c r="H12581" s="1092"/>
      <c r="I12581" s="1092"/>
    </row>
    <row r="12582" spans="8:9">
      <c r="H12582" s="1092"/>
      <c r="I12582" s="1092"/>
    </row>
    <row r="12583" spans="8:9">
      <c r="H12583" s="1092"/>
      <c r="I12583" s="1092"/>
    </row>
    <row r="12584" spans="8:9">
      <c r="H12584" s="1092"/>
      <c r="I12584" s="1092"/>
    </row>
    <row r="12585" spans="8:9">
      <c r="H12585" s="1092"/>
      <c r="I12585" s="1092"/>
    </row>
    <row r="12586" spans="8:9">
      <c r="H12586" s="1092"/>
      <c r="I12586" s="1092"/>
    </row>
    <row r="12587" spans="8:9">
      <c r="H12587" s="1092"/>
      <c r="I12587" s="1092"/>
    </row>
    <row r="12588" spans="8:9">
      <c r="H12588" s="1092"/>
      <c r="I12588" s="1092"/>
    </row>
    <row r="12589" spans="8:9">
      <c r="H12589" s="1092"/>
      <c r="I12589" s="1092"/>
    </row>
    <row r="12590" spans="8:9">
      <c r="H12590" s="1092"/>
      <c r="I12590" s="1092"/>
    </row>
    <row r="12591" spans="8:9">
      <c r="H12591" s="1092"/>
      <c r="I12591" s="1092"/>
    </row>
    <row r="12592" spans="8:9">
      <c r="H12592" s="1092"/>
      <c r="I12592" s="1092"/>
    </row>
    <row r="12593" spans="8:9">
      <c r="H12593" s="1092"/>
      <c r="I12593" s="1092"/>
    </row>
    <row r="12594" spans="8:9">
      <c r="H12594" s="1092"/>
      <c r="I12594" s="1092"/>
    </row>
    <row r="12595" spans="8:9">
      <c r="H12595" s="1092"/>
      <c r="I12595" s="1092"/>
    </row>
    <row r="12596" spans="8:9">
      <c r="H12596" s="1092"/>
      <c r="I12596" s="1092"/>
    </row>
    <row r="12597" spans="8:9">
      <c r="H12597" s="1092"/>
      <c r="I12597" s="1092"/>
    </row>
    <row r="12598" spans="8:9">
      <c r="H12598" s="1092"/>
      <c r="I12598" s="1092"/>
    </row>
    <row r="12599" spans="8:9">
      <c r="H12599" s="1092"/>
      <c r="I12599" s="1092"/>
    </row>
    <row r="12600" spans="8:9">
      <c r="H12600" s="1092"/>
      <c r="I12600" s="1092"/>
    </row>
    <row r="12601" spans="8:9">
      <c r="H12601" s="1092"/>
      <c r="I12601" s="1092"/>
    </row>
    <row r="12602" spans="8:9">
      <c r="H12602" s="1092"/>
      <c r="I12602" s="1092"/>
    </row>
    <row r="12603" spans="8:9">
      <c r="H12603" s="1092"/>
      <c r="I12603" s="1092"/>
    </row>
    <row r="12604" spans="8:9">
      <c r="H12604" s="1092"/>
      <c r="I12604" s="1092"/>
    </row>
    <row r="12605" spans="8:9">
      <c r="H12605" s="1092"/>
      <c r="I12605" s="1092"/>
    </row>
    <row r="12606" spans="8:9">
      <c r="H12606" s="1092"/>
      <c r="I12606" s="1092"/>
    </row>
    <row r="12607" spans="8:9">
      <c r="H12607" s="1092"/>
      <c r="I12607" s="1092"/>
    </row>
    <row r="12608" spans="8:9">
      <c r="H12608" s="1092"/>
      <c r="I12608" s="1092"/>
    </row>
    <row r="12609" spans="8:9">
      <c r="H12609" s="1092"/>
      <c r="I12609" s="1092"/>
    </row>
    <row r="12610" spans="8:9">
      <c r="H12610" s="1092"/>
      <c r="I12610" s="1092"/>
    </row>
    <row r="12611" spans="8:9">
      <c r="H12611" s="1092"/>
      <c r="I12611" s="1092"/>
    </row>
    <row r="12612" spans="8:9">
      <c r="H12612" s="1092"/>
      <c r="I12612" s="1092"/>
    </row>
    <row r="12613" spans="8:9">
      <c r="H12613" s="1092"/>
      <c r="I12613" s="1092"/>
    </row>
    <row r="12614" spans="8:9">
      <c r="H12614" s="1092"/>
      <c r="I12614" s="1092"/>
    </row>
    <row r="12615" spans="8:9">
      <c r="H12615" s="1092"/>
      <c r="I12615" s="1092"/>
    </row>
    <row r="12616" spans="8:9">
      <c r="H12616" s="1092"/>
      <c r="I12616" s="1092"/>
    </row>
    <row r="12617" spans="8:9">
      <c r="H12617" s="1092"/>
      <c r="I12617" s="1092"/>
    </row>
    <row r="12618" spans="8:9">
      <c r="H12618" s="1092"/>
      <c r="I12618" s="1092"/>
    </row>
    <row r="12619" spans="8:9">
      <c r="H12619" s="1092"/>
      <c r="I12619" s="1092"/>
    </row>
    <row r="12620" spans="8:9">
      <c r="H12620" s="1092"/>
      <c r="I12620" s="1092"/>
    </row>
    <row r="12621" spans="8:9">
      <c r="H12621" s="1092"/>
      <c r="I12621" s="1092"/>
    </row>
    <row r="12622" spans="8:9">
      <c r="H12622" s="1092"/>
      <c r="I12622" s="1092"/>
    </row>
    <row r="12623" spans="8:9">
      <c r="H12623" s="1092"/>
      <c r="I12623" s="1092"/>
    </row>
    <row r="12624" spans="8:9">
      <c r="H12624" s="1092"/>
      <c r="I12624" s="1092"/>
    </row>
    <row r="12625" spans="8:9">
      <c r="H12625" s="1092"/>
      <c r="I12625" s="1092"/>
    </row>
    <row r="12626" spans="8:9">
      <c r="H12626" s="1092"/>
      <c r="I12626" s="1092"/>
    </row>
    <row r="12627" spans="8:9">
      <c r="H12627" s="1092"/>
      <c r="I12627" s="1092"/>
    </row>
    <row r="12628" spans="8:9">
      <c r="H12628" s="1092"/>
      <c r="I12628" s="1092"/>
    </row>
    <row r="12629" spans="8:9">
      <c r="H12629" s="1092"/>
      <c r="I12629" s="1092"/>
    </row>
    <row r="12630" spans="8:9">
      <c r="H12630" s="1092"/>
      <c r="I12630" s="1092"/>
    </row>
    <row r="12631" spans="8:9">
      <c r="H12631" s="1092"/>
      <c r="I12631" s="1092"/>
    </row>
    <row r="12632" spans="8:9">
      <c r="H12632" s="1092"/>
      <c r="I12632" s="1092"/>
    </row>
    <row r="12633" spans="8:9">
      <c r="H12633" s="1092"/>
      <c r="I12633" s="1092"/>
    </row>
    <row r="12634" spans="8:9">
      <c r="H12634" s="1092"/>
      <c r="I12634" s="1092"/>
    </row>
    <row r="12635" spans="8:9">
      <c r="H12635" s="1092"/>
      <c r="I12635" s="1092"/>
    </row>
    <row r="12636" spans="8:9">
      <c r="H12636" s="1092"/>
      <c r="I12636" s="1092"/>
    </row>
    <row r="12637" spans="8:9">
      <c r="H12637" s="1092"/>
      <c r="I12637" s="1092"/>
    </row>
    <row r="12638" spans="8:9">
      <c r="H12638" s="1092"/>
      <c r="I12638" s="1092"/>
    </row>
    <row r="12639" spans="8:9">
      <c r="H12639" s="1092"/>
      <c r="I12639" s="1092"/>
    </row>
    <row r="12640" spans="8:9">
      <c r="H12640" s="1092"/>
      <c r="I12640" s="1092"/>
    </row>
    <row r="12641" spans="8:9">
      <c r="H12641" s="1092"/>
      <c r="I12641" s="1092"/>
    </row>
    <row r="12642" spans="8:9">
      <c r="H12642" s="1092"/>
      <c r="I12642" s="1092"/>
    </row>
    <row r="12643" spans="8:9">
      <c r="H12643" s="1092"/>
      <c r="I12643" s="1092"/>
    </row>
    <row r="12644" spans="8:9">
      <c r="H12644" s="1092"/>
      <c r="I12644" s="1092"/>
    </row>
    <row r="12645" spans="8:9">
      <c r="H12645" s="1092"/>
      <c r="I12645" s="1092"/>
    </row>
    <row r="12646" spans="8:9">
      <c r="H12646" s="1092"/>
      <c r="I12646" s="1092"/>
    </row>
    <row r="12647" spans="8:9">
      <c r="H12647" s="1092"/>
      <c r="I12647" s="1092"/>
    </row>
    <row r="12648" spans="8:9">
      <c r="H12648" s="1092"/>
      <c r="I12648" s="1092"/>
    </row>
    <row r="12649" spans="8:9">
      <c r="H12649" s="1092"/>
      <c r="I12649" s="1092"/>
    </row>
    <row r="12650" spans="8:9">
      <c r="H12650" s="1092"/>
      <c r="I12650" s="1092"/>
    </row>
    <row r="12651" spans="8:9">
      <c r="H12651" s="1092"/>
      <c r="I12651" s="1092"/>
    </row>
    <row r="12652" spans="8:9">
      <c r="H12652" s="1092"/>
      <c r="I12652" s="1092"/>
    </row>
    <row r="12653" spans="8:9">
      <c r="H12653" s="1092"/>
      <c r="I12653" s="1092"/>
    </row>
    <row r="12654" spans="8:9">
      <c r="H12654" s="1092"/>
      <c r="I12654" s="1092"/>
    </row>
    <row r="12655" spans="8:9">
      <c r="H12655" s="1092"/>
      <c r="I12655" s="1092"/>
    </row>
    <row r="12656" spans="8:9">
      <c r="H12656" s="1092"/>
      <c r="I12656" s="1092"/>
    </row>
    <row r="12657" spans="8:9">
      <c r="H12657" s="1092"/>
      <c r="I12657" s="1092"/>
    </row>
    <row r="12658" spans="8:9">
      <c r="H12658" s="1092"/>
      <c r="I12658" s="1092"/>
    </row>
    <row r="12659" spans="8:9">
      <c r="H12659" s="1092"/>
      <c r="I12659" s="1092"/>
    </row>
    <row r="12660" spans="8:9">
      <c r="H12660" s="1092"/>
      <c r="I12660" s="1092"/>
    </row>
    <row r="12661" spans="8:9">
      <c r="H12661" s="1092"/>
      <c r="I12661" s="1092"/>
    </row>
    <row r="12662" spans="8:9">
      <c r="H12662" s="1092"/>
      <c r="I12662" s="1092"/>
    </row>
    <row r="12663" spans="8:9">
      <c r="H12663" s="1092"/>
      <c r="I12663" s="1092"/>
    </row>
    <row r="12664" spans="8:9">
      <c r="H12664" s="1092"/>
      <c r="I12664" s="1092"/>
    </row>
    <row r="12665" spans="8:9">
      <c r="H12665" s="1092"/>
      <c r="I12665" s="1092"/>
    </row>
    <row r="12666" spans="8:9">
      <c r="H12666" s="1092"/>
      <c r="I12666" s="1092"/>
    </row>
    <row r="12667" spans="8:9">
      <c r="H12667" s="1092"/>
      <c r="I12667" s="1092"/>
    </row>
    <row r="12668" spans="8:9">
      <c r="H12668" s="1092"/>
      <c r="I12668" s="1092"/>
    </row>
    <row r="12669" spans="8:9">
      <c r="H12669" s="1092"/>
      <c r="I12669" s="1092"/>
    </row>
    <row r="12670" spans="8:9">
      <c r="H12670" s="1092"/>
      <c r="I12670" s="1092"/>
    </row>
    <row r="12671" spans="8:9">
      <c r="H12671" s="1092"/>
      <c r="I12671" s="1092"/>
    </row>
    <row r="12672" spans="8:9">
      <c r="H12672" s="1092"/>
      <c r="I12672" s="1092"/>
    </row>
    <row r="12673" spans="8:9">
      <c r="H12673" s="1092"/>
      <c r="I12673" s="1092"/>
    </row>
    <row r="12674" spans="8:9">
      <c r="H12674" s="1092"/>
      <c r="I12674" s="1092"/>
    </row>
    <row r="12675" spans="8:9">
      <c r="H12675" s="1092"/>
      <c r="I12675" s="1092"/>
    </row>
    <row r="12676" spans="8:9">
      <c r="H12676" s="1092"/>
      <c r="I12676" s="1092"/>
    </row>
    <row r="12677" spans="8:9">
      <c r="H12677" s="1092"/>
      <c r="I12677" s="1092"/>
    </row>
    <row r="12678" spans="8:9">
      <c r="H12678" s="1092"/>
      <c r="I12678" s="1092"/>
    </row>
    <row r="12679" spans="8:9">
      <c r="H12679" s="1092"/>
      <c r="I12679" s="1092"/>
    </row>
    <row r="12680" spans="8:9">
      <c r="H12680" s="1092"/>
      <c r="I12680" s="1092"/>
    </row>
    <row r="12681" spans="8:9">
      <c r="H12681" s="1092"/>
      <c r="I12681" s="1092"/>
    </row>
    <row r="12682" spans="8:9">
      <c r="H12682" s="1092"/>
      <c r="I12682" s="1092"/>
    </row>
    <row r="12683" spans="8:9">
      <c r="H12683" s="1092"/>
      <c r="I12683" s="1092"/>
    </row>
    <row r="12684" spans="8:9">
      <c r="H12684" s="1092"/>
      <c r="I12684" s="1092"/>
    </row>
    <row r="12685" spans="8:9">
      <c r="H12685" s="1092"/>
      <c r="I12685" s="1092"/>
    </row>
    <row r="12686" spans="8:9">
      <c r="H12686" s="1092"/>
      <c r="I12686" s="1092"/>
    </row>
    <row r="12687" spans="8:9">
      <c r="H12687" s="1092"/>
      <c r="I12687" s="1092"/>
    </row>
    <row r="12688" spans="8:9">
      <c r="H12688" s="1092"/>
      <c r="I12688" s="1092"/>
    </row>
    <row r="12689" spans="8:9">
      <c r="H12689" s="1092"/>
      <c r="I12689" s="1092"/>
    </row>
    <row r="12690" spans="8:9">
      <c r="H12690" s="1092"/>
      <c r="I12690" s="1092"/>
    </row>
    <row r="12691" spans="8:9">
      <c r="H12691" s="1092"/>
      <c r="I12691" s="1092"/>
    </row>
    <row r="12692" spans="8:9">
      <c r="H12692" s="1092"/>
      <c r="I12692" s="1092"/>
    </row>
    <row r="12693" spans="8:9">
      <c r="H12693" s="1092"/>
      <c r="I12693" s="1092"/>
    </row>
    <row r="12694" spans="8:9">
      <c r="H12694" s="1092"/>
      <c r="I12694" s="1092"/>
    </row>
    <row r="12695" spans="8:9">
      <c r="H12695" s="1092"/>
      <c r="I12695" s="1092"/>
    </row>
    <row r="12696" spans="8:9">
      <c r="H12696" s="1092"/>
      <c r="I12696" s="1092"/>
    </row>
    <row r="12697" spans="8:9">
      <c r="H12697" s="1092"/>
      <c r="I12697" s="1092"/>
    </row>
    <row r="12698" spans="8:9">
      <c r="H12698" s="1092"/>
      <c r="I12698" s="1092"/>
    </row>
    <row r="12699" spans="8:9">
      <c r="H12699" s="1092"/>
      <c r="I12699" s="1092"/>
    </row>
    <row r="12700" spans="8:9">
      <c r="H12700" s="1092"/>
      <c r="I12700" s="1092"/>
    </row>
    <row r="12701" spans="8:9">
      <c r="H12701" s="1092"/>
      <c r="I12701" s="1092"/>
    </row>
    <row r="12702" spans="8:9">
      <c r="H12702" s="1092"/>
      <c r="I12702" s="1092"/>
    </row>
    <row r="12703" spans="8:9">
      <c r="H12703" s="1092"/>
      <c r="I12703" s="1092"/>
    </row>
    <row r="12704" spans="8:9">
      <c r="H12704" s="1092"/>
      <c r="I12704" s="1092"/>
    </row>
    <row r="12705" spans="8:9">
      <c r="H12705" s="1092"/>
      <c r="I12705" s="1092"/>
    </row>
    <row r="12706" spans="8:9">
      <c r="H12706" s="1092"/>
      <c r="I12706" s="1092"/>
    </row>
    <row r="12707" spans="8:9">
      <c r="H12707" s="1092"/>
      <c r="I12707" s="1092"/>
    </row>
    <row r="12708" spans="8:9">
      <c r="H12708" s="1092"/>
      <c r="I12708" s="1092"/>
    </row>
    <row r="12709" spans="8:9">
      <c r="H12709" s="1092"/>
      <c r="I12709" s="1092"/>
    </row>
    <row r="12710" spans="8:9">
      <c r="H12710" s="1092"/>
      <c r="I12710" s="1092"/>
    </row>
    <row r="12711" spans="8:9">
      <c r="H12711" s="1092"/>
      <c r="I12711" s="1092"/>
    </row>
    <row r="12712" spans="8:9">
      <c r="H12712" s="1092"/>
      <c r="I12712" s="1092"/>
    </row>
    <row r="12713" spans="8:9">
      <c r="H12713" s="1092"/>
      <c r="I12713" s="1092"/>
    </row>
    <row r="12714" spans="8:9">
      <c r="H12714" s="1092"/>
      <c r="I12714" s="1092"/>
    </row>
    <row r="12715" spans="8:9">
      <c r="H12715" s="1092"/>
      <c r="I12715" s="1092"/>
    </row>
    <row r="12716" spans="8:9">
      <c r="H12716" s="1092"/>
      <c r="I12716" s="1092"/>
    </row>
    <row r="12717" spans="8:9">
      <c r="H12717" s="1092"/>
      <c r="I12717" s="1092"/>
    </row>
    <row r="12718" spans="8:9">
      <c r="H12718" s="1092"/>
      <c r="I12718" s="1092"/>
    </row>
    <row r="12719" spans="8:9">
      <c r="H12719" s="1092"/>
      <c r="I12719" s="1092"/>
    </row>
    <row r="12720" spans="8:9">
      <c r="H12720" s="1092"/>
      <c r="I12720" s="1092"/>
    </row>
    <row r="12721" spans="8:9">
      <c r="H12721" s="1092"/>
      <c r="I12721" s="1092"/>
    </row>
    <row r="12722" spans="8:9">
      <c r="H12722" s="1092"/>
      <c r="I12722" s="1092"/>
    </row>
    <row r="12723" spans="8:9">
      <c r="H12723" s="1092"/>
      <c r="I12723" s="1092"/>
    </row>
    <row r="12724" spans="8:9">
      <c r="H12724" s="1092"/>
      <c r="I12724" s="1092"/>
    </row>
    <row r="12725" spans="8:9">
      <c r="H12725" s="1092"/>
      <c r="I12725" s="1092"/>
    </row>
    <row r="12726" spans="8:9">
      <c r="H12726" s="1092"/>
      <c r="I12726" s="1092"/>
    </row>
    <row r="12727" spans="8:9">
      <c r="H12727" s="1092"/>
      <c r="I12727" s="1092"/>
    </row>
    <row r="12728" spans="8:9">
      <c r="H12728" s="1092"/>
      <c r="I12728" s="1092"/>
    </row>
    <row r="12729" spans="8:9">
      <c r="H12729" s="1092"/>
      <c r="I12729" s="1092"/>
    </row>
    <row r="12730" spans="8:9">
      <c r="H12730" s="1092"/>
      <c r="I12730" s="1092"/>
    </row>
    <row r="12731" spans="8:9">
      <c r="H12731" s="1092"/>
      <c r="I12731" s="1092"/>
    </row>
    <row r="12732" spans="8:9">
      <c r="H12732" s="1092"/>
      <c r="I12732" s="1092"/>
    </row>
    <row r="12733" spans="8:9">
      <c r="H12733" s="1092"/>
      <c r="I12733" s="1092"/>
    </row>
    <row r="12734" spans="8:9">
      <c r="H12734" s="1092"/>
      <c r="I12734" s="1092"/>
    </row>
    <row r="12735" spans="8:9">
      <c r="H12735" s="1092"/>
      <c r="I12735" s="1092"/>
    </row>
    <row r="12736" spans="8:9">
      <c r="H12736" s="1092"/>
      <c r="I12736" s="1092"/>
    </row>
    <row r="12737" spans="8:9">
      <c r="H12737" s="1092"/>
      <c r="I12737" s="1092"/>
    </row>
    <row r="12738" spans="8:9">
      <c r="H12738" s="1092"/>
      <c r="I12738" s="1092"/>
    </row>
    <row r="12739" spans="8:9">
      <c r="H12739" s="1092"/>
      <c r="I12739" s="1092"/>
    </row>
    <row r="12740" spans="8:9">
      <c r="H12740" s="1092"/>
      <c r="I12740" s="1092"/>
    </row>
    <row r="12741" spans="8:9">
      <c r="H12741" s="1092"/>
      <c r="I12741" s="1092"/>
    </row>
    <row r="12742" spans="8:9">
      <c r="H12742" s="1092"/>
      <c r="I12742" s="1092"/>
    </row>
    <row r="12743" spans="8:9">
      <c r="H12743" s="1092"/>
      <c r="I12743" s="1092"/>
    </row>
    <row r="12744" spans="8:9">
      <c r="H12744" s="1092"/>
      <c r="I12744" s="1092"/>
    </row>
    <row r="12745" spans="8:9">
      <c r="H12745" s="1092"/>
      <c r="I12745" s="1092"/>
    </row>
    <row r="12746" spans="8:9">
      <c r="H12746" s="1092"/>
      <c r="I12746" s="1092"/>
    </row>
    <row r="12747" spans="8:9">
      <c r="H12747" s="1092"/>
      <c r="I12747" s="1092"/>
    </row>
    <row r="12748" spans="8:9">
      <c r="H12748" s="1092"/>
      <c r="I12748" s="1092"/>
    </row>
    <row r="12749" spans="8:9">
      <c r="H12749" s="1092"/>
      <c r="I12749" s="1092"/>
    </row>
    <row r="12750" spans="8:9">
      <c r="H12750" s="1092"/>
      <c r="I12750" s="1092"/>
    </row>
    <row r="12751" spans="8:9">
      <c r="H12751" s="1092"/>
      <c r="I12751" s="1092"/>
    </row>
    <row r="12752" spans="8:9">
      <c r="H12752" s="1092"/>
      <c r="I12752" s="1092"/>
    </row>
    <row r="12753" spans="8:9">
      <c r="H12753" s="1092"/>
      <c r="I12753" s="1092"/>
    </row>
    <row r="12754" spans="8:9">
      <c r="H12754" s="1092"/>
      <c r="I12754" s="1092"/>
    </row>
    <row r="12755" spans="8:9">
      <c r="H12755" s="1092"/>
      <c r="I12755" s="1092"/>
    </row>
    <row r="12756" spans="8:9">
      <c r="H12756" s="1092"/>
      <c r="I12756" s="1092"/>
    </row>
    <row r="12757" spans="8:9">
      <c r="H12757" s="1092"/>
      <c r="I12757" s="1092"/>
    </row>
    <row r="12758" spans="8:9">
      <c r="H12758" s="1092"/>
      <c r="I12758" s="1092"/>
    </row>
    <row r="12759" spans="8:9">
      <c r="H12759" s="1092"/>
      <c r="I12759" s="1092"/>
    </row>
    <row r="12760" spans="8:9">
      <c r="H12760" s="1092"/>
      <c r="I12760" s="1092"/>
    </row>
    <row r="12761" spans="8:9">
      <c r="H12761" s="1092"/>
      <c r="I12761" s="1092"/>
    </row>
    <row r="12762" spans="8:9">
      <c r="H12762" s="1092"/>
      <c r="I12762" s="1092"/>
    </row>
    <row r="12763" spans="8:9">
      <c r="H12763" s="1092"/>
      <c r="I12763" s="1092"/>
    </row>
    <row r="12764" spans="8:9">
      <c r="H12764" s="1092"/>
      <c r="I12764" s="1092"/>
    </row>
    <row r="12765" spans="8:9">
      <c r="H12765" s="1092"/>
      <c r="I12765" s="1092"/>
    </row>
    <row r="12766" spans="8:9">
      <c r="H12766" s="1092"/>
      <c r="I12766" s="1092"/>
    </row>
    <row r="12767" spans="8:9">
      <c r="H12767" s="1092"/>
      <c r="I12767" s="1092"/>
    </row>
    <row r="12768" spans="8:9">
      <c r="H12768" s="1092"/>
      <c r="I12768" s="1092"/>
    </row>
    <row r="12769" spans="8:9">
      <c r="H12769" s="1092"/>
      <c r="I12769" s="1092"/>
    </row>
    <row r="12770" spans="8:9">
      <c r="H12770" s="1092"/>
      <c r="I12770" s="1092"/>
    </row>
    <row r="12771" spans="8:9">
      <c r="H12771" s="1092"/>
      <c r="I12771" s="1092"/>
    </row>
    <row r="12772" spans="8:9">
      <c r="H12772" s="1092"/>
      <c r="I12772" s="1092"/>
    </row>
    <row r="12773" spans="8:9">
      <c r="H12773" s="1092"/>
      <c r="I12773" s="1092"/>
    </row>
    <row r="12774" spans="8:9">
      <c r="H12774" s="1092"/>
      <c r="I12774" s="1092"/>
    </row>
    <row r="12775" spans="8:9">
      <c r="H12775" s="1092"/>
      <c r="I12775" s="1092"/>
    </row>
    <row r="12776" spans="8:9">
      <c r="H12776" s="1092"/>
      <c r="I12776" s="1092"/>
    </row>
    <row r="12777" spans="8:9">
      <c r="H12777" s="1092"/>
      <c r="I12777" s="1092"/>
    </row>
    <row r="12778" spans="8:9">
      <c r="H12778" s="1092"/>
      <c r="I12778" s="1092"/>
    </row>
    <row r="12779" spans="8:9">
      <c r="H12779" s="1092"/>
      <c r="I12779" s="1092"/>
    </row>
    <row r="12780" spans="8:9">
      <c r="H12780" s="1092"/>
      <c r="I12780" s="1092"/>
    </row>
    <row r="12781" spans="8:9">
      <c r="H12781" s="1092"/>
      <c r="I12781" s="1092"/>
    </row>
    <row r="12782" spans="8:9">
      <c r="H12782" s="1092"/>
      <c r="I12782" s="1092"/>
    </row>
    <row r="12783" spans="8:9">
      <c r="H12783" s="1092"/>
      <c r="I12783" s="1092"/>
    </row>
    <row r="12784" spans="8:9">
      <c r="H12784" s="1092"/>
      <c r="I12784" s="1092"/>
    </row>
    <row r="12785" spans="8:9">
      <c r="H12785" s="1092"/>
      <c r="I12785" s="1092"/>
    </row>
    <row r="12786" spans="8:9">
      <c r="H12786" s="1092"/>
      <c r="I12786" s="1092"/>
    </row>
    <row r="12787" spans="8:9">
      <c r="H12787" s="1092"/>
      <c r="I12787" s="1092"/>
    </row>
    <row r="12788" spans="8:9">
      <c r="H12788" s="1092"/>
      <c r="I12788" s="1092"/>
    </row>
    <row r="12789" spans="8:9">
      <c r="H12789" s="1092"/>
      <c r="I12789" s="1092"/>
    </row>
    <row r="12790" spans="8:9">
      <c r="H12790" s="1092"/>
      <c r="I12790" s="1092"/>
    </row>
    <row r="12791" spans="8:9">
      <c r="H12791" s="1092"/>
      <c r="I12791" s="1092"/>
    </row>
    <row r="12792" spans="8:9">
      <c r="H12792" s="1092"/>
      <c r="I12792" s="1092"/>
    </row>
    <row r="12793" spans="8:9">
      <c r="H12793" s="1092"/>
      <c r="I12793" s="1092"/>
    </row>
    <row r="12794" spans="8:9">
      <c r="H12794" s="1092"/>
      <c r="I12794" s="1092"/>
    </row>
    <row r="12795" spans="8:9">
      <c r="H12795" s="1092"/>
      <c r="I12795" s="1092"/>
    </row>
    <row r="12796" spans="8:9">
      <c r="H12796" s="1092"/>
      <c r="I12796" s="1092"/>
    </row>
    <row r="12797" spans="8:9">
      <c r="H12797" s="1092"/>
      <c r="I12797" s="1092"/>
    </row>
    <row r="12798" spans="8:9">
      <c r="H12798" s="1092"/>
      <c r="I12798" s="1092"/>
    </row>
    <row r="12799" spans="8:9">
      <c r="H12799" s="1092"/>
      <c r="I12799" s="1092"/>
    </row>
    <row r="12800" spans="8:9">
      <c r="H12800" s="1092"/>
      <c r="I12800" s="1092"/>
    </row>
    <row r="12801" spans="8:9">
      <c r="H12801" s="1092"/>
      <c r="I12801" s="1092"/>
    </row>
    <row r="12802" spans="8:9">
      <c r="H12802" s="1092"/>
      <c r="I12802" s="1092"/>
    </row>
    <row r="12803" spans="8:9">
      <c r="H12803" s="1092"/>
      <c r="I12803" s="1092"/>
    </row>
    <row r="12804" spans="8:9">
      <c r="H12804" s="1092"/>
      <c r="I12804" s="1092"/>
    </row>
    <row r="12805" spans="8:9">
      <c r="H12805" s="1092"/>
      <c r="I12805" s="1092"/>
    </row>
    <row r="12806" spans="8:9">
      <c r="H12806" s="1092"/>
      <c r="I12806" s="1092"/>
    </row>
    <row r="12807" spans="8:9">
      <c r="H12807" s="1092"/>
      <c r="I12807" s="1092"/>
    </row>
    <row r="12808" spans="8:9">
      <c r="H12808" s="1092"/>
      <c r="I12808" s="1092"/>
    </row>
    <row r="12809" spans="8:9">
      <c r="H12809" s="1092"/>
      <c r="I12809" s="1092"/>
    </row>
    <row r="12810" spans="8:9">
      <c r="H12810" s="1092"/>
      <c r="I12810" s="1092"/>
    </row>
    <row r="12811" spans="8:9">
      <c r="H12811" s="1092"/>
      <c r="I12811" s="1092"/>
    </row>
    <row r="12812" spans="8:9">
      <c r="H12812" s="1092"/>
      <c r="I12812" s="1092"/>
    </row>
    <row r="12813" spans="8:9">
      <c r="H12813" s="1092"/>
      <c r="I12813" s="1092"/>
    </row>
    <row r="12814" spans="8:9">
      <c r="H12814" s="1092"/>
      <c r="I12814" s="1092"/>
    </row>
    <row r="12815" spans="8:9">
      <c r="H12815" s="1092"/>
      <c r="I12815" s="1092"/>
    </row>
    <row r="12816" spans="8:9">
      <c r="H12816" s="1092"/>
      <c r="I12816" s="1092"/>
    </row>
    <row r="12817" spans="8:9">
      <c r="H12817" s="1092"/>
      <c r="I12817" s="1092"/>
    </row>
    <row r="12818" spans="8:9">
      <c r="H12818" s="1092"/>
      <c r="I12818" s="1092"/>
    </row>
    <row r="12819" spans="8:9">
      <c r="H12819" s="1092"/>
      <c r="I12819" s="1092"/>
    </row>
    <row r="12820" spans="8:9">
      <c r="H12820" s="1092"/>
      <c r="I12820" s="1092"/>
    </row>
    <row r="12821" spans="8:9">
      <c r="H12821" s="1092"/>
      <c r="I12821" s="1092"/>
    </row>
    <row r="12822" spans="8:9">
      <c r="H12822" s="1092"/>
      <c r="I12822" s="1092"/>
    </row>
    <row r="12823" spans="8:9">
      <c r="H12823" s="1092"/>
      <c r="I12823" s="1092"/>
    </row>
    <row r="12824" spans="8:9">
      <c r="H12824" s="1092"/>
      <c r="I12824" s="1092"/>
    </row>
    <row r="12825" spans="8:9">
      <c r="H12825" s="1092"/>
      <c r="I12825" s="1092"/>
    </row>
    <row r="12826" spans="8:9">
      <c r="H12826" s="1092"/>
      <c r="I12826" s="1092"/>
    </row>
    <row r="12827" spans="8:9">
      <c r="H12827" s="1092"/>
      <c r="I12827" s="1092"/>
    </row>
    <row r="12828" spans="8:9">
      <c r="H12828" s="1092"/>
      <c r="I12828" s="1092"/>
    </row>
    <row r="12829" spans="8:9">
      <c r="H12829" s="1092"/>
      <c r="I12829" s="1092"/>
    </row>
    <row r="12830" spans="8:9">
      <c r="H12830" s="1092"/>
      <c r="I12830" s="1092"/>
    </row>
    <row r="12831" spans="8:9">
      <c r="H12831" s="1092"/>
      <c r="I12831" s="1092"/>
    </row>
    <row r="12832" spans="8:9">
      <c r="H12832" s="1092"/>
      <c r="I12832" s="1092"/>
    </row>
    <row r="12833" spans="8:9">
      <c r="H12833" s="1092"/>
      <c r="I12833" s="1092"/>
    </row>
    <row r="12834" spans="8:9">
      <c r="H12834" s="1092"/>
      <c r="I12834" s="1092"/>
    </row>
    <row r="12835" spans="8:9">
      <c r="H12835" s="1092"/>
      <c r="I12835" s="1092"/>
    </row>
    <row r="12836" spans="8:9">
      <c r="H12836" s="1092"/>
      <c r="I12836" s="1092"/>
    </row>
    <row r="12837" spans="8:9">
      <c r="H12837" s="1092"/>
      <c r="I12837" s="1092"/>
    </row>
    <row r="12838" spans="8:9">
      <c r="H12838" s="1092"/>
      <c r="I12838" s="1092"/>
    </row>
    <row r="12839" spans="8:9">
      <c r="H12839" s="1092"/>
      <c r="I12839" s="1092"/>
    </row>
    <row r="12840" spans="8:9">
      <c r="H12840" s="1092"/>
      <c r="I12840" s="1092"/>
    </row>
    <row r="12841" spans="8:9">
      <c r="H12841" s="1092"/>
      <c r="I12841" s="1092"/>
    </row>
    <row r="12842" spans="8:9">
      <c r="H12842" s="1092"/>
      <c r="I12842" s="1092"/>
    </row>
    <row r="12843" spans="8:9">
      <c r="H12843" s="1092"/>
      <c r="I12843" s="1092"/>
    </row>
    <row r="12844" spans="8:9">
      <c r="H12844" s="1092"/>
      <c r="I12844" s="1092"/>
    </row>
    <row r="12845" spans="8:9">
      <c r="H12845" s="1092"/>
      <c r="I12845" s="1092"/>
    </row>
    <row r="12846" spans="8:9">
      <c r="H12846" s="1092"/>
      <c r="I12846" s="1092"/>
    </row>
    <row r="12847" spans="8:9">
      <c r="H12847" s="1092"/>
      <c r="I12847" s="1092"/>
    </row>
    <row r="12848" spans="8:9">
      <c r="H12848" s="1092"/>
      <c r="I12848" s="1092"/>
    </row>
    <row r="12849" spans="8:9">
      <c r="H12849" s="1092"/>
      <c r="I12849" s="1092"/>
    </row>
    <row r="12850" spans="8:9">
      <c r="H12850" s="1092"/>
      <c r="I12850" s="1092"/>
    </row>
    <row r="12851" spans="8:9">
      <c r="H12851" s="1092"/>
      <c r="I12851" s="1092"/>
    </row>
    <row r="12852" spans="8:9">
      <c r="H12852" s="1092"/>
      <c r="I12852" s="1092"/>
    </row>
    <row r="12853" spans="8:9">
      <c r="H12853" s="1092"/>
      <c r="I12853" s="1092"/>
    </row>
    <row r="12854" spans="8:9">
      <c r="H12854" s="1092"/>
      <c r="I12854" s="1092"/>
    </row>
    <row r="12855" spans="8:9">
      <c r="H12855" s="1092"/>
      <c r="I12855" s="1092"/>
    </row>
    <row r="12856" spans="8:9">
      <c r="H12856" s="1092"/>
      <c r="I12856" s="1092"/>
    </row>
    <row r="12857" spans="8:9">
      <c r="H12857" s="1092"/>
      <c r="I12857" s="1092"/>
    </row>
    <row r="12858" spans="8:9">
      <c r="H12858" s="1092"/>
      <c r="I12858" s="1092"/>
    </row>
    <row r="12859" spans="8:9">
      <c r="H12859" s="1092"/>
      <c r="I12859" s="1092"/>
    </row>
    <row r="12860" spans="8:9">
      <c r="H12860" s="1092"/>
      <c r="I12860" s="1092"/>
    </row>
    <row r="12861" spans="8:9">
      <c r="H12861" s="1092"/>
      <c r="I12861" s="1092"/>
    </row>
    <row r="12862" spans="8:9">
      <c r="H12862" s="1092"/>
      <c r="I12862" s="1092"/>
    </row>
    <row r="12863" spans="8:9">
      <c r="H12863" s="1092"/>
      <c r="I12863" s="1092"/>
    </row>
    <row r="12864" spans="8:9">
      <c r="H12864" s="1092"/>
      <c r="I12864" s="1092"/>
    </row>
    <row r="12865" spans="8:9">
      <c r="H12865" s="1092"/>
      <c r="I12865" s="1092"/>
    </row>
    <row r="12866" spans="8:9">
      <c r="H12866" s="1092"/>
      <c r="I12866" s="1092"/>
    </row>
    <row r="12867" spans="8:9">
      <c r="H12867" s="1092"/>
      <c r="I12867" s="1092"/>
    </row>
    <row r="12868" spans="8:9">
      <c r="H12868" s="1092"/>
      <c r="I12868" s="1092"/>
    </row>
    <row r="12869" spans="8:9">
      <c r="H12869" s="1092"/>
      <c r="I12869" s="1092"/>
    </row>
    <row r="12870" spans="8:9">
      <c r="H12870" s="1092"/>
      <c r="I12870" s="1092"/>
    </row>
    <row r="12871" spans="8:9">
      <c r="H12871" s="1092"/>
      <c r="I12871" s="1092"/>
    </row>
    <row r="12872" spans="8:9">
      <c r="H12872" s="1092"/>
      <c r="I12872" s="1092"/>
    </row>
    <row r="12873" spans="8:9">
      <c r="H12873" s="1092"/>
      <c r="I12873" s="1092"/>
    </row>
    <row r="12874" spans="8:9">
      <c r="H12874" s="1092"/>
      <c r="I12874" s="1092"/>
    </row>
    <row r="12875" spans="8:9">
      <c r="H12875" s="1092"/>
      <c r="I12875" s="1092"/>
    </row>
    <row r="12876" spans="8:9">
      <c r="H12876" s="1092"/>
      <c r="I12876" s="1092"/>
    </row>
    <row r="12877" spans="8:9">
      <c r="H12877" s="1092"/>
      <c r="I12877" s="1092"/>
    </row>
    <row r="12878" spans="8:9">
      <c r="H12878" s="1092"/>
      <c r="I12878" s="1092"/>
    </row>
    <row r="12879" spans="8:9">
      <c r="H12879" s="1092"/>
      <c r="I12879" s="1092"/>
    </row>
    <row r="12880" spans="8:9">
      <c r="H12880" s="1092"/>
      <c r="I12880" s="1092"/>
    </row>
    <row r="12881" spans="8:9">
      <c r="H12881" s="1092"/>
      <c r="I12881" s="1092"/>
    </row>
    <row r="12882" spans="8:9">
      <c r="H12882" s="1092"/>
      <c r="I12882" s="1092"/>
    </row>
    <row r="12883" spans="8:9">
      <c r="H12883" s="1092"/>
      <c r="I12883" s="1092"/>
    </row>
    <row r="12884" spans="8:9">
      <c r="H12884" s="1092"/>
      <c r="I12884" s="1092"/>
    </row>
    <row r="12885" spans="8:9">
      <c r="H12885" s="1092"/>
      <c r="I12885" s="1092"/>
    </row>
    <row r="12886" spans="8:9">
      <c r="H12886" s="1092"/>
      <c r="I12886" s="1092"/>
    </row>
    <row r="12887" spans="8:9">
      <c r="H12887" s="1092"/>
      <c r="I12887" s="1092"/>
    </row>
    <row r="12888" spans="8:9">
      <c r="H12888" s="1092"/>
      <c r="I12888" s="1092"/>
    </row>
    <row r="12889" spans="8:9">
      <c r="H12889" s="1092"/>
      <c r="I12889" s="1092"/>
    </row>
    <row r="12890" spans="8:9">
      <c r="H12890" s="1092"/>
      <c r="I12890" s="1092"/>
    </row>
    <row r="12891" spans="8:9">
      <c r="H12891" s="1092"/>
      <c r="I12891" s="1092"/>
    </row>
    <row r="12892" spans="8:9">
      <c r="H12892" s="1092"/>
      <c r="I12892" s="1092"/>
    </row>
    <row r="12893" spans="8:9">
      <c r="H12893" s="1092"/>
      <c r="I12893" s="1092"/>
    </row>
    <row r="12894" spans="8:9">
      <c r="H12894" s="1092"/>
      <c r="I12894" s="1092"/>
    </row>
    <row r="12895" spans="8:9">
      <c r="H12895" s="1092"/>
      <c r="I12895" s="1092"/>
    </row>
    <row r="12896" spans="8:9">
      <c r="H12896" s="1092"/>
      <c r="I12896" s="1092"/>
    </row>
    <row r="12897" spans="8:9">
      <c r="H12897" s="1092"/>
      <c r="I12897" s="1092"/>
    </row>
    <row r="12898" spans="8:9">
      <c r="H12898" s="1092"/>
      <c r="I12898" s="1092"/>
    </row>
    <row r="12899" spans="8:9">
      <c r="H12899" s="1092"/>
      <c r="I12899" s="1092"/>
    </row>
    <row r="12900" spans="8:9">
      <c r="H12900" s="1092"/>
      <c r="I12900" s="1092"/>
    </row>
    <row r="12901" spans="8:9">
      <c r="H12901" s="1092"/>
      <c r="I12901" s="1092"/>
    </row>
    <row r="12902" spans="8:9">
      <c r="H12902" s="1092"/>
      <c r="I12902" s="1092"/>
    </row>
    <row r="12903" spans="8:9">
      <c r="H12903" s="1092"/>
      <c r="I12903" s="1092"/>
    </row>
    <row r="12904" spans="8:9">
      <c r="H12904" s="1092"/>
      <c r="I12904" s="1092"/>
    </row>
    <row r="12905" spans="8:9">
      <c r="H12905" s="1092"/>
      <c r="I12905" s="1092"/>
    </row>
    <row r="12906" spans="8:9">
      <c r="H12906" s="1092"/>
      <c r="I12906" s="1092"/>
    </row>
    <row r="12907" spans="8:9">
      <c r="H12907" s="1092"/>
      <c r="I12907" s="1092"/>
    </row>
    <row r="12908" spans="8:9">
      <c r="H12908" s="1092"/>
      <c r="I12908" s="1092"/>
    </row>
    <row r="12909" spans="8:9">
      <c r="H12909" s="1092"/>
      <c r="I12909" s="1092"/>
    </row>
    <row r="12910" spans="8:9">
      <c r="H12910" s="1092"/>
      <c r="I12910" s="1092"/>
    </row>
    <row r="12911" spans="8:9">
      <c r="H12911" s="1092"/>
      <c r="I12911" s="1092"/>
    </row>
    <row r="12912" spans="8:9">
      <c r="H12912" s="1092"/>
      <c r="I12912" s="1092"/>
    </row>
    <row r="12913" spans="8:9">
      <c r="H12913" s="1092"/>
      <c r="I12913" s="1092"/>
    </row>
    <row r="12914" spans="8:9">
      <c r="H12914" s="1092"/>
      <c r="I12914" s="1092"/>
    </row>
    <row r="12915" spans="8:9">
      <c r="H12915" s="1092"/>
      <c r="I12915" s="1092"/>
    </row>
    <row r="12916" spans="8:9">
      <c r="H12916" s="1092"/>
      <c r="I12916" s="1092"/>
    </row>
    <row r="12917" spans="8:9">
      <c r="H12917" s="1092"/>
      <c r="I12917" s="1092"/>
    </row>
    <row r="12918" spans="8:9">
      <c r="H12918" s="1092"/>
      <c r="I12918" s="1092"/>
    </row>
    <row r="12919" spans="8:9">
      <c r="H12919" s="1092"/>
      <c r="I12919" s="1092"/>
    </row>
    <row r="12920" spans="8:9">
      <c r="H12920" s="1092"/>
      <c r="I12920" s="1092"/>
    </row>
    <row r="12921" spans="8:9">
      <c r="H12921" s="1092"/>
      <c r="I12921" s="1092"/>
    </row>
    <row r="12922" spans="8:9">
      <c r="H12922" s="1092"/>
      <c r="I12922" s="1092"/>
    </row>
    <row r="12923" spans="8:9">
      <c r="H12923" s="1092"/>
      <c r="I12923" s="1092"/>
    </row>
    <row r="12924" spans="8:9">
      <c r="H12924" s="1092"/>
      <c r="I12924" s="1092"/>
    </row>
    <row r="12925" spans="8:9">
      <c r="H12925" s="1092"/>
      <c r="I12925" s="1092"/>
    </row>
    <row r="12926" spans="8:9">
      <c r="H12926" s="1092"/>
      <c r="I12926" s="1092"/>
    </row>
    <row r="12927" spans="8:9">
      <c r="H12927" s="1092"/>
      <c r="I12927" s="1092"/>
    </row>
    <row r="12928" spans="8:9">
      <c r="H12928" s="1092"/>
      <c r="I12928" s="1092"/>
    </row>
    <row r="12929" spans="8:9">
      <c r="H12929" s="1092"/>
      <c r="I12929" s="1092"/>
    </row>
    <row r="12930" spans="8:9">
      <c r="H12930" s="1092"/>
      <c r="I12930" s="1092"/>
    </row>
    <row r="12931" spans="8:9">
      <c r="H12931" s="1092"/>
      <c r="I12931" s="1092"/>
    </row>
    <row r="12932" spans="8:9">
      <c r="H12932" s="1092"/>
      <c r="I12932" s="1092"/>
    </row>
    <row r="12933" spans="8:9">
      <c r="H12933" s="1092"/>
      <c r="I12933" s="1092"/>
    </row>
    <row r="12934" spans="8:9">
      <c r="H12934" s="1092"/>
      <c r="I12934" s="1092"/>
    </row>
    <row r="12935" spans="8:9">
      <c r="H12935" s="1092"/>
      <c r="I12935" s="1092"/>
    </row>
    <row r="12936" spans="8:9">
      <c r="H12936" s="1092"/>
      <c r="I12936" s="1092"/>
    </row>
    <row r="12937" spans="8:9">
      <c r="H12937" s="1092"/>
      <c r="I12937" s="1092"/>
    </row>
    <row r="12938" spans="8:9">
      <c r="H12938" s="1092"/>
      <c r="I12938" s="1092"/>
    </row>
    <row r="12939" spans="8:9">
      <c r="H12939" s="1092"/>
      <c r="I12939" s="1092"/>
    </row>
    <row r="12940" spans="8:9">
      <c r="H12940" s="1092"/>
      <c r="I12940" s="1092"/>
    </row>
    <row r="12941" spans="8:9">
      <c r="H12941" s="1092"/>
      <c r="I12941" s="1092"/>
    </row>
    <row r="12942" spans="8:9">
      <c r="H12942" s="1092"/>
      <c r="I12942" s="1092"/>
    </row>
    <row r="12943" spans="8:9">
      <c r="H12943" s="1092"/>
      <c r="I12943" s="1092"/>
    </row>
    <row r="12944" spans="8:9">
      <c r="H12944" s="1092"/>
      <c r="I12944" s="1092"/>
    </row>
    <row r="12945" spans="8:9">
      <c r="H12945" s="1092"/>
      <c r="I12945" s="1092"/>
    </row>
    <row r="12946" spans="8:9">
      <c r="H12946" s="1092"/>
      <c r="I12946" s="1092"/>
    </row>
    <row r="12947" spans="8:9">
      <c r="H12947" s="1092"/>
      <c r="I12947" s="1092"/>
    </row>
    <row r="12948" spans="8:9">
      <c r="H12948" s="1092"/>
      <c r="I12948" s="1092"/>
    </row>
    <row r="12949" spans="8:9">
      <c r="H12949" s="1092"/>
      <c r="I12949" s="1092"/>
    </row>
    <row r="12950" spans="8:9">
      <c r="H12950" s="1092"/>
      <c r="I12950" s="1092"/>
    </row>
    <row r="12951" spans="8:9">
      <c r="H12951" s="1092"/>
      <c r="I12951" s="1092"/>
    </row>
    <row r="12952" spans="8:9">
      <c r="H12952" s="1092"/>
      <c r="I12952" s="1092"/>
    </row>
    <row r="12953" spans="8:9">
      <c r="H12953" s="1092"/>
      <c r="I12953" s="1092"/>
    </row>
    <row r="12954" spans="8:9">
      <c r="H12954" s="1092"/>
      <c r="I12954" s="1092"/>
    </row>
    <row r="12955" spans="8:9">
      <c r="H12955" s="1092"/>
      <c r="I12955" s="1092"/>
    </row>
    <row r="12956" spans="8:9">
      <c r="H12956" s="1092"/>
      <c r="I12956" s="1092"/>
    </row>
    <row r="12957" spans="8:9">
      <c r="H12957" s="1092"/>
      <c r="I12957" s="1092"/>
    </row>
    <row r="12958" spans="8:9">
      <c r="H12958" s="1092"/>
      <c r="I12958" s="1092"/>
    </row>
    <row r="12959" spans="8:9">
      <c r="H12959" s="1092"/>
      <c r="I12959" s="1092"/>
    </row>
    <row r="12960" spans="8:9">
      <c r="H12960" s="1092"/>
      <c r="I12960" s="1092"/>
    </row>
    <row r="12961" spans="8:9">
      <c r="H12961" s="1092"/>
      <c r="I12961" s="1092"/>
    </row>
    <row r="12962" spans="8:9">
      <c r="H12962" s="1092"/>
      <c r="I12962" s="1092"/>
    </row>
    <row r="12963" spans="8:9">
      <c r="H12963" s="1092"/>
      <c r="I12963" s="1092"/>
    </row>
    <row r="12964" spans="8:9">
      <c r="H12964" s="1092"/>
      <c r="I12964" s="1092"/>
    </row>
    <row r="12965" spans="8:9">
      <c r="H12965" s="1092"/>
      <c r="I12965" s="1092"/>
    </row>
    <row r="12966" spans="8:9">
      <c r="H12966" s="1092"/>
      <c r="I12966" s="1092"/>
    </row>
    <row r="12967" spans="8:9">
      <c r="H12967" s="1092"/>
      <c r="I12967" s="1092"/>
    </row>
    <row r="12968" spans="8:9">
      <c r="H12968" s="1092"/>
      <c r="I12968" s="1092"/>
    </row>
    <row r="12969" spans="8:9">
      <c r="H12969" s="1092"/>
      <c r="I12969" s="1092"/>
    </row>
    <row r="12970" spans="8:9">
      <c r="H12970" s="1092"/>
      <c r="I12970" s="1092"/>
    </row>
    <row r="12971" spans="8:9">
      <c r="H12971" s="1092"/>
      <c r="I12971" s="1092"/>
    </row>
    <row r="12972" spans="8:9">
      <c r="H12972" s="1092"/>
      <c r="I12972" s="1092"/>
    </row>
    <row r="12973" spans="8:9">
      <c r="H12973" s="1092"/>
      <c r="I12973" s="1092"/>
    </row>
    <row r="12974" spans="8:9">
      <c r="H12974" s="1092"/>
      <c r="I12974" s="1092"/>
    </row>
    <row r="12975" spans="8:9">
      <c r="H12975" s="1092"/>
      <c r="I12975" s="1092"/>
    </row>
    <row r="12976" spans="8:9">
      <c r="H12976" s="1092"/>
      <c r="I12976" s="1092"/>
    </row>
    <row r="12977" spans="8:9">
      <c r="H12977" s="1092"/>
      <c r="I12977" s="1092"/>
    </row>
    <row r="12978" spans="8:9">
      <c r="H12978" s="1092"/>
      <c r="I12978" s="1092"/>
    </row>
    <row r="12979" spans="8:9">
      <c r="H12979" s="1092"/>
      <c r="I12979" s="1092"/>
    </row>
    <row r="12980" spans="8:9">
      <c r="H12980" s="1092"/>
      <c r="I12980" s="1092"/>
    </row>
    <row r="12981" spans="8:9">
      <c r="H12981" s="1092"/>
      <c r="I12981" s="1092"/>
    </row>
    <row r="12982" spans="8:9">
      <c r="H12982" s="1092"/>
      <c r="I12982" s="1092"/>
    </row>
    <row r="12983" spans="8:9">
      <c r="H12983" s="1092"/>
      <c r="I12983" s="1092"/>
    </row>
    <row r="12984" spans="8:9">
      <c r="H12984" s="1092"/>
      <c r="I12984" s="1092"/>
    </row>
    <row r="12985" spans="8:9">
      <c r="H12985" s="1092"/>
      <c r="I12985" s="1092"/>
    </row>
    <row r="12986" spans="8:9">
      <c r="H12986" s="1092"/>
      <c r="I12986" s="1092"/>
    </row>
    <row r="12987" spans="8:9">
      <c r="H12987" s="1092"/>
      <c r="I12987" s="1092"/>
    </row>
    <row r="12988" spans="8:9">
      <c r="H12988" s="1092"/>
      <c r="I12988" s="1092"/>
    </row>
    <row r="12989" spans="8:9">
      <c r="H12989" s="1092"/>
      <c r="I12989" s="1092"/>
    </row>
    <row r="12990" spans="8:9">
      <c r="H12990" s="1092"/>
      <c r="I12990" s="1092"/>
    </row>
    <row r="12991" spans="8:9">
      <c r="H12991" s="1092"/>
      <c r="I12991" s="1092"/>
    </row>
    <row r="12992" spans="8:9">
      <c r="H12992" s="1092"/>
      <c r="I12992" s="1092"/>
    </row>
    <row r="12993" spans="8:9">
      <c r="H12993" s="1092"/>
      <c r="I12993" s="1092"/>
    </row>
    <row r="12994" spans="8:9">
      <c r="H12994" s="1092"/>
      <c r="I12994" s="1092"/>
    </row>
    <row r="12995" spans="8:9">
      <c r="H12995" s="1092"/>
      <c r="I12995" s="1092"/>
    </row>
    <row r="12996" spans="8:9">
      <c r="H12996" s="1092"/>
      <c r="I12996" s="1092"/>
    </row>
    <row r="12997" spans="8:9">
      <c r="H12997" s="1092"/>
      <c r="I12997" s="1092"/>
    </row>
    <row r="12998" spans="8:9">
      <c r="H12998" s="1092"/>
      <c r="I12998" s="1092"/>
    </row>
    <row r="12999" spans="8:9">
      <c r="H12999" s="1092"/>
      <c r="I12999" s="1092"/>
    </row>
    <row r="13000" spans="8:9">
      <c r="H13000" s="1092"/>
      <c r="I13000" s="1092"/>
    </row>
    <row r="13001" spans="8:9">
      <c r="H13001" s="1092"/>
      <c r="I13001" s="1092"/>
    </row>
    <row r="13002" spans="8:9">
      <c r="H13002" s="1092"/>
      <c r="I13002" s="1092"/>
    </row>
    <row r="13003" spans="8:9">
      <c r="H13003" s="1092"/>
      <c r="I13003" s="1092"/>
    </row>
    <row r="13004" spans="8:9">
      <c r="H13004" s="1092"/>
      <c r="I13004" s="1092"/>
    </row>
    <row r="13005" spans="8:9">
      <c r="H13005" s="1092"/>
      <c r="I13005" s="1092"/>
    </row>
    <row r="13006" spans="8:9">
      <c r="H13006" s="1092"/>
      <c r="I13006" s="1092"/>
    </row>
    <row r="13007" spans="8:9">
      <c r="H13007" s="1092"/>
      <c r="I13007" s="1092"/>
    </row>
    <row r="13008" spans="8:9">
      <c r="H13008" s="1092"/>
      <c r="I13008" s="1092"/>
    </row>
    <row r="13009" spans="8:9">
      <c r="H13009" s="1092"/>
      <c r="I13009" s="1092"/>
    </row>
    <row r="13010" spans="8:9">
      <c r="H13010" s="1092"/>
      <c r="I13010" s="1092"/>
    </row>
    <row r="13011" spans="8:9">
      <c r="H13011" s="1092"/>
      <c r="I13011" s="1092"/>
    </row>
    <row r="13012" spans="8:9">
      <c r="H13012" s="1092"/>
      <c r="I13012" s="1092"/>
    </row>
    <row r="13013" spans="8:9">
      <c r="H13013" s="1092"/>
      <c r="I13013" s="1092"/>
    </row>
    <row r="13014" spans="8:9">
      <c r="H13014" s="1092"/>
      <c r="I13014" s="1092"/>
    </row>
    <row r="13015" spans="8:9">
      <c r="H13015" s="1092"/>
      <c r="I13015" s="1092"/>
    </row>
    <row r="13016" spans="8:9">
      <c r="H13016" s="1092"/>
      <c r="I13016" s="1092"/>
    </row>
    <row r="13017" spans="8:9">
      <c r="H13017" s="1092"/>
      <c r="I13017" s="1092"/>
    </row>
    <row r="13018" spans="8:9">
      <c r="H13018" s="1092"/>
      <c r="I13018" s="1092"/>
    </row>
    <row r="13019" spans="8:9">
      <c r="H13019" s="1092"/>
      <c r="I13019" s="1092"/>
    </row>
    <row r="13020" spans="8:9">
      <c r="H13020" s="1092"/>
      <c r="I13020" s="1092"/>
    </row>
    <row r="13021" spans="8:9">
      <c r="H13021" s="1092"/>
      <c r="I13021" s="1092"/>
    </row>
    <row r="13022" spans="8:9">
      <c r="H13022" s="1092"/>
      <c r="I13022" s="1092"/>
    </row>
    <row r="13023" spans="8:9">
      <c r="H13023" s="1092"/>
      <c r="I13023" s="1092"/>
    </row>
    <row r="13024" spans="8:9">
      <c r="H13024" s="1092"/>
      <c r="I13024" s="1092"/>
    </row>
    <row r="13025" spans="8:9">
      <c r="H13025" s="1092"/>
      <c r="I13025" s="1092"/>
    </row>
    <row r="13026" spans="8:9">
      <c r="H13026" s="1092"/>
      <c r="I13026" s="1092"/>
    </row>
    <row r="13027" spans="8:9">
      <c r="H13027" s="1092"/>
      <c r="I13027" s="1092"/>
    </row>
    <row r="13028" spans="8:9">
      <c r="H13028" s="1092"/>
      <c r="I13028" s="1092"/>
    </row>
    <row r="13029" spans="8:9">
      <c r="H13029" s="1092"/>
      <c r="I13029" s="1092"/>
    </row>
    <row r="13030" spans="8:9">
      <c r="H13030" s="1092"/>
      <c r="I13030" s="1092"/>
    </row>
    <row r="13031" spans="8:9">
      <c r="H13031" s="1092"/>
      <c r="I13031" s="1092"/>
    </row>
    <row r="13032" spans="8:9">
      <c r="H13032" s="1092"/>
      <c r="I13032" s="1092"/>
    </row>
    <row r="13033" spans="8:9">
      <c r="H13033" s="1092"/>
      <c r="I13033" s="1092"/>
    </row>
    <row r="13034" spans="8:9">
      <c r="H13034" s="1092"/>
      <c r="I13034" s="1092"/>
    </row>
    <row r="13035" spans="8:9">
      <c r="H13035" s="1092"/>
      <c r="I13035" s="1092"/>
    </row>
    <row r="13036" spans="8:9">
      <c r="H13036" s="1092"/>
      <c r="I13036" s="1092"/>
    </row>
    <row r="13037" spans="8:9">
      <c r="H13037" s="1092"/>
      <c r="I13037" s="1092"/>
    </row>
    <row r="13038" spans="8:9">
      <c r="H13038" s="1092"/>
      <c r="I13038" s="1092"/>
    </row>
    <row r="13039" spans="8:9">
      <c r="H13039" s="1092"/>
      <c r="I13039" s="1092"/>
    </row>
    <row r="13040" spans="8:9">
      <c r="H13040" s="1092"/>
      <c r="I13040" s="1092"/>
    </row>
    <row r="13041" spans="8:9">
      <c r="H13041" s="1092"/>
      <c r="I13041" s="1092"/>
    </row>
    <row r="13042" spans="8:9">
      <c r="H13042" s="1092"/>
      <c r="I13042" s="1092"/>
    </row>
    <row r="13043" spans="8:9">
      <c r="H13043" s="1092"/>
      <c r="I13043" s="1092"/>
    </row>
    <row r="13044" spans="8:9">
      <c r="H13044" s="1092"/>
      <c r="I13044" s="1092"/>
    </row>
    <row r="13045" spans="8:9">
      <c r="H13045" s="1092"/>
      <c r="I13045" s="1092"/>
    </row>
    <row r="13046" spans="8:9">
      <c r="H13046" s="1092"/>
      <c r="I13046" s="1092"/>
    </row>
    <row r="13047" spans="8:9">
      <c r="H13047" s="1092"/>
      <c r="I13047" s="1092"/>
    </row>
    <row r="13048" spans="8:9">
      <c r="H13048" s="1092"/>
      <c r="I13048" s="1092"/>
    </row>
    <row r="13049" spans="8:9">
      <c r="H13049" s="1092"/>
      <c r="I13049" s="1092"/>
    </row>
    <row r="13050" spans="8:9">
      <c r="H13050" s="1092"/>
      <c r="I13050" s="1092"/>
    </row>
    <row r="13051" spans="8:9">
      <c r="H13051" s="1092"/>
      <c r="I13051" s="1092"/>
    </row>
    <row r="13052" spans="8:9">
      <c r="H13052" s="1092"/>
      <c r="I13052" s="1092"/>
    </row>
    <row r="13053" spans="8:9">
      <c r="H13053" s="1092"/>
      <c r="I13053" s="1092"/>
    </row>
    <row r="13054" spans="8:9">
      <c r="H13054" s="1092"/>
      <c r="I13054" s="1092"/>
    </row>
    <row r="13055" spans="8:9">
      <c r="H13055" s="1092"/>
      <c r="I13055" s="1092"/>
    </row>
    <row r="13056" spans="8:9">
      <c r="H13056" s="1092"/>
      <c r="I13056" s="1092"/>
    </row>
    <row r="13057" spans="8:9">
      <c r="H13057" s="1092"/>
      <c r="I13057" s="1092"/>
    </row>
    <row r="13058" spans="8:9">
      <c r="H13058" s="1092"/>
      <c r="I13058" s="1092"/>
    </row>
    <row r="13059" spans="8:9">
      <c r="H13059" s="1092"/>
      <c r="I13059" s="1092"/>
    </row>
    <row r="13060" spans="8:9">
      <c r="H13060" s="1092"/>
      <c r="I13060" s="1092"/>
    </row>
    <row r="13061" spans="8:9">
      <c r="H13061" s="1092"/>
      <c r="I13061" s="1092"/>
    </row>
    <row r="13062" spans="8:9">
      <c r="H13062" s="1092"/>
      <c r="I13062" s="1092"/>
    </row>
    <row r="13063" spans="8:9">
      <c r="H13063" s="1092"/>
      <c r="I13063" s="1092"/>
    </row>
    <row r="13064" spans="8:9">
      <c r="H13064" s="1092"/>
      <c r="I13064" s="1092"/>
    </row>
    <row r="13065" spans="8:9">
      <c r="H13065" s="1092"/>
      <c r="I13065" s="1092"/>
    </row>
    <row r="13066" spans="8:9">
      <c r="H13066" s="1092"/>
      <c r="I13066" s="1092"/>
    </row>
    <row r="13067" spans="8:9">
      <c r="H13067" s="1092"/>
      <c r="I13067" s="1092"/>
    </row>
    <row r="13068" spans="8:9">
      <c r="H13068" s="1092"/>
      <c r="I13068" s="1092"/>
    </row>
    <row r="13069" spans="8:9">
      <c r="H13069" s="1092"/>
      <c r="I13069" s="1092"/>
    </row>
    <row r="13070" spans="8:9">
      <c r="H13070" s="1092"/>
      <c r="I13070" s="1092"/>
    </row>
    <row r="13071" spans="8:9">
      <c r="H13071" s="1092"/>
      <c r="I13071" s="1092"/>
    </row>
    <row r="13072" spans="8:9">
      <c r="H13072" s="1092"/>
      <c r="I13072" s="1092"/>
    </row>
    <row r="13073" spans="8:9">
      <c r="H13073" s="1092"/>
      <c r="I13073" s="1092"/>
    </row>
    <row r="13074" spans="8:9">
      <c r="H13074" s="1092"/>
      <c r="I13074" s="1092"/>
    </row>
    <row r="13075" spans="8:9">
      <c r="H13075" s="1092"/>
      <c r="I13075" s="1092"/>
    </row>
    <row r="13076" spans="8:9">
      <c r="H13076" s="1092"/>
      <c r="I13076" s="1092"/>
    </row>
    <row r="13077" spans="8:9">
      <c r="H13077" s="1092"/>
      <c r="I13077" s="1092"/>
    </row>
    <row r="13078" spans="8:9">
      <c r="H13078" s="1092"/>
      <c r="I13078" s="1092"/>
    </row>
    <row r="13079" spans="8:9">
      <c r="H13079" s="1092"/>
      <c r="I13079" s="1092"/>
    </row>
    <row r="13080" spans="8:9">
      <c r="H13080" s="1092"/>
      <c r="I13080" s="1092"/>
    </row>
    <row r="13081" spans="8:9">
      <c r="H13081" s="1092"/>
      <c r="I13081" s="1092"/>
    </row>
    <row r="13082" spans="8:9">
      <c r="H13082" s="1092"/>
      <c r="I13082" s="1092"/>
    </row>
    <row r="13083" spans="8:9">
      <c r="H13083" s="1092"/>
      <c r="I13083" s="1092"/>
    </row>
    <row r="13084" spans="8:9">
      <c r="H13084" s="1092"/>
      <c r="I13084" s="1092"/>
    </row>
    <row r="13085" spans="8:9">
      <c r="H13085" s="1092"/>
      <c r="I13085" s="1092"/>
    </row>
    <row r="13086" spans="8:9">
      <c r="H13086" s="1092"/>
      <c r="I13086" s="1092"/>
    </row>
    <row r="13087" spans="8:9">
      <c r="H13087" s="1092"/>
      <c r="I13087" s="1092"/>
    </row>
    <row r="13088" spans="8:9">
      <c r="H13088" s="1092"/>
      <c r="I13088" s="1092"/>
    </row>
    <row r="13089" spans="8:9">
      <c r="H13089" s="1092"/>
      <c r="I13089" s="1092"/>
    </row>
    <row r="13090" spans="8:9">
      <c r="H13090" s="1092"/>
      <c r="I13090" s="1092"/>
    </row>
    <row r="13091" spans="8:9">
      <c r="H13091" s="1092"/>
      <c r="I13091" s="1092"/>
    </row>
    <row r="13092" spans="8:9">
      <c r="H13092" s="1092"/>
      <c r="I13092" s="1092"/>
    </row>
    <row r="13093" spans="8:9">
      <c r="H13093" s="1092"/>
      <c r="I13093" s="1092"/>
    </row>
    <row r="13094" spans="8:9">
      <c r="H13094" s="1092"/>
      <c r="I13094" s="1092"/>
    </row>
    <row r="13095" spans="8:9">
      <c r="H13095" s="1092"/>
      <c r="I13095" s="1092"/>
    </row>
    <row r="13096" spans="8:9">
      <c r="H13096" s="1092"/>
      <c r="I13096" s="1092"/>
    </row>
    <row r="13097" spans="8:9">
      <c r="H13097" s="1092"/>
      <c r="I13097" s="1092"/>
    </row>
    <row r="13098" spans="8:9">
      <c r="H13098" s="1092"/>
      <c r="I13098" s="1092"/>
    </row>
    <row r="13099" spans="8:9">
      <c r="H13099" s="1092"/>
      <c r="I13099" s="1092"/>
    </row>
    <row r="13100" spans="8:9">
      <c r="H13100" s="1092"/>
      <c r="I13100" s="1092"/>
    </row>
    <row r="13101" spans="8:9">
      <c r="H13101" s="1092"/>
      <c r="I13101" s="1092"/>
    </row>
    <row r="13102" spans="8:9">
      <c r="H13102" s="1092"/>
      <c r="I13102" s="1092"/>
    </row>
    <row r="13103" spans="8:9">
      <c r="H13103" s="1092"/>
      <c r="I13103" s="1092"/>
    </row>
    <row r="13104" spans="8:9">
      <c r="H13104" s="1092"/>
      <c r="I13104" s="1092"/>
    </row>
    <row r="13105" spans="8:9">
      <c r="H13105" s="1092"/>
      <c r="I13105" s="1092"/>
    </row>
    <row r="13106" spans="8:9">
      <c r="H13106" s="1092"/>
      <c r="I13106" s="1092"/>
    </row>
    <row r="13107" spans="8:9">
      <c r="H13107" s="1092"/>
      <c r="I13107" s="1092"/>
    </row>
    <row r="13108" spans="8:9">
      <c r="H13108" s="1092"/>
      <c r="I13108" s="1092"/>
    </row>
    <row r="13109" spans="8:9">
      <c r="H13109" s="1092"/>
      <c r="I13109" s="1092"/>
    </row>
    <row r="13110" spans="8:9">
      <c r="H13110" s="1092"/>
      <c r="I13110" s="1092"/>
    </row>
    <row r="13111" spans="8:9">
      <c r="H13111" s="1092"/>
      <c r="I13111" s="1092"/>
    </row>
    <row r="13112" spans="8:9">
      <c r="H13112" s="1092"/>
      <c r="I13112" s="1092"/>
    </row>
    <row r="13113" spans="8:9">
      <c r="H13113" s="1092"/>
      <c r="I13113" s="1092"/>
    </row>
    <row r="13114" spans="8:9">
      <c r="H13114" s="1092"/>
      <c r="I13114" s="1092"/>
    </row>
    <row r="13115" spans="8:9">
      <c r="H13115" s="1092"/>
      <c r="I13115" s="1092"/>
    </row>
    <row r="13116" spans="8:9">
      <c r="H13116" s="1092"/>
      <c r="I13116" s="1092"/>
    </row>
    <row r="13117" spans="8:9">
      <c r="H13117" s="1092"/>
      <c r="I13117" s="1092"/>
    </row>
    <row r="13118" spans="8:9">
      <c r="H13118" s="1092"/>
      <c r="I13118" s="1092"/>
    </row>
    <row r="13119" spans="8:9">
      <c r="H13119" s="1092"/>
      <c r="I13119" s="1092"/>
    </row>
    <row r="13120" spans="8:9">
      <c r="H13120" s="1092"/>
      <c r="I13120" s="1092"/>
    </row>
    <row r="13121" spans="8:9">
      <c r="H13121" s="1092"/>
      <c r="I13121" s="1092"/>
    </row>
    <row r="13122" spans="8:9">
      <c r="H13122" s="1092"/>
      <c r="I13122" s="1092"/>
    </row>
    <row r="13123" spans="8:9">
      <c r="H13123" s="1092"/>
      <c r="I13123" s="1092"/>
    </row>
    <row r="13124" spans="8:9">
      <c r="H13124" s="1092"/>
      <c r="I13124" s="1092"/>
    </row>
    <row r="13125" spans="8:9">
      <c r="H13125" s="1092"/>
      <c r="I13125" s="1092"/>
    </row>
    <row r="13126" spans="8:9">
      <c r="H13126" s="1092"/>
      <c r="I13126" s="1092"/>
    </row>
    <row r="13127" spans="8:9">
      <c r="H13127" s="1092"/>
      <c r="I13127" s="1092"/>
    </row>
    <row r="13128" spans="8:9">
      <c r="H13128" s="1092"/>
      <c r="I13128" s="1092"/>
    </row>
    <row r="13129" spans="8:9">
      <c r="H13129" s="1092"/>
      <c r="I13129" s="1092"/>
    </row>
    <row r="13130" spans="8:9">
      <c r="H13130" s="1092"/>
      <c r="I13130" s="1092"/>
    </row>
    <row r="13131" spans="8:9">
      <c r="H13131" s="1092"/>
      <c r="I13131" s="1092"/>
    </row>
    <row r="13132" spans="8:9">
      <c r="H13132" s="1092"/>
      <c r="I13132" s="1092"/>
    </row>
    <row r="13133" spans="8:9">
      <c r="H13133" s="1092"/>
      <c r="I13133" s="1092"/>
    </row>
    <row r="13134" spans="8:9">
      <c r="H13134" s="1092"/>
      <c r="I13134" s="1092"/>
    </row>
    <row r="13135" spans="8:9">
      <c r="H13135" s="1092"/>
      <c r="I13135" s="1092"/>
    </row>
    <row r="13136" spans="8:9">
      <c r="H13136" s="1092"/>
      <c r="I13136" s="1092"/>
    </row>
    <row r="13137" spans="8:9">
      <c r="H13137" s="1092"/>
      <c r="I13137" s="1092"/>
    </row>
    <row r="13138" spans="8:9">
      <c r="H13138" s="1092"/>
      <c r="I13138" s="1092"/>
    </row>
    <row r="13139" spans="8:9">
      <c r="H13139" s="1092"/>
      <c r="I13139" s="1092"/>
    </row>
    <row r="13140" spans="8:9">
      <c r="H13140" s="1092"/>
      <c r="I13140" s="1092"/>
    </row>
    <row r="13141" spans="8:9">
      <c r="H13141" s="1092"/>
      <c r="I13141" s="1092"/>
    </row>
    <row r="13142" spans="8:9">
      <c r="H13142" s="1092"/>
      <c r="I13142" s="1092"/>
    </row>
    <row r="13143" spans="8:9">
      <c r="H13143" s="1092"/>
      <c r="I13143" s="1092"/>
    </row>
    <row r="13144" spans="8:9">
      <c r="H13144" s="1092"/>
      <c r="I13144" s="1092"/>
    </row>
    <row r="13145" spans="8:9">
      <c r="H13145" s="1092"/>
      <c r="I13145" s="1092"/>
    </row>
    <row r="13146" spans="8:9">
      <c r="H13146" s="1092"/>
      <c r="I13146" s="1092"/>
    </row>
    <row r="13147" spans="8:9">
      <c r="H13147" s="1092"/>
      <c r="I13147" s="1092"/>
    </row>
    <row r="13148" spans="8:9">
      <c r="H13148" s="1092"/>
      <c r="I13148" s="1092"/>
    </row>
    <row r="13149" spans="8:9">
      <c r="H13149" s="1092"/>
      <c r="I13149" s="1092"/>
    </row>
    <row r="13150" spans="8:9">
      <c r="H13150" s="1092"/>
      <c r="I13150" s="1092"/>
    </row>
    <row r="13151" spans="8:9">
      <c r="H13151" s="1092"/>
      <c r="I13151" s="1092"/>
    </row>
    <row r="13152" spans="8:9">
      <c r="H13152" s="1092"/>
      <c r="I13152" s="1092"/>
    </row>
    <row r="13153" spans="8:9">
      <c r="H13153" s="1092"/>
      <c r="I13153" s="1092"/>
    </row>
    <row r="13154" spans="8:9">
      <c r="H13154" s="1092"/>
      <c r="I13154" s="1092"/>
    </row>
    <row r="13155" spans="8:9">
      <c r="H13155" s="1092"/>
      <c r="I13155" s="1092"/>
    </row>
    <row r="13156" spans="8:9">
      <c r="H13156" s="1092"/>
      <c r="I13156" s="1092"/>
    </row>
    <row r="13157" spans="8:9">
      <c r="H13157" s="1092"/>
      <c r="I13157" s="1092"/>
    </row>
    <row r="13158" spans="8:9">
      <c r="H13158" s="1092"/>
      <c r="I13158" s="1092"/>
    </row>
    <row r="13159" spans="8:9">
      <c r="H13159" s="1092"/>
      <c r="I13159" s="1092"/>
    </row>
    <row r="13160" spans="8:9">
      <c r="H13160" s="1092"/>
      <c r="I13160" s="1092"/>
    </row>
    <row r="13161" spans="8:9">
      <c r="H13161" s="1092"/>
      <c r="I13161" s="1092"/>
    </row>
    <row r="13162" spans="8:9">
      <c r="H13162" s="1092"/>
      <c r="I13162" s="1092"/>
    </row>
    <row r="13163" spans="8:9">
      <c r="H13163" s="1092"/>
      <c r="I13163" s="1092"/>
    </row>
    <row r="13164" spans="8:9">
      <c r="H13164" s="1092"/>
      <c r="I13164" s="1092"/>
    </row>
    <row r="13165" spans="8:9">
      <c r="H13165" s="1092"/>
      <c r="I13165" s="1092"/>
    </row>
    <row r="13166" spans="8:9">
      <c r="H13166" s="1092"/>
      <c r="I13166" s="1092"/>
    </row>
    <row r="13167" spans="8:9">
      <c r="H13167" s="1092"/>
      <c r="I13167" s="1092"/>
    </row>
    <row r="13168" spans="8:9">
      <c r="H13168" s="1092"/>
      <c r="I13168" s="1092"/>
    </row>
    <row r="13169" spans="8:9">
      <c r="H13169" s="1092"/>
      <c r="I13169" s="1092"/>
    </row>
    <row r="13170" spans="8:9">
      <c r="H13170" s="1092"/>
      <c r="I13170" s="1092"/>
    </row>
    <row r="13171" spans="8:9">
      <c r="H13171" s="1092"/>
      <c r="I13171" s="1092"/>
    </row>
    <row r="13172" spans="8:9">
      <c r="H13172" s="1092"/>
      <c r="I13172" s="1092"/>
    </row>
    <row r="13173" spans="8:9">
      <c r="H13173" s="1092"/>
      <c r="I13173" s="1092"/>
    </row>
    <row r="13174" spans="8:9">
      <c r="H13174" s="1092"/>
      <c r="I13174" s="1092"/>
    </row>
    <row r="13175" spans="8:9">
      <c r="H13175" s="1092"/>
      <c r="I13175" s="1092"/>
    </row>
    <row r="13176" spans="8:9">
      <c r="H13176" s="1092"/>
      <c r="I13176" s="1092"/>
    </row>
    <row r="13177" spans="8:9">
      <c r="H13177" s="1092"/>
      <c r="I13177" s="1092"/>
    </row>
    <row r="13178" spans="8:9">
      <c r="H13178" s="1092"/>
      <c r="I13178" s="1092"/>
    </row>
    <row r="13179" spans="8:9">
      <c r="H13179" s="1092"/>
      <c r="I13179" s="1092"/>
    </row>
    <row r="13180" spans="8:9">
      <c r="H13180" s="1092"/>
      <c r="I13180" s="1092"/>
    </row>
    <row r="13181" spans="8:9">
      <c r="H13181" s="1092"/>
      <c r="I13181" s="1092"/>
    </row>
    <row r="13182" spans="8:9">
      <c r="H13182" s="1092"/>
      <c r="I13182" s="1092"/>
    </row>
    <row r="13183" spans="8:9">
      <c r="H13183" s="1092"/>
      <c r="I13183" s="1092"/>
    </row>
    <row r="13184" spans="8:9">
      <c r="H13184" s="1092"/>
      <c r="I13184" s="1092"/>
    </row>
    <row r="13185" spans="8:9">
      <c r="H13185" s="1092"/>
      <c r="I13185" s="1092"/>
    </row>
    <row r="13186" spans="8:9">
      <c r="H13186" s="1092"/>
      <c r="I13186" s="1092"/>
    </row>
    <row r="13187" spans="8:9">
      <c r="H13187" s="1092"/>
      <c r="I13187" s="1092"/>
    </row>
    <row r="13188" spans="8:9">
      <c r="H13188" s="1092"/>
      <c r="I13188" s="1092"/>
    </row>
    <row r="13189" spans="8:9">
      <c r="H13189" s="1092"/>
      <c r="I13189" s="1092"/>
    </row>
    <row r="13190" spans="8:9">
      <c r="H13190" s="1092"/>
      <c r="I13190" s="1092"/>
    </row>
    <row r="13191" spans="8:9">
      <c r="H13191" s="1092"/>
      <c r="I13191" s="1092"/>
    </row>
    <row r="13192" spans="8:9">
      <c r="H13192" s="1092"/>
      <c r="I13192" s="1092"/>
    </row>
    <row r="13193" spans="8:9">
      <c r="H13193" s="1092"/>
      <c r="I13193" s="1092"/>
    </row>
    <row r="13194" spans="8:9">
      <c r="H13194" s="1092"/>
      <c r="I13194" s="1092"/>
    </row>
    <row r="13195" spans="8:9">
      <c r="H13195" s="1092"/>
      <c r="I13195" s="1092"/>
    </row>
    <row r="13196" spans="8:9">
      <c r="H13196" s="1092"/>
      <c r="I13196" s="1092"/>
    </row>
    <row r="13197" spans="8:9">
      <c r="H13197" s="1092"/>
      <c r="I13197" s="1092"/>
    </row>
    <row r="13198" spans="8:9">
      <c r="H13198" s="1092"/>
      <c r="I13198" s="1092"/>
    </row>
    <row r="13199" spans="8:9">
      <c r="H13199" s="1092"/>
      <c r="I13199" s="1092"/>
    </row>
    <row r="13200" spans="8:9">
      <c r="H13200" s="1092"/>
      <c r="I13200" s="1092"/>
    </row>
    <row r="13201" spans="8:9">
      <c r="H13201" s="1092"/>
      <c r="I13201" s="1092"/>
    </row>
    <row r="13202" spans="8:9">
      <c r="H13202" s="1092"/>
      <c r="I13202" s="1092"/>
    </row>
    <row r="13203" spans="8:9">
      <c r="H13203" s="1092"/>
      <c r="I13203" s="1092"/>
    </row>
    <row r="13204" spans="8:9">
      <c r="H13204" s="1092"/>
      <c r="I13204" s="1092"/>
    </row>
    <row r="13205" spans="8:9">
      <c r="H13205" s="1092"/>
      <c r="I13205" s="1092"/>
    </row>
    <row r="13206" spans="8:9">
      <c r="H13206" s="1092"/>
      <c r="I13206" s="1092"/>
    </row>
    <row r="13207" spans="8:9">
      <c r="H13207" s="1092"/>
      <c r="I13207" s="1092"/>
    </row>
    <row r="13208" spans="8:9">
      <c r="H13208" s="1092"/>
      <c r="I13208" s="1092"/>
    </row>
    <row r="13209" spans="8:9">
      <c r="H13209" s="1092"/>
      <c r="I13209" s="1092"/>
    </row>
    <row r="13210" spans="8:9">
      <c r="H13210" s="1092"/>
      <c r="I13210" s="1092"/>
    </row>
    <row r="13211" spans="8:9">
      <c r="H13211" s="1092"/>
      <c r="I13211" s="1092"/>
    </row>
    <row r="13212" spans="8:9">
      <c r="H13212" s="1092"/>
      <c r="I13212" s="1092"/>
    </row>
    <row r="13213" spans="8:9">
      <c r="H13213" s="1092"/>
      <c r="I13213" s="1092"/>
    </row>
    <row r="13214" spans="8:9">
      <c r="H13214" s="1092"/>
      <c r="I13214" s="1092"/>
    </row>
    <row r="13215" spans="8:9">
      <c r="H13215" s="1092"/>
      <c r="I13215" s="1092"/>
    </row>
    <row r="13216" spans="8:9">
      <c r="H13216" s="1092"/>
      <c r="I13216" s="1092"/>
    </row>
    <row r="13217" spans="8:9">
      <c r="H13217" s="1092"/>
      <c r="I13217" s="1092"/>
    </row>
    <row r="13218" spans="8:9">
      <c r="H13218" s="1092"/>
      <c r="I13218" s="1092"/>
    </row>
    <row r="13219" spans="8:9">
      <c r="H13219" s="1092"/>
      <c r="I13219" s="1092"/>
    </row>
    <row r="13220" spans="8:9">
      <c r="H13220" s="1092"/>
      <c r="I13220" s="1092"/>
    </row>
    <row r="13221" spans="8:9">
      <c r="H13221" s="1092"/>
      <c r="I13221" s="1092"/>
    </row>
    <row r="13222" spans="8:9">
      <c r="H13222" s="1092"/>
      <c r="I13222" s="1092"/>
    </row>
    <row r="13223" spans="8:9">
      <c r="H13223" s="1092"/>
      <c r="I13223" s="1092"/>
    </row>
    <row r="13224" spans="8:9">
      <c r="H13224" s="1092"/>
      <c r="I13224" s="1092"/>
    </row>
    <row r="13225" spans="8:9">
      <c r="H13225" s="1092"/>
      <c r="I13225" s="1092"/>
    </row>
    <row r="13226" spans="8:9">
      <c r="H13226" s="1092"/>
      <c r="I13226" s="1092"/>
    </row>
    <row r="13227" spans="8:9">
      <c r="H13227" s="1092"/>
      <c r="I13227" s="1092"/>
    </row>
    <row r="13228" spans="8:9">
      <c r="H13228" s="1092"/>
      <c r="I13228" s="1092"/>
    </row>
    <row r="13229" spans="8:9">
      <c r="H13229" s="1092"/>
      <c r="I13229" s="1092"/>
    </row>
    <row r="13230" spans="8:9">
      <c r="H13230" s="1092"/>
      <c r="I13230" s="1092"/>
    </row>
    <row r="13231" spans="8:9">
      <c r="H13231" s="1092"/>
      <c r="I13231" s="1092"/>
    </row>
    <row r="13232" spans="8:9">
      <c r="H13232" s="1092"/>
      <c r="I13232" s="1092"/>
    </row>
    <row r="13233" spans="8:9">
      <c r="H13233" s="1092"/>
      <c r="I13233" s="1092"/>
    </row>
    <row r="13234" spans="8:9">
      <c r="H13234" s="1092"/>
      <c r="I13234" s="1092"/>
    </row>
    <row r="13235" spans="8:9">
      <c r="H13235" s="1092"/>
      <c r="I13235" s="1092"/>
    </row>
    <row r="13236" spans="8:9">
      <c r="H13236" s="1092"/>
      <c r="I13236" s="1092"/>
    </row>
    <row r="13237" spans="8:9">
      <c r="H13237" s="1092"/>
      <c r="I13237" s="1092"/>
    </row>
    <row r="13238" spans="8:9">
      <c r="H13238" s="1092"/>
      <c r="I13238" s="1092"/>
    </row>
    <row r="13239" spans="8:9">
      <c r="H13239" s="1092"/>
      <c r="I13239" s="1092"/>
    </row>
    <row r="13240" spans="8:9">
      <c r="H13240" s="1092"/>
      <c r="I13240" s="1092"/>
    </row>
    <row r="13241" spans="8:9">
      <c r="H13241" s="1092"/>
      <c r="I13241" s="1092"/>
    </row>
    <row r="13242" spans="8:9">
      <c r="H13242" s="1092"/>
      <c r="I13242" s="1092"/>
    </row>
    <row r="13243" spans="8:9">
      <c r="H13243" s="1092"/>
      <c r="I13243" s="1092"/>
    </row>
    <row r="13244" spans="8:9">
      <c r="H13244" s="1092"/>
      <c r="I13244" s="1092"/>
    </row>
    <row r="13245" spans="8:9">
      <c r="H13245" s="1092"/>
      <c r="I13245" s="1092"/>
    </row>
    <row r="13246" spans="8:9">
      <c r="H13246" s="1092"/>
      <c r="I13246" s="1092"/>
    </row>
    <row r="13247" spans="8:9">
      <c r="H13247" s="1092"/>
      <c r="I13247" s="1092"/>
    </row>
    <row r="13248" spans="8:9">
      <c r="H13248" s="1092"/>
      <c r="I13248" s="1092"/>
    </row>
    <row r="13249" spans="8:9">
      <c r="H13249" s="1092"/>
      <c r="I13249" s="1092"/>
    </row>
    <row r="13250" spans="8:9">
      <c r="H13250" s="1092"/>
      <c r="I13250" s="1092"/>
    </row>
    <row r="13251" spans="8:9">
      <c r="H13251" s="1092"/>
      <c r="I13251" s="1092"/>
    </row>
    <row r="13252" spans="8:9">
      <c r="H13252" s="1092"/>
      <c r="I13252" s="1092"/>
    </row>
    <row r="13253" spans="8:9">
      <c r="H13253" s="1092"/>
      <c r="I13253" s="1092"/>
    </row>
    <row r="13254" spans="8:9">
      <c r="H13254" s="1092"/>
      <c r="I13254" s="1092"/>
    </row>
    <row r="13255" spans="8:9">
      <c r="H13255" s="1092"/>
      <c r="I13255" s="1092"/>
    </row>
    <row r="13256" spans="8:9">
      <c r="H13256" s="1092"/>
      <c r="I13256" s="1092"/>
    </row>
    <row r="13257" spans="8:9">
      <c r="H13257" s="1092"/>
      <c r="I13257" s="1092"/>
    </row>
    <row r="13258" spans="8:9">
      <c r="H13258" s="1092"/>
      <c r="I13258" s="1092"/>
    </row>
    <row r="13259" spans="8:9">
      <c r="H13259" s="1092"/>
      <c r="I13259" s="1092"/>
    </row>
    <row r="13260" spans="8:9">
      <c r="H13260" s="1092"/>
      <c r="I13260" s="1092"/>
    </row>
    <row r="13261" spans="8:9">
      <c r="H13261" s="1092"/>
      <c r="I13261" s="1092"/>
    </row>
    <row r="13262" spans="8:9">
      <c r="H13262" s="1092"/>
      <c r="I13262" s="1092"/>
    </row>
    <row r="13263" spans="8:9">
      <c r="H13263" s="1092"/>
      <c r="I13263" s="1092"/>
    </row>
    <row r="13264" spans="8:9">
      <c r="H13264" s="1092"/>
      <c r="I13264" s="1092"/>
    </row>
    <row r="13265" spans="8:9">
      <c r="H13265" s="1092"/>
      <c r="I13265" s="1092"/>
    </row>
    <row r="13266" spans="8:9">
      <c r="H13266" s="1092"/>
      <c r="I13266" s="1092"/>
    </row>
    <row r="13267" spans="8:9">
      <c r="H13267" s="1092"/>
      <c r="I13267" s="1092"/>
    </row>
    <row r="13268" spans="8:9">
      <c r="H13268" s="1092"/>
      <c r="I13268" s="1092"/>
    </row>
    <row r="13269" spans="8:9">
      <c r="H13269" s="1092"/>
      <c r="I13269" s="1092"/>
    </row>
    <row r="13270" spans="8:9">
      <c r="H13270" s="1092"/>
      <c r="I13270" s="1092"/>
    </row>
    <row r="13271" spans="8:9">
      <c r="H13271" s="1092"/>
      <c r="I13271" s="1092"/>
    </row>
    <row r="13272" spans="8:9">
      <c r="H13272" s="1092"/>
      <c r="I13272" s="1092"/>
    </row>
    <row r="13273" spans="8:9">
      <c r="H13273" s="1092"/>
      <c r="I13273" s="1092"/>
    </row>
    <row r="13274" spans="8:9">
      <c r="H13274" s="1092"/>
      <c r="I13274" s="1092"/>
    </row>
    <row r="13275" spans="8:9">
      <c r="H13275" s="1092"/>
      <c r="I13275" s="1092"/>
    </row>
    <row r="13276" spans="8:9">
      <c r="H13276" s="1092"/>
      <c r="I13276" s="1092"/>
    </row>
    <row r="13277" spans="8:9">
      <c r="H13277" s="1092"/>
      <c r="I13277" s="1092"/>
    </row>
    <row r="13278" spans="8:9">
      <c r="H13278" s="1092"/>
      <c r="I13278" s="1092"/>
    </row>
    <row r="13279" spans="8:9">
      <c r="H13279" s="1092"/>
      <c r="I13279" s="1092"/>
    </row>
    <row r="13280" spans="8:9">
      <c r="H13280" s="1092"/>
      <c r="I13280" s="1092"/>
    </row>
    <row r="13281" spans="8:9">
      <c r="H13281" s="1092"/>
      <c r="I13281" s="1092"/>
    </row>
    <row r="13282" spans="8:9">
      <c r="H13282" s="1092"/>
      <c r="I13282" s="1092"/>
    </row>
    <row r="13283" spans="8:9">
      <c r="H13283" s="1092"/>
      <c r="I13283" s="1092"/>
    </row>
    <row r="13284" spans="8:9">
      <c r="H13284" s="1092"/>
      <c r="I13284" s="1092"/>
    </row>
    <row r="13285" spans="8:9">
      <c r="H13285" s="1092"/>
      <c r="I13285" s="1092"/>
    </row>
    <row r="13286" spans="8:9">
      <c r="H13286" s="1092"/>
      <c r="I13286" s="1092"/>
    </row>
    <row r="13287" spans="8:9">
      <c r="H13287" s="1092"/>
      <c r="I13287" s="1092"/>
    </row>
    <row r="13288" spans="8:9">
      <c r="H13288" s="1092"/>
      <c r="I13288" s="1092"/>
    </row>
    <row r="13289" spans="8:9">
      <c r="H13289" s="1092"/>
      <c r="I13289" s="1092"/>
    </row>
    <row r="13290" spans="8:9">
      <c r="H13290" s="1092"/>
      <c r="I13290" s="1092"/>
    </row>
    <row r="13291" spans="8:9">
      <c r="H13291" s="1092"/>
      <c r="I13291" s="1092"/>
    </row>
    <row r="13292" spans="8:9">
      <c r="H13292" s="1092"/>
      <c r="I13292" s="1092"/>
    </row>
    <row r="13293" spans="8:9">
      <c r="H13293" s="1092"/>
      <c r="I13293" s="1092"/>
    </row>
    <row r="13294" spans="8:9">
      <c r="H13294" s="1092"/>
      <c r="I13294" s="1092"/>
    </row>
    <row r="13295" spans="8:9">
      <c r="H13295" s="1092"/>
      <c r="I13295" s="1092"/>
    </row>
    <row r="13296" spans="8:9">
      <c r="H13296" s="1092"/>
      <c r="I13296" s="1092"/>
    </row>
    <row r="13297" spans="8:9">
      <c r="H13297" s="1092"/>
      <c r="I13297" s="1092"/>
    </row>
    <row r="13298" spans="8:9">
      <c r="H13298" s="1092"/>
      <c r="I13298" s="1092"/>
    </row>
    <row r="13299" spans="8:9">
      <c r="H13299" s="1092"/>
      <c r="I13299" s="1092"/>
    </row>
    <row r="13300" spans="8:9">
      <c r="H13300" s="1092"/>
      <c r="I13300" s="1092"/>
    </row>
    <row r="13301" spans="8:9">
      <c r="H13301" s="1092"/>
      <c r="I13301" s="1092"/>
    </row>
    <row r="13302" spans="8:9">
      <c r="H13302" s="1092"/>
      <c r="I13302" s="1092"/>
    </row>
    <row r="13303" spans="8:9">
      <c r="H13303" s="1092"/>
      <c r="I13303" s="1092"/>
    </row>
    <row r="13304" spans="8:9">
      <c r="H13304" s="1092"/>
      <c r="I13304" s="1092"/>
    </row>
    <row r="13305" spans="8:9">
      <c r="H13305" s="1092"/>
      <c r="I13305" s="1092"/>
    </row>
    <row r="13306" spans="8:9">
      <c r="H13306" s="1092"/>
      <c r="I13306" s="1092"/>
    </row>
    <row r="13307" spans="8:9">
      <c r="H13307" s="1092"/>
      <c r="I13307" s="1092"/>
    </row>
    <row r="13308" spans="8:9">
      <c r="H13308" s="1092"/>
      <c r="I13308" s="1092"/>
    </row>
    <row r="13309" spans="8:9">
      <c r="H13309" s="1092"/>
      <c r="I13309" s="1092"/>
    </row>
    <row r="13310" spans="8:9">
      <c r="H13310" s="1092"/>
      <c r="I13310" s="1092"/>
    </row>
    <row r="13311" spans="8:9">
      <c r="H13311" s="1092"/>
      <c r="I13311" s="1092"/>
    </row>
    <row r="13312" spans="8:9">
      <c r="H13312" s="1092"/>
      <c r="I13312" s="1092"/>
    </row>
    <row r="13313" spans="8:9">
      <c r="H13313" s="1092"/>
      <c r="I13313" s="1092"/>
    </row>
    <row r="13314" spans="8:9">
      <c r="H13314" s="1092"/>
      <c r="I13314" s="1092"/>
    </row>
    <row r="13315" spans="8:9">
      <c r="H13315" s="1092"/>
      <c r="I13315" s="1092"/>
    </row>
    <row r="13316" spans="8:9">
      <c r="H13316" s="1092"/>
      <c r="I13316" s="1092"/>
    </row>
    <row r="13317" spans="8:9">
      <c r="H13317" s="1092"/>
      <c r="I13317" s="1092"/>
    </row>
    <row r="13318" spans="8:9">
      <c r="H13318" s="1092"/>
      <c r="I13318" s="1092"/>
    </row>
    <row r="13319" spans="8:9">
      <c r="H13319" s="1092"/>
      <c r="I13319" s="1092"/>
    </row>
    <row r="13320" spans="8:9">
      <c r="H13320" s="1092"/>
      <c r="I13320" s="1092"/>
    </row>
    <row r="13321" spans="8:9">
      <c r="H13321" s="1092"/>
      <c r="I13321" s="1092"/>
    </row>
    <row r="13322" spans="8:9">
      <c r="H13322" s="1092"/>
      <c r="I13322" s="1092"/>
    </row>
    <row r="13323" spans="8:9">
      <c r="H13323" s="1092"/>
      <c r="I13323" s="1092"/>
    </row>
    <row r="13324" spans="8:9">
      <c r="H13324" s="1092"/>
      <c r="I13324" s="1092"/>
    </row>
    <row r="13325" spans="8:9">
      <c r="H13325" s="1092"/>
      <c r="I13325" s="1092"/>
    </row>
    <row r="13326" spans="8:9">
      <c r="H13326" s="1092"/>
      <c r="I13326" s="1092"/>
    </row>
    <row r="13327" spans="8:9">
      <c r="H13327" s="1092"/>
      <c r="I13327" s="1092"/>
    </row>
    <row r="13328" spans="8:9">
      <c r="H13328" s="1092"/>
      <c r="I13328" s="1092"/>
    </row>
    <row r="13329" spans="8:9">
      <c r="H13329" s="1092"/>
      <c r="I13329" s="1092"/>
    </row>
    <row r="13330" spans="8:9">
      <c r="H13330" s="1092"/>
      <c r="I13330" s="1092"/>
    </row>
    <row r="13331" spans="8:9">
      <c r="H13331" s="1092"/>
      <c r="I13331" s="1092"/>
    </row>
    <row r="13332" spans="8:9">
      <c r="H13332" s="1092"/>
      <c r="I13332" s="1092"/>
    </row>
    <row r="13333" spans="8:9">
      <c r="H13333" s="1092"/>
      <c r="I13333" s="1092"/>
    </row>
    <row r="13334" spans="8:9">
      <c r="H13334" s="1092"/>
      <c r="I13334" s="1092"/>
    </row>
    <row r="13335" spans="8:9">
      <c r="H13335" s="1092"/>
      <c r="I13335" s="1092"/>
    </row>
    <row r="13336" spans="8:9">
      <c r="H13336" s="1092"/>
      <c r="I13336" s="1092"/>
    </row>
    <row r="13337" spans="8:9">
      <c r="H13337" s="1092"/>
      <c r="I13337" s="1092"/>
    </row>
    <row r="13338" spans="8:9">
      <c r="H13338" s="1092"/>
      <c r="I13338" s="1092"/>
    </row>
    <row r="13339" spans="8:9">
      <c r="H13339" s="1092"/>
      <c r="I13339" s="1092"/>
    </row>
    <row r="13340" spans="8:9">
      <c r="H13340" s="1092"/>
      <c r="I13340" s="1092"/>
    </row>
    <row r="13341" spans="8:9">
      <c r="H13341" s="1092"/>
      <c r="I13341" s="1092"/>
    </row>
    <row r="13342" spans="8:9">
      <c r="H13342" s="1092"/>
      <c r="I13342" s="1092"/>
    </row>
    <row r="13343" spans="8:9">
      <c r="H13343" s="1092"/>
      <c r="I13343" s="1092"/>
    </row>
    <row r="13344" spans="8:9">
      <c r="H13344" s="1092"/>
      <c r="I13344" s="1092"/>
    </row>
    <row r="13345" spans="8:9">
      <c r="H13345" s="1092"/>
      <c r="I13345" s="1092"/>
    </row>
    <row r="13346" spans="8:9">
      <c r="H13346" s="1092"/>
      <c r="I13346" s="1092"/>
    </row>
    <row r="13347" spans="8:9">
      <c r="H13347" s="1092"/>
      <c r="I13347" s="1092"/>
    </row>
    <row r="13348" spans="8:9">
      <c r="H13348" s="1092"/>
      <c r="I13348" s="1092"/>
    </row>
    <row r="13349" spans="8:9">
      <c r="H13349" s="1092"/>
      <c r="I13349" s="1092"/>
    </row>
    <row r="13350" spans="8:9">
      <c r="H13350" s="1092"/>
      <c r="I13350" s="1092"/>
    </row>
    <row r="13351" spans="8:9">
      <c r="H13351" s="1092"/>
      <c r="I13351" s="1092"/>
    </row>
    <row r="13352" spans="8:9">
      <c r="H13352" s="1092"/>
      <c r="I13352" s="1092"/>
    </row>
    <row r="13353" spans="8:9">
      <c r="H13353" s="1092"/>
      <c r="I13353" s="1092"/>
    </row>
    <row r="13354" spans="8:9">
      <c r="H13354" s="1092"/>
      <c r="I13354" s="1092"/>
    </row>
    <row r="13355" spans="8:9">
      <c r="H13355" s="1092"/>
      <c r="I13355" s="1092"/>
    </row>
    <row r="13356" spans="8:9">
      <c r="H13356" s="1092"/>
      <c r="I13356" s="1092"/>
    </row>
    <row r="13357" spans="8:9">
      <c r="H13357" s="1092"/>
      <c r="I13357" s="1092"/>
    </row>
    <row r="13358" spans="8:9">
      <c r="H13358" s="1092"/>
      <c r="I13358" s="1092"/>
    </row>
    <row r="13359" spans="8:9">
      <c r="H13359" s="1092"/>
      <c r="I13359" s="1092"/>
    </row>
    <row r="13360" spans="8:9">
      <c r="H13360" s="1092"/>
      <c r="I13360" s="1092"/>
    </row>
    <row r="13361" spans="8:9">
      <c r="H13361" s="1092"/>
      <c r="I13361" s="1092"/>
    </row>
    <row r="13362" spans="8:9">
      <c r="H13362" s="1092"/>
      <c r="I13362" s="1092"/>
    </row>
    <row r="13363" spans="8:9">
      <c r="H13363" s="1092"/>
      <c r="I13363" s="1092"/>
    </row>
    <row r="13364" spans="8:9">
      <c r="H13364" s="1092"/>
      <c r="I13364" s="1092"/>
    </row>
    <row r="13365" spans="8:9">
      <c r="H13365" s="1092"/>
      <c r="I13365" s="1092"/>
    </row>
    <row r="13366" spans="8:9">
      <c r="H13366" s="1092"/>
      <c r="I13366" s="1092"/>
    </row>
    <row r="13367" spans="8:9">
      <c r="H13367" s="1092"/>
      <c r="I13367" s="1092"/>
    </row>
    <row r="13368" spans="8:9">
      <c r="H13368" s="1092"/>
      <c r="I13368" s="1092"/>
    </row>
    <row r="13369" spans="8:9">
      <c r="H13369" s="1092"/>
      <c r="I13369" s="1092"/>
    </row>
    <row r="13370" spans="8:9">
      <c r="H13370" s="1092"/>
      <c r="I13370" s="1092"/>
    </row>
    <row r="13371" spans="8:9">
      <c r="H13371" s="1092"/>
      <c r="I13371" s="1092"/>
    </row>
    <row r="13372" spans="8:9">
      <c r="H13372" s="1092"/>
      <c r="I13372" s="1092"/>
    </row>
    <row r="13373" spans="8:9">
      <c r="H13373" s="1092"/>
      <c r="I13373" s="1092"/>
    </row>
    <row r="13374" spans="8:9">
      <c r="H13374" s="1092"/>
      <c r="I13374" s="1092"/>
    </row>
    <row r="13375" spans="8:9">
      <c r="H13375" s="1092"/>
      <c r="I13375" s="1092"/>
    </row>
    <row r="13376" spans="8:9">
      <c r="H13376" s="1092"/>
      <c r="I13376" s="1092"/>
    </row>
    <row r="13377" spans="8:9">
      <c r="H13377" s="1092"/>
      <c r="I13377" s="1092"/>
    </row>
    <row r="13378" spans="8:9">
      <c r="H13378" s="1092"/>
      <c r="I13378" s="1092"/>
    </row>
    <row r="13379" spans="8:9">
      <c r="H13379" s="1092"/>
      <c r="I13379" s="1092"/>
    </row>
    <row r="13380" spans="8:9">
      <c r="H13380" s="1092"/>
      <c r="I13380" s="1092"/>
    </row>
    <row r="13381" spans="8:9">
      <c r="H13381" s="1092"/>
      <c r="I13381" s="1092"/>
    </row>
    <row r="13382" spans="8:9">
      <c r="H13382" s="1092"/>
      <c r="I13382" s="1092"/>
    </row>
    <row r="13383" spans="8:9">
      <c r="H13383" s="1092"/>
      <c r="I13383" s="1092"/>
    </row>
    <row r="13384" spans="8:9">
      <c r="H13384" s="1092"/>
      <c r="I13384" s="1092"/>
    </row>
    <row r="13385" spans="8:9">
      <c r="H13385" s="1092"/>
      <c r="I13385" s="1092"/>
    </row>
    <row r="13386" spans="8:9">
      <c r="H13386" s="1092"/>
      <c r="I13386" s="1092"/>
    </row>
    <row r="13387" spans="8:9">
      <c r="H13387" s="1092"/>
      <c r="I13387" s="1092"/>
    </row>
    <row r="13388" spans="8:9">
      <c r="H13388" s="1092"/>
      <c r="I13388" s="1092"/>
    </row>
    <row r="13389" spans="8:9">
      <c r="H13389" s="1092"/>
      <c r="I13389" s="1092"/>
    </row>
    <row r="13390" spans="8:9">
      <c r="H13390" s="1092"/>
      <c r="I13390" s="1092"/>
    </row>
    <row r="13391" spans="8:9">
      <c r="H13391" s="1092"/>
      <c r="I13391" s="1092"/>
    </row>
    <row r="13392" spans="8:9">
      <c r="H13392" s="1092"/>
      <c r="I13392" s="1092"/>
    </row>
    <row r="13393" spans="8:9">
      <c r="H13393" s="1092"/>
      <c r="I13393" s="1092"/>
    </row>
    <row r="13394" spans="8:9">
      <c r="H13394" s="1092"/>
      <c r="I13394" s="1092"/>
    </row>
    <row r="13395" spans="8:9">
      <c r="H13395" s="1092"/>
      <c r="I13395" s="1092"/>
    </row>
    <row r="13396" spans="8:9">
      <c r="H13396" s="1092"/>
      <c r="I13396" s="1092"/>
    </row>
    <row r="13397" spans="8:9">
      <c r="H13397" s="1092"/>
      <c r="I13397" s="1092"/>
    </row>
    <row r="13398" spans="8:9">
      <c r="H13398" s="1092"/>
      <c r="I13398" s="1092"/>
    </row>
    <row r="13399" spans="8:9">
      <c r="H13399" s="1092"/>
      <c r="I13399" s="1092"/>
    </row>
    <row r="13400" spans="8:9">
      <c r="H13400" s="1092"/>
      <c r="I13400" s="1092"/>
    </row>
    <row r="13401" spans="8:9">
      <c r="H13401" s="1092"/>
      <c r="I13401" s="1092"/>
    </row>
    <row r="13402" spans="8:9">
      <c r="H13402" s="1092"/>
      <c r="I13402" s="1092"/>
    </row>
    <row r="13403" spans="8:9">
      <c r="H13403" s="1092"/>
      <c r="I13403" s="1092"/>
    </row>
    <row r="13404" spans="8:9">
      <c r="H13404" s="1092"/>
      <c r="I13404" s="1092"/>
    </row>
    <row r="13405" spans="8:9">
      <c r="H13405" s="1092"/>
      <c r="I13405" s="1092"/>
    </row>
    <row r="13406" spans="8:9">
      <c r="H13406" s="1092"/>
      <c r="I13406" s="1092"/>
    </row>
    <row r="13407" spans="8:9">
      <c r="H13407" s="1092"/>
      <c r="I13407" s="1092"/>
    </row>
    <row r="13408" spans="8:9">
      <c r="H13408" s="1092"/>
      <c r="I13408" s="1092"/>
    </row>
    <row r="13409" spans="8:9">
      <c r="H13409" s="1092"/>
      <c r="I13409" s="1092"/>
    </row>
    <row r="13410" spans="8:9">
      <c r="H13410" s="1092"/>
      <c r="I13410" s="1092"/>
    </row>
    <row r="13411" spans="8:9">
      <c r="H13411" s="1092"/>
      <c r="I13411" s="1092"/>
    </row>
    <row r="13412" spans="8:9">
      <c r="H13412" s="1092"/>
      <c r="I13412" s="1092"/>
    </row>
    <row r="13413" spans="8:9">
      <c r="H13413" s="1092"/>
      <c r="I13413" s="1092"/>
    </row>
    <row r="13414" spans="8:9">
      <c r="H13414" s="1092"/>
      <c r="I13414" s="1092"/>
    </row>
    <row r="13415" spans="8:9">
      <c r="H13415" s="1092"/>
      <c r="I13415" s="1092"/>
    </row>
    <row r="13416" spans="8:9">
      <c r="H13416" s="1092"/>
      <c r="I13416" s="1092"/>
    </row>
    <row r="13417" spans="8:9">
      <c r="H13417" s="1092"/>
      <c r="I13417" s="1092"/>
    </row>
    <row r="13418" spans="8:9">
      <c r="H13418" s="1092"/>
      <c r="I13418" s="1092"/>
    </row>
    <row r="13419" spans="8:9">
      <c r="H13419" s="1092"/>
      <c r="I13419" s="1092"/>
    </row>
    <row r="13420" spans="8:9">
      <c r="H13420" s="1092"/>
      <c r="I13420" s="1092"/>
    </row>
    <row r="13421" spans="8:9">
      <c r="H13421" s="1092"/>
      <c r="I13421" s="1092"/>
    </row>
    <row r="13422" spans="8:9">
      <c r="H13422" s="1092"/>
      <c r="I13422" s="1092"/>
    </row>
    <row r="13423" spans="8:9">
      <c r="H13423" s="1092"/>
      <c r="I13423" s="1092"/>
    </row>
    <row r="13424" spans="8:9">
      <c r="H13424" s="1092"/>
      <c r="I13424" s="1092"/>
    </row>
    <row r="13425" spans="8:9">
      <c r="H13425" s="1092"/>
      <c r="I13425" s="1092"/>
    </row>
    <row r="13426" spans="8:9">
      <c r="H13426" s="1092"/>
      <c r="I13426" s="1092"/>
    </row>
    <row r="13427" spans="8:9">
      <c r="H13427" s="1092"/>
      <c r="I13427" s="1092"/>
    </row>
    <row r="13428" spans="8:9">
      <c r="H13428" s="1092"/>
      <c r="I13428" s="1092"/>
    </row>
    <row r="13429" spans="8:9">
      <c r="H13429" s="1092"/>
      <c r="I13429" s="1092"/>
    </row>
    <row r="13430" spans="8:9">
      <c r="H13430" s="1092"/>
      <c r="I13430" s="1092"/>
    </row>
    <row r="13431" spans="8:9">
      <c r="H13431" s="1092"/>
      <c r="I13431" s="1092"/>
    </row>
    <row r="13432" spans="8:9">
      <c r="H13432" s="1092"/>
      <c r="I13432" s="1092"/>
    </row>
    <row r="13433" spans="8:9">
      <c r="H13433" s="1092"/>
      <c r="I13433" s="1092"/>
    </row>
    <row r="13434" spans="8:9">
      <c r="H13434" s="1092"/>
      <c r="I13434" s="1092"/>
    </row>
    <row r="13435" spans="8:9">
      <c r="H13435" s="1092"/>
      <c r="I13435" s="1092"/>
    </row>
    <row r="13436" spans="8:9">
      <c r="H13436" s="1092"/>
      <c r="I13436" s="1092"/>
    </row>
    <row r="13437" spans="8:9">
      <c r="H13437" s="1092"/>
      <c r="I13437" s="1092"/>
    </row>
    <row r="13438" spans="8:9">
      <c r="H13438" s="1092"/>
      <c r="I13438" s="1092"/>
    </row>
    <row r="13439" spans="8:9">
      <c r="H13439" s="1092"/>
      <c r="I13439" s="1092"/>
    </row>
    <row r="13440" spans="8:9">
      <c r="H13440" s="1092"/>
      <c r="I13440" s="1092"/>
    </row>
    <row r="13441" spans="8:9">
      <c r="H13441" s="1092"/>
      <c r="I13441" s="1092"/>
    </row>
    <row r="13442" spans="8:9">
      <c r="H13442" s="1092"/>
      <c r="I13442" s="1092"/>
    </row>
    <row r="13443" spans="8:9">
      <c r="H13443" s="1092"/>
      <c r="I13443" s="1092"/>
    </row>
    <row r="13444" spans="8:9">
      <c r="H13444" s="1092"/>
      <c r="I13444" s="1092"/>
    </row>
    <row r="13445" spans="8:9">
      <c r="H13445" s="1092"/>
      <c r="I13445" s="1092"/>
    </row>
    <row r="13446" spans="8:9">
      <c r="H13446" s="1092"/>
      <c r="I13446" s="1092"/>
    </row>
    <row r="13447" spans="8:9">
      <c r="H13447" s="1092"/>
      <c r="I13447" s="1092"/>
    </row>
    <row r="13448" spans="8:9">
      <c r="H13448" s="1092"/>
      <c r="I13448" s="1092"/>
    </row>
    <row r="13449" spans="8:9">
      <c r="H13449" s="1092"/>
      <c r="I13449" s="1092"/>
    </row>
    <row r="13450" spans="8:9">
      <c r="H13450" s="1092"/>
      <c r="I13450" s="1092"/>
    </row>
    <row r="13451" spans="8:9">
      <c r="H13451" s="1092"/>
      <c r="I13451" s="1092"/>
    </row>
    <row r="13452" spans="8:9">
      <c r="H13452" s="1092"/>
      <c r="I13452" s="1092"/>
    </row>
    <row r="13453" spans="8:9">
      <c r="H13453" s="1092"/>
      <c r="I13453" s="1092"/>
    </row>
    <row r="13454" spans="8:9">
      <c r="H13454" s="1092"/>
      <c r="I13454" s="1092"/>
    </row>
    <row r="13455" spans="8:9">
      <c r="H13455" s="1092"/>
      <c r="I13455" s="1092"/>
    </row>
    <row r="13456" spans="8:9">
      <c r="H13456" s="1092"/>
      <c r="I13456" s="1092"/>
    </row>
    <row r="13457" spans="8:9">
      <c r="H13457" s="1092"/>
      <c r="I13457" s="1092"/>
    </row>
    <row r="13458" spans="8:9">
      <c r="H13458" s="1092"/>
      <c r="I13458" s="1092"/>
    </row>
    <row r="13459" spans="8:9">
      <c r="H13459" s="1092"/>
      <c r="I13459" s="1092"/>
    </row>
    <row r="13460" spans="8:9">
      <c r="H13460" s="1092"/>
      <c r="I13460" s="1092"/>
    </row>
    <row r="13461" spans="8:9">
      <c r="H13461" s="1092"/>
      <c r="I13461" s="1092"/>
    </row>
    <row r="13462" spans="8:9">
      <c r="H13462" s="1092"/>
      <c r="I13462" s="1092"/>
    </row>
    <row r="13463" spans="8:9">
      <c r="H13463" s="1092"/>
      <c r="I13463" s="1092"/>
    </row>
    <row r="13464" spans="8:9">
      <c r="H13464" s="1092"/>
      <c r="I13464" s="1092"/>
    </row>
    <row r="13465" spans="8:9">
      <c r="H13465" s="1092"/>
      <c r="I13465" s="1092"/>
    </row>
    <row r="13466" spans="8:9">
      <c r="H13466" s="1092"/>
      <c r="I13466" s="1092"/>
    </row>
    <row r="13467" spans="8:9">
      <c r="H13467" s="1092"/>
      <c r="I13467" s="1092"/>
    </row>
    <row r="13468" spans="8:9">
      <c r="H13468" s="1092"/>
      <c r="I13468" s="1092"/>
    </row>
    <row r="13469" spans="8:9">
      <c r="H13469" s="1092"/>
      <c r="I13469" s="1092"/>
    </row>
    <row r="13470" spans="8:9">
      <c r="H13470" s="1092"/>
      <c r="I13470" s="1092"/>
    </row>
    <row r="13471" spans="8:9">
      <c r="H13471" s="1092"/>
      <c r="I13471" s="1092"/>
    </row>
    <row r="13472" spans="8:9">
      <c r="H13472" s="1092"/>
      <c r="I13472" s="1092"/>
    </row>
    <row r="13473" spans="8:9">
      <c r="H13473" s="1092"/>
      <c r="I13473" s="1092"/>
    </row>
    <row r="13474" spans="8:9">
      <c r="H13474" s="1092"/>
      <c r="I13474" s="1092"/>
    </row>
    <row r="13475" spans="8:9">
      <c r="H13475" s="1092"/>
      <c r="I13475" s="1092"/>
    </row>
    <row r="13476" spans="8:9">
      <c r="H13476" s="1092"/>
      <c r="I13476" s="1092"/>
    </row>
    <row r="13477" spans="8:9">
      <c r="H13477" s="1092"/>
      <c r="I13477" s="1092"/>
    </row>
    <row r="13478" spans="8:9">
      <c r="H13478" s="1092"/>
      <c r="I13478" s="1092"/>
    </row>
    <row r="13479" spans="8:9">
      <c r="H13479" s="1092"/>
      <c r="I13479" s="1092"/>
    </row>
    <row r="13480" spans="8:9">
      <c r="H13480" s="1092"/>
      <c r="I13480" s="1092"/>
    </row>
    <row r="13481" spans="8:9">
      <c r="H13481" s="1092"/>
      <c r="I13481" s="1092"/>
    </row>
    <row r="13482" spans="8:9">
      <c r="H13482" s="1092"/>
      <c r="I13482" s="1092"/>
    </row>
    <row r="13483" spans="8:9">
      <c r="H13483" s="1092"/>
      <c r="I13483" s="1092"/>
    </row>
    <row r="13484" spans="8:9">
      <c r="H13484" s="1092"/>
      <c r="I13484" s="1092"/>
    </row>
    <row r="13485" spans="8:9">
      <c r="H13485" s="1092"/>
      <c r="I13485" s="1092"/>
    </row>
    <row r="13486" spans="8:9">
      <c r="H13486" s="1092"/>
      <c r="I13486" s="1092"/>
    </row>
    <row r="13487" spans="8:9">
      <c r="H13487" s="1092"/>
      <c r="I13487" s="1092"/>
    </row>
    <row r="13488" spans="8:9">
      <c r="H13488" s="1092"/>
      <c r="I13488" s="1092"/>
    </row>
    <row r="13489" spans="8:9">
      <c r="H13489" s="1092"/>
      <c r="I13489" s="1092"/>
    </row>
    <row r="13490" spans="8:9">
      <c r="H13490" s="1092"/>
      <c r="I13490" s="1092"/>
    </row>
    <row r="13491" spans="8:9">
      <c r="H13491" s="1092"/>
      <c r="I13491" s="1092"/>
    </row>
    <row r="13492" spans="8:9">
      <c r="H13492" s="1092"/>
      <c r="I13492" s="1092"/>
    </row>
    <row r="13493" spans="8:9">
      <c r="H13493" s="1092"/>
      <c r="I13493" s="1092"/>
    </row>
    <row r="13494" spans="8:9">
      <c r="H13494" s="1092"/>
      <c r="I13494" s="1092"/>
    </row>
    <row r="13495" spans="8:9">
      <c r="H13495" s="1092"/>
      <c r="I13495" s="1092"/>
    </row>
    <row r="13496" spans="8:9">
      <c r="H13496" s="1092"/>
      <c r="I13496" s="1092"/>
    </row>
    <row r="13497" spans="8:9">
      <c r="H13497" s="1092"/>
      <c r="I13497" s="1092"/>
    </row>
    <row r="13498" spans="8:9">
      <c r="H13498" s="1092"/>
      <c r="I13498" s="1092"/>
    </row>
    <row r="13499" spans="8:9">
      <c r="H13499" s="1092"/>
      <c r="I13499" s="1092"/>
    </row>
    <row r="13500" spans="8:9">
      <c r="H13500" s="1092"/>
      <c r="I13500" s="1092"/>
    </row>
    <row r="13501" spans="8:9">
      <c r="H13501" s="1092"/>
      <c r="I13501" s="1092"/>
    </row>
    <row r="13502" spans="8:9">
      <c r="H13502" s="1092"/>
      <c r="I13502" s="1092"/>
    </row>
    <row r="13503" spans="8:9">
      <c r="H13503" s="1092"/>
      <c r="I13503" s="1092"/>
    </row>
    <row r="13504" spans="8:9">
      <c r="H13504" s="1092"/>
      <c r="I13504" s="1092"/>
    </row>
    <row r="13505" spans="8:9">
      <c r="H13505" s="1092"/>
      <c r="I13505" s="1092"/>
    </row>
    <row r="13506" spans="8:9">
      <c r="H13506" s="1092"/>
      <c r="I13506" s="1092"/>
    </row>
    <row r="13507" spans="8:9">
      <c r="H13507" s="1092"/>
      <c r="I13507" s="1092"/>
    </row>
    <row r="13508" spans="8:9">
      <c r="H13508" s="1092"/>
      <c r="I13508" s="1092"/>
    </row>
    <row r="13509" spans="8:9">
      <c r="H13509" s="1092"/>
      <c r="I13509" s="1092"/>
    </row>
    <row r="13510" spans="8:9">
      <c r="H13510" s="1092"/>
      <c r="I13510" s="1092"/>
    </row>
    <row r="13511" spans="8:9">
      <c r="H13511" s="1092"/>
      <c r="I13511" s="1092"/>
    </row>
    <row r="13512" spans="8:9">
      <c r="H13512" s="1092"/>
      <c r="I13512" s="1092"/>
    </row>
    <row r="13513" spans="8:9">
      <c r="H13513" s="1092"/>
      <c r="I13513" s="1092"/>
    </row>
    <row r="13514" spans="8:9">
      <c r="H13514" s="1092"/>
      <c r="I13514" s="1092"/>
    </row>
    <row r="13515" spans="8:9">
      <c r="H13515" s="1092"/>
      <c r="I13515" s="1092"/>
    </row>
    <row r="13516" spans="8:9">
      <c r="H13516" s="1092"/>
      <c r="I13516" s="1092"/>
    </row>
    <row r="13517" spans="8:9">
      <c r="H13517" s="1092"/>
      <c r="I13517" s="1092"/>
    </row>
    <row r="13518" spans="8:9">
      <c r="H13518" s="1092"/>
      <c r="I13518" s="1092"/>
    </row>
    <row r="13519" spans="8:9">
      <c r="H13519" s="1092"/>
      <c r="I13519" s="1092"/>
    </row>
    <row r="13520" spans="8:9">
      <c r="H13520" s="1092"/>
      <c r="I13520" s="1092"/>
    </row>
    <row r="13521" spans="8:9">
      <c r="H13521" s="1092"/>
      <c r="I13521" s="1092"/>
    </row>
    <row r="13522" spans="8:9">
      <c r="H13522" s="1092"/>
      <c r="I13522" s="1092"/>
    </row>
    <row r="13523" spans="8:9">
      <c r="H13523" s="1092"/>
      <c r="I13523" s="1092"/>
    </row>
    <row r="13524" spans="8:9">
      <c r="H13524" s="1092"/>
      <c r="I13524" s="1092"/>
    </row>
    <row r="13525" spans="8:9">
      <c r="H13525" s="1092"/>
      <c r="I13525" s="1092"/>
    </row>
    <row r="13526" spans="8:9">
      <c r="H13526" s="1092"/>
      <c r="I13526" s="1092"/>
    </row>
    <row r="13527" spans="8:9">
      <c r="H13527" s="1092"/>
      <c r="I13527" s="1092"/>
    </row>
    <row r="13528" spans="8:9">
      <c r="H13528" s="1092"/>
      <c r="I13528" s="1092"/>
    </row>
    <row r="13529" spans="8:9">
      <c r="H13529" s="1092"/>
      <c r="I13529" s="1092"/>
    </row>
    <row r="13530" spans="8:9">
      <c r="H13530" s="1092"/>
      <c r="I13530" s="1092"/>
    </row>
    <row r="13531" spans="8:9">
      <c r="H13531" s="1092"/>
      <c r="I13531" s="1092"/>
    </row>
    <row r="13532" spans="8:9">
      <c r="H13532" s="1092"/>
      <c r="I13532" s="1092"/>
    </row>
    <row r="13533" spans="8:9">
      <c r="H13533" s="1092"/>
      <c r="I13533" s="1092"/>
    </row>
    <row r="13534" spans="8:9">
      <c r="H13534" s="1092"/>
      <c r="I13534" s="1092"/>
    </row>
    <row r="13535" spans="8:9">
      <c r="H13535" s="1092"/>
      <c r="I13535" s="1092"/>
    </row>
    <row r="13536" spans="8:9">
      <c r="H13536" s="1092"/>
      <c r="I13536" s="1092"/>
    </row>
    <row r="13537" spans="8:9">
      <c r="H13537" s="1092"/>
      <c r="I13537" s="1092"/>
    </row>
    <row r="13538" spans="8:9">
      <c r="H13538" s="1092"/>
      <c r="I13538" s="1092"/>
    </row>
    <row r="13539" spans="8:9">
      <c r="H13539" s="1092"/>
      <c r="I13539" s="1092"/>
    </row>
    <row r="13540" spans="8:9">
      <c r="H13540" s="1092"/>
      <c r="I13540" s="1092"/>
    </row>
    <row r="13541" spans="8:9">
      <c r="H13541" s="1092"/>
      <c r="I13541" s="1092"/>
    </row>
    <row r="13542" spans="8:9">
      <c r="H13542" s="1092"/>
      <c r="I13542" s="1092"/>
    </row>
    <row r="13543" spans="8:9">
      <c r="H13543" s="1092"/>
      <c r="I13543" s="1092"/>
    </row>
    <row r="13544" spans="8:9">
      <c r="H13544" s="1092"/>
      <c r="I13544" s="1092"/>
    </row>
    <row r="13545" spans="8:9">
      <c r="H13545" s="1092"/>
      <c r="I13545" s="1092"/>
    </row>
    <row r="13546" spans="8:9">
      <c r="H13546" s="1092"/>
      <c r="I13546" s="1092"/>
    </row>
    <row r="13547" spans="8:9">
      <c r="H13547" s="1092"/>
      <c r="I13547" s="1092"/>
    </row>
    <row r="13548" spans="8:9">
      <c r="H13548" s="1092"/>
      <c r="I13548" s="1092"/>
    </row>
    <row r="13549" spans="8:9">
      <c r="H13549" s="1092"/>
      <c r="I13549" s="1092"/>
    </row>
    <row r="13550" spans="8:9">
      <c r="H13550" s="1092"/>
      <c r="I13550" s="1092"/>
    </row>
    <row r="13551" spans="8:9">
      <c r="H13551" s="1092"/>
      <c r="I13551" s="1092"/>
    </row>
    <row r="13552" spans="8:9">
      <c r="H13552" s="1092"/>
      <c r="I13552" s="1092"/>
    </row>
    <row r="13553" spans="8:9">
      <c r="H13553" s="1092"/>
      <c r="I13553" s="1092"/>
    </row>
    <row r="13554" spans="8:9">
      <c r="H13554" s="1092"/>
      <c r="I13554" s="1092"/>
    </row>
    <row r="13555" spans="8:9">
      <c r="H13555" s="1092"/>
      <c r="I13555" s="1092"/>
    </row>
    <row r="13556" spans="8:9">
      <c r="H13556" s="1092"/>
      <c r="I13556" s="1092"/>
    </row>
    <row r="13557" spans="8:9">
      <c r="H13557" s="1092"/>
      <c r="I13557" s="1092"/>
    </row>
    <row r="13558" spans="8:9">
      <c r="H13558" s="1092"/>
      <c r="I13558" s="1092"/>
    </row>
    <row r="13559" spans="8:9">
      <c r="H13559" s="1092"/>
      <c r="I13559" s="1092"/>
    </row>
    <row r="13560" spans="8:9">
      <c r="H13560" s="1092"/>
      <c r="I13560" s="1092"/>
    </row>
    <row r="13561" spans="8:9">
      <c r="H13561" s="1092"/>
      <c r="I13561" s="1092"/>
    </row>
    <row r="13562" spans="8:9">
      <c r="H13562" s="1092"/>
      <c r="I13562" s="1092"/>
    </row>
    <row r="13563" spans="8:9">
      <c r="H13563" s="1092"/>
      <c r="I13563" s="1092"/>
    </row>
    <row r="13564" spans="8:9">
      <c r="H13564" s="1092"/>
      <c r="I13564" s="1092"/>
    </row>
    <row r="13565" spans="8:9">
      <c r="H13565" s="1092"/>
      <c r="I13565" s="1092"/>
    </row>
    <row r="13566" spans="8:9">
      <c r="H13566" s="1092"/>
      <c r="I13566" s="1092"/>
    </row>
    <row r="13567" spans="8:9">
      <c r="H13567" s="1092"/>
      <c r="I13567" s="1092"/>
    </row>
    <row r="13568" spans="8:9">
      <c r="H13568" s="1092"/>
      <c r="I13568" s="1092"/>
    </row>
    <row r="13569" spans="8:9">
      <c r="H13569" s="1092"/>
      <c r="I13569" s="1092"/>
    </row>
    <row r="13570" spans="8:9">
      <c r="H13570" s="1092"/>
      <c r="I13570" s="1092"/>
    </row>
    <row r="13571" spans="8:9">
      <c r="H13571" s="1092"/>
      <c r="I13571" s="1092"/>
    </row>
    <row r="13572" spans="8:9">
      <c r="H13572" s="1092"/>
      <c r="I13572" s="1092"/>
    </row>
    <row r="13573" spans="8:9">
      <c r="H13573" s="1092"/>
      <c r="I13573" s="1092"/>
    </row>
    <row r="13574" spans="8:9">
      <c r="H13574" s="1092"/>
      <c r="I13574" s="1092"/>
    </row>
    <row r="13575" spans="8:9">
      <c r="H13575" s="1092"/>
      <c r="I13575" s="1092"/>
    </row>
    <row r="13576" spans="8:9">
      <c r="H13576" s="1092"/>
      <c r="I13576" s="1092"/>
    </row>
    <row r="13577" spans="8:9">
      <c r="H13577" s="1092"/>
      <c r="I13577" s="1092"/>
    </row>
    <row r="13578" spans="8:9">
      <c r="H13578" s="1092"/>
      <c r="I13578" s="1092"/>
    </row>
    <row r="13579" spans="8:9">
      <c r="H13579" s="1092"/>
      <c r="I13579" s="1092"/>
    </row>
    <row r="13580" spans="8:9">
      <c r="H13580" s="1092"/>
      <c r="I13580" s="1092"/>
    </row>
    <row r="13581" spans="8:9">
      <c r="H13581" s="1092"/>
      <c r="I13581" s="1092"/>
    </row>
    <row r="13582" spans="8:9">
      <c r="H13582" s="1092"/>
      <c r="I13582" s="1092"/>
    </row>
    <row r="13583" spans="8:9">
      <c r="H13583" s="1092"/>
      <c r="I13583" s="1092"/>
    </row>
    <row r="13584" spans="8:9">
      <c r="H13584" s="1092"/>
      <c r="I13584" s="1092"/>
    </row>
    <row r="13585" spans="8:9">
      <c r="H13585" s="1092"/>
      <c r="I13585" s="1092"/>
    </row>
    <row r="13586" spans="8:9">
      <c r="H13586" s="1092"/>
      <c r="I13586" s="1092"/>
    </row>
    <row r="13587" spans="8:9">
      <c r="H13587" s="1092"/>
      <c r="I13587" s="1092"/>
    </row>
    <row r="13588" spans="8:9">
      <c r="H13588" s="1092"/>
      <c r="I13588" s="1092"/>
    </row>
    <row r="13589" spans="8:9">
      <c r="H13589" s="1092"/>
      <c r="I13589" s="1092"/>
    </row>
    <row r="13590" spans="8:9">
      <c r="H13590" s="1092"/>
      <c r="I13590" s="1092"/>
    </row>
    <row r="13591" spans="8:9">
      <c r="H13591" s="1092"/>
      <c r="I13591" s="1092"/>
    </row>
    <row r="13592" spans="8:9">
      <c r="H13592" s="1092"/>
      <c r="I13592" s="1092"/>
    </row>
    <row r="13593" spans="8:9">
      <c r="H13593" s="1092"/>
      <c r="I13593" s="1092"/>
    </row>
    <row r="13594" spans="8:9">
      <c r="H13594" s="1092"/>
      <c r="I13594" s="1092"/>
    </row>
    <row r="13595" spans="8:9">
      <c r="H13595" s="1092"/>
      <c r="I13595" s="1092"/>
    </row>
    <row r="13596" spans="8:9">
      <c r="H13596" s="1092"/>
      <c r="I13596" s="1092"/>
    </row>
    <row r="13597" spans="8:9">
      <c r="H13597" s="1092"/>
      <c r="I13597" s="1092"/>
    </row>
    <row r="13598" spans="8:9">
      <c r="H13598" s="1092"/>
      <c r="I13598" s="1092"/>
    </row>
    <row r="13599" spans="8:9">
      <c r="H13599" s="1092"/>
      <c r="I13599" s="1092"/>
    </row>
    <row r="13600" spans="8:9">
      <c r="H13600" s="1092"/>
      <c r="I13600" s="1092"/>
    </row>
    <row r="13601" spans="8:9">
      <c r="H13601" s="1092"/>
      <c r="I13601" s="1092"/>
    </row>
    <row r="13602" spans="8:9">
      <c r="H13602" s="1092"/>
      <c r="I13602" s="1092"/>
    </row>
    <row r="13603" spans="8:9">
      <c r="H13603" s="1092"/>
      <c r="I13603" s="1092"/>
    </row>
    <row r="13604" spans="8:9">
      <c r="H13604" s="1092"/>
      <c r="I13604" s="1092"/>
    </row>
    <row r="13605" spans="8:9">
      <c r="H13605" s="1092"/>
      <c r="I13605" s="1092"/>
    </row>
    <row r="13606" spans="8:9">
      <c r="H13606" s="1092"/>
      <c r="I13606" s="1092"/>
    </row>
    <row r="13607" spans="8:9">
      <c r="H13607" s="1092"/>
      <c r="I13607" s="1092"/>
    </row>
    <row r="13608" spans="8:9">
      <c r="H13608" s="1092"/>
      <c r="I13608" s="1092"/>
    </row>
    <row r="13609" spans="8:9">
      <c r="H13609" s="1092"/>
      <c r="I13609" s="1092"/>
    </row>
    <row r="13610" spans="8:9">
      <c r="H13610" s="1092"/>
      <c r="I13610" s="1092"/>
    </row>
    <row r="13611" spans="8:9">
      <c r="H13611" s="1092"/>
      <c r="I13611" s="1092"/>
    </row>
    <row r="13612" spans="8:9">
      <c r="H13612" s="1092"/>
      <c r="I13612" s="1092"/>
    </row>
    <row r="13613" spans="8:9">
      <c r="H13613" s="1092"/>
      <c r="I13613" s="1092"/>
    </row>
    <row r="13614" spans="8:9">
      <c r="H13614" s="1092"/>
      <c r="I13614" s="1092"/>
    </row>
    <row r="13615" spans="8:9">
      <c r="H13615" s="1092"/>
      <c r="I13615" s="1092"/>
    </row>
    <row r="13616" spans="8:9">
      <c r="H13616" s="1092"/>
      <c r="I13616" s="1092"/>
    </row>
    <row r="13617" spans="8:9">
      <c r="H13617" s="1092"/>
      <c r="I13617" s="1092"/>
    </row>
    <row r="13618" spans="8:9">
      <c r="H13618" s="1092"/>
      <c r="I13618" s="1092"/>
    </row>
    <row r="13619" spans="8:9">
      <c r="H13619" s="1092"/>
      <c r="I13619" s="1092"/>
    </row>
    <row r="13620" spans="8:9">
      <c r="H13620" s="1092"/>
      <c r="I13620" s="1092"/>
    </row>
    <row r="13621" spans="8:9">
      <c r="H13621" s="1092"/>
      <c r="I13621" s="1092"/>
    </row>
    <row r="13622" spans="8:9">
      <c r="H13622" s="1092"/>
      <c r="I13622" s="1092"/>
    </row>
    <row r="13623" spans="8:9">
      <c r="H13623" s="1092"/>
      <c r="I13623" s="1092"/>
    </row>
    <row r="13624" spans="8:9">
      <c r="H13624" s="1092"/>
      <c r="I13624" s="1092"/>
    </row>
    <row r="13625" spans="8:9">
      <c r="H13625" s="1092"/>
      <c r="I13625" s="1092"/>
    </row>
    <row r="13626" spans="8:9">
      <c r="H13626" s="1092"/>
      <c r="I13626" s="1092"/>
    </row>
    <row r="13627" spans="8:9">
      <c r="H13627" s="1092"/>
      <c r="I13627" s="1092"/>
    </row>
    <row r="13628" spans="8:9">
      <c r="H13628" s="1092"/>
      <c r="I13628" s="1092"/>
    </row>
    <row r="13629" spans="8:9">
      <c r="H13629" s="1092"/>
      <c r="I13629" s="1092"/>
    </row>
    <row r="13630" spans="8:9">
      <c r="H13630" s="1092"/>
      <c r="I13630" s="1092"/>
    </row>
    <row r="13631" spans="8:9">
      <c r="H13631" s="1092"/>
      <c r="I13631" s="1092"/>
    </row>
    <row r="13632" spans="8:9">
      <c r="H13632" s="1092"/>
      <c r="I13632" s="1092"/>
    </row>
    <row r="13633" spans="8:9">
      <c r="H13633" s="1092"/>
      <c r="I13633" s="1092"/>
    </row>
    <row r="13634" spans="8:9">
      <c r="H13634" s="1092"/>
      <c r="I13634" s="1092"/>
    </row>
    <row r="13635" spans="8:9">
      <c r="H13635" s="1092"/>
      <c r="I13635" s="1092"/>
    </row>
    <row r="13636" spans="8:9">
      <c r="H13636" s="1092"/>
      <c r="I13636" s="1092"/>
    </row>
    <row r="13637" spans="8:9">
      <c r="H13637" s="1092"/>
      <c r="I13637" s="1092"/>
    </row>
    <row r="13638" spans="8:9">
      <c r="H13638" s="1092"/>
      <c r="I13638" s="1092"/>
    </row>
    <row r="13639" spans="8:9">
      <c r="H13639" s="1092"/>
      <c r="I13639" s="1092"/>
    </row>
    <row r="13640" spans="8:9">
      <c r="H13640" s="1092"/>
      <c r="I13640" s="1092"/>
    </row>
    <row r="13641" spans="8:9">
      <c r="H13641" s="1092"/>
      <c r="I13641" s="1092"/>
    </row>
    <row r="13642" spans="8:9">
      <c r="H13642" s="1092"/>
      <c r="I13642" s="1092"/>
    </row>
    <row r="13643" spans="8:9">
      <c r="H13643" s="1092"/>
      <c r="I13643" s="1092"/>
    </row>
    <row r="13644" spans="8:9">
      <c r="H13644" s="1092"/>
      <c r="I13644" s="1092"/>
    </row>
    <row r="13645" spans="8:9">
      <c r="H13645" s="1092"/>
      <c r="I13645" s="1092"/>
    </row>
    <row r="13646" spans="8:9">
      <c r="H13646" s="1092"/>
      <c r="I13646" s="1092"/>
    </row>
    <row r="13647" spans="8:9">
      <c r="H13647" s="1092"/>
      <c r="I13647" s="1092"/>
    </row>
    <row r="13648" spans="8:9">
      <c r="H13648" s="1092"/>
      <c r="I13648" s="1092"/>
    </row>
    <row r="13649" spans="8:9">
      <c r="H13649" s="1092"/>
      <c r="I13649" s="1092"/>
    </row>
    <row r="13650" spans="8:9">
      <c r="H13650" s="1092"/>
      <c r="I13650" s="1092"/>
    </row>
    <row r="13651" spans="8:9">
      <c r="H13651" s="1092"/>
      <c r="I13651" s="1092"/>
    </row>
    <row r="13652" spans="8:9">
      <c r="H13652" s="1092"/>
      <c r="I13652" s="1092"/>
    </row>
    <row r="13653" spans="8:9">
      <c r="H13653" s="1092"/>
      <c r="I13653" s="1092"/>
    </row>
    <row r="13654" spans="8:9">
      <c r="H13654" s="1092"/>
      <c r="I13654" s="1092"/>
    </row>
    <row r="13655" spans="8:9">
      <c r="H13655" s="1092"/>
      <c r="I13655" s="1092"/>
    </row>
    <row r="13656" spans="8:9">
      <c r="H13656" s="1092"/>
      <c r="I13656" s="1092"/>
    </row>
    <row r="13657" spans="8:9">
      <c r="H13657" s="1092"/>
      <c r="I13657" s="1092"/>
    </row>
    <row r="13658" spans="8:9">
      <c r="H13658" s="1092"/>
      <c r="I13658" s="1092"/>
    </row>
    <row r="13659" spans="8:9">
      <c r="H13659" s="1092"/>
      <c r="I13659" s="1092"/>
    </row>
    <row r="13660" spans="8:9">
      <c r="H13660" s="1092"/>
      <c r="I13660" s="1092"/>
    </row>
    <row r="13661" spans="8:9">
      <c r="H13661" s="1092"/>
      <c r="I13661" s="1092"/>
    </row>
    <row r="13662" spans="8:9">
      <c r="H13662" s="1092"/>
      <c r="I13662" s="1092"/>
    </row>
    <row r="13663" spans="8:9">
      <c r="H13663" s="1092"/>
      <c r="I13663" s="1092"/>
    </row>
    <row r="13664" spans="8:9">
      <c r="H13664" s="1092"/>
      <c r="I13664" s="1092"/>
    </row>
    <row r="13665" spans="8:9">
      <c r="H13665" s="1092"/>
      <c r="I13665" s="1092"/>
    </row>
    <row r="13666" spans="8:9">
      <c r="H13666" s="1092"/>
      <c r="I13666" s="1092"/>
    </row>
    <row r="13667" spans="8:9">
      <c r="H13667" s="1092"/>
      <c r="I13667" s="1092"/>
    </row>
    <row r="13668" spans="8:9">
      <c r="H13668" s="1092"/>
      <c r="I13668" s="1092"/>
    </row>
    <row r="13669" spans="8:9">
      <c r="H13669" s="1092"/>
      <c r="I13669" s="1092"/>
    </row>
    <row r="13670" spans="8:9">
      <c r="H13670" s="1092"/>
      <c r="I13670" s="1092"/>
    </row>
    <row r="13671" spans="8:9">
      <c r="H13671" s="1092"/>
      <c r="I13671" s="1092"/>
    </row>
    <row r="13672" spans="8:9">
      <c r="H13672" s="1092"/>
      <c r="I13672" s="1092"/>
    </row>
    <row r="13673" spans="8:9">
      <c r="H13673" s="1092"/>
      <c r="I13673" s="1092"/>
    </row>
    <row r="13674" spans="8:9">
      <c r="H13674" s="1092"/>
      <c r="I13674" s="1092"/>
    </row>
    <row r="13675" spans="8:9">
      <c r="H13675" s="1092"/>
      <c r="I13675" s="1092"/>
    </row>
    <row r="13676" spans="8:9">
      <c r="H13676" s="1092"/>
      <c r="I13676" s="1092"/>
    </row>
    <row r="13677" spans="8:9">
      <c r="H13677" s="1092"/>
      <c r="I13677" s="1092"/>
    </row>
    <row r="13678" spans="8:9">
      <c r="H13678" s="1092"/>
      <c r="I13678" s="1092"/>
    </row>
    <row r="13679" spans="8:9">
      <c r="H13679" s="1092"/>
      <c r="I13679" s="1092"/>
    </row>
    <row r="13680" spans="8:9">
      <c r="H13680" s="1092"/>
      <c r="I13680" s="1092"/>
    </row>
    <row r="13681" spans="8:9">
      <c r="H13681" s="1092"/>
      <c r="I13681" s="1092"/>
    </row>
    <row r="13682" spans="8:9">
      <c r="H13682" s="1092"/>
      <c r="I13682" s="1092"/>
    </row>
    <row r="13683" spans="8:9">
      <c r="H13683" s="1092"/>
      <c r="I13683" s="1092"/>
    </row>
    <row r="13684" spans="8:9">
      <c r="H13684" s="1092"/>
      <c r="I13684" s="1092"/>
    </row>
    <row r="13685" spans="8:9">
      <c r="H13685" s="1092"/>
      <c r="I13685" s="1092"/>
    </row>
    <row r="13686" spans="8:9">
      <c r="H13686" s="1092"/>
      <c r="I13686" s="1092"/>
    </row>
    <row r="13687" spans="8:9">
      <c r="H13687" s="1092"/>
      <c r="I13687" s="1092"/>
    </row>
    <row r="13688" spans="8:9">
      <c r="H13688" s="1092"/>
      <c r="I13688" s="1092"/>
    </row>
    <row r="13689" spans="8:9">
      <c r="H13689" s="1092"/>
      <c r="I13689" s="1092"/>
    </row>
    <row r="13690" spans="8:9">
      <c r="H13690" s="1092"/>
      <c r="I13690" s="1092"/>
    </row>
    <row r="13691" spans="8:9">
      <c r="H13691" s="1092"/>
      <c r="I13691" s="1092"/>
    </row>
    <row r="13692" spans="8:9">
      <c r="H13692" s="1092"/>
      <c r="I13692" s="1092"/>
    </row>
    <row r="13693" spans="8:9">
      <c r="H13693" s="1092"/>
      <c r="I13693" s="1092"/>
    </row>
    <row r="13694" spans="8:9">
      <c r="H13694" s="1092"/>
      <c r="I13694" s="1092"/>
    </row>
    <row r="13695" spans="8:9">
      <c r="H13695" s="1092"/>
      <c r="I13695" s="1092"/>
    </row>
    <row r="13696" spans="8:9">
      <c r="H13696" s="1092"/>
      <c r="I13696" s="1092"/>
    </row>
    <row r="13697" spans="8:9">
      <c r="H13697" s="1092"/>
      <c r="I13697" s="1092"/>
    </row>
    <row r="13698" spans="8:9">
      <c r="H13698" s="1092"/>
      <c r="I13698" s="1092"/>
    </row>
    <row r="13699" spans="8:9">
      <c r="H13699" s="1092"/>
      <c r="I13699" s="1092"/>
    </row>
    <row r="13700" spans="8:9">
      <c r="H13700" s="1092"/>
      <c r="I13700" s="1092"/>
    </row>
    <row r="13701" spans="8:9">
      <c r="H13701" s="1092"/>
      <c r="I13701" s="1092"/>
    </row>
    <row r="13702" spans="8:9">
      <c r="H13702" s="1092"/>
      <c r="I13702" s="1092"/>
    </row>
    <row r="13703" spans="8:9">
      <c r="H13703" s="1092"/>
      <c r="I13703" s="1092"/>
    </row>
    <row r="13704" spans="8:9">
      <c r="H13704" s="1092"/>
      <c r="I13704" s="1092"/>
    </row>
    <row r="13705" spans="8:9">
      <c r="H13705" s="1092"/>
      <c r="I13705" s="1092"/>
    </row>
    <row r="13706" spans="8:9">
      <c r="H13706" s="1092"/>
      <c r="I13706" s="1092"/>
    </row>
    <row r="13707" spans="8:9">
      <c r="H13707" s="1092"/>
      <c r="I13707" s="1092"/>
    </row>
    <row r="13708" spans="8:9">
      <c r="H13708" s="1092"/>
      <c r="I13708" s="1092"/>
    </row>
    <row r="13709" spans="8:9">
      <c r="H13709" s="1092"/>
      <c r="I13709" s="1092"/>
    </row>
    <row r="13710" spans="8:9">
      <c r="H13710" s="1092"/>
      <c r="I13710" s="1092"/>
    </row>
    <row r="13711" spans="8:9">
      <c r="H13711" s="1092"/>
      <c r="I13711" s="1092"/>
    </row>
    <row r="13712" spans="8:9">
      <c r="H13712" s="1092"/>
      <c r="I13712" s="1092"/>
    </row>
    <row r="13713" spans="8:9">
      <c r="H13713" s="1092"/>
      <c r="I13713" s="1092"/>
    </row>
    <row r="13714" spans="8:9">
      <c r="H13714" s="1092"/>
      <c r="I13714" s="1092"/>
    </row>
    <row r="13715" spans="8:9">
      <c r="H13715" s="1092"/>
      <c r="I13715" s="1092"/>
    </row>
    <row r="13716" spans="8:9">
      <c r="H13716" s="1092"/>
      <c r="I13716" s="1092"/>
    </row>
    <row r="13717" spans="8:9">
      <c r="H13717" s="1092"/>
      <c r="I13717" s="1092"/>
    </row>
    <row r="13718" spans="8:9">
      <c r="H13718" s="1092"/>
      <c r="I13718" s="1092"/>
    </row>
    <row r="13719" spans="8:9">
      <c r="H13719" s="1092"/>
      <c r="I13719" s="1092"/>
    </row>
    <row r="13720" spans="8:9">
      <c r="H13720" s="1092"/>
      <c r="I13720" s="1092"/>
    </row>
    <row r="13721" spans="8:9">
      <c r="H13721" s="1092"/>
      <c r="I13721" s="1092"/>
    </row>
    <row r="13722" spans="8:9">
      <c r="H13722" s="1092"/>
      <c r="I13722" s="1092"/>
    </row>
    <row r="13723" spans="8:9">
      <c r="H13723" s="1092"/>
      <c r="I13723" s="1092"/>
    </row>
    <row r="13724" spans="8:9">
      <c r="H13724" s="1092"/>
      <c r="I13724" s="1092"/>
    </row>
    <row r="13725" spans="8:9">
      <c r="H13725" s="1092"/>
      <c r="I13725" s="1092"/>
    </row>
    <row r="13726" spans="8:9">
      <c r="H13726" s="1092"/>
      <c r="I13726" s="1092"/>
    </row>
    <row r="13727" spans="8:9">
      <c r="H13727" s="1092"/>
      <c r="I13727" s="1092"/>
    </row>
    <row r="13728" spans="8:9">
      <c r="H13728" s="1092"/>
      <c r="I13728" s="1092"/>
    </row>
    <row r="13729" spans="8:9">
      <c r="H13729" s="1092"/>
      <c r="I13729" s="1092"/>
    </row>
    <row r="13730" spans="8:9">
      <c r="H13730" s="1092"/>
      <c r="I13730" s="1092"/>
    </row>
    <row r="13731" spans="8:9">
      <c r="H13731" s="1092"/>
      <c r="I13731" s="1092"/>
    </row>
    <row r="13732" spans="8:9">
      <c r="H13732" s="1092"/>
      <c r="I13732" s="1092"/>
    </row>
    <row r="13733" spans="8:9">
      <c r="H13733" s="1092"/>
      <c r="I13733" s="1092"/>
    </row>
    <row r="13734" spans="8:9">
      <c r="H13734" s="1092"/>
      <c r="I13734" s="1092"/>
    </row>
    <row r="13735" spans="8:9">
      <c r="H13735" s="1092"/>
      <c r="I13735" s="1092"/>
    </row>
    <row r="13736" spans="8:9">
      <c r="H13736" s="1092"/>
      <c r="I13736" s="1092"/>
    </row>
    <row r="13737" spans="8:9">
      <c r="H13737" s="1092"/>
      <c r="I13737" s="1092"/>
    </row>
    <row r="13738" spans="8:9">
      <c r="H13738" s="1092"/>
      <c r="I13738" s="1092"/>
    </row>
    <row r="13739" spans="8:9">
      <c r="H13739" s="1092"/>
      <c r="I13739" s="1092"/>
    </row>
    <row r="13740" spans="8:9">
      <c r="H13740" s="1092"/>
      <c r="I13740" s="1092"/>
    </row>
    <row r="13741" spans="8:9">
      <c r="H13741" s="1092"/>
      <c r="I13741" s="1092"/>
    </row>
    <row r="13742" spans="8:9">
      <c r="H13742" s="1092"/>
      <c r="I13742" s="1092"/>
    </row>
    <row r="13743" spans="8:9">
      <c r="H13743" s="1092"/>
      <c r="I13743" s="1092"/>
    </row>
    <row r="13744" spans="8:9">
      <c r="H13744" s="1092"/>
      <c r="I13744" s="1092"/>
    </row>
    <row r="13745" spans="8:9">
      <c r="H13745" s="1092"/>
      <c r="I13745" s="1092"/>
    </row>
    <row r="13746" spans="8:9">
      <c r="H13746" s="1092"/>
      <c r="I13746" s="1092"/>
    </row>
    <row r="13747" spans="8:9">
      <c r="H13747" s="1092"/>
      <c r="I13747" s="1092"/>
    </row>
    <row r="13748" spans="8:9">
      <c r="H13748" s="1092"/>
      <c r="I13748" s="1092"/>
    </row>
    <row r="13749" spans="8:9">
      <c r="H13749" s="1092"/>
      <c r="I13749" s="1092"/>
    </row>
    <row r="13750" spans="8:9">
      <c r="H13750" s="1092"/>
      <c r="I13750" s="1092"/>
    </row>
    <row r="13751" spans="8:9">
      <c r="H13751" s="1092"/>
      <c r="I13751" s="1092"/>
    </row>
    <row r="13752" spans="8:9">
      <c r="H13752" s="1092"/>
      <c r="I13752" s="1092"/>
    </row>
    <row r="13753" spans="8:9">
      <c r="H13753" s="1092"/>
      <c r="I13753" s="1092"/>
    </row>
    <row r="13754" spans="8:9">
      <c r="H13754" s="1092"/>
      <c r="I13754" s="1092"/>
    </row>
    <row r="13755" spans="8:9">
      <c r="H13755" s="1092"/>
      <c r="I13755" s="1092"/>
    </row>
    <row r="13756" spans="8:9">
      <c r="H13756" s="1092"/>
      <c r="I13756" s="1092"/>
    </row>
    <row r="13757" spans="8:9">
      <c r="H13757" s="1092"/>
      <c r="I13757" s="1092"/>
    </row>
    <row r="13758" spans="8:9">
      <c r="H13758" s="1092"/>
      <c r="I13758" s="1092"/>
    </row>
    <row r="13759" spans="8:9">
      <c r="H13759" s="1092"/>
      <c r="I13759" s="1092"/>
    </row>
    <row r="13760" spans="8:9">
      <c r="H13760" s="1092"/>
      <c r="I13760" s="1092"/>
    </row>
    <row r="13761" spans="8:9">
      <c r="H13761" s="1092"/>
      <c r="I13761" s="1092"/>
    </row>
    <row r="13762" spans="8:9">
      <c r="H13762" s="1092"/>
      <c r="I13762" s="1092"/>
    </row>
    <row r="13763" spans="8:9">
      <c r="H13763" s="1092"/>
      <c r="I13763" s="1092"/>
    </row>
    <row r="13764" spans="8:9">
      <c r="H13764" s="1092"/>
      <c r="I13764" s="1092"/>
    </row>
    <row r="13765" spans="8:9">
      <c r="H13765" s="1092"/>
      <c r="I13765" s="1092"/>
    </row>
    <row r="13766" spans="8:9">
      <c r="H13766" s="1092"/>
      <c r="I13766" s="1092"/>
    </row>
    <row r="13767" spans="8:9">
      <c r="H13767" s="1092"/>
      <c r="I13767" s="1092"/>
    </row>
    <row r="13768" spans="8:9">
      <c r="H13768" s="1092"/>
      <c r="I13768" s="1092"/>
    </row>
    <row r="13769" spans="8:9">
      <c r="H13769" s="1092"/>
      <c r="I13769" s="1092"/>
    </row>
    <row r="13770" spans="8:9">
      <c r="H13770" s="1092"/>
      <c r="I13770" s="1092"/>
    </row>
    <row r="13771" spans="8:9">
      <c r="H13771" s="1092"/>
      <c r="I13771" s="1092"/>
    </row>
    <row r="13772" spans="8:9">
      <c r="H13772" s="1092"/>
      <c r="I13772" s="1092"/>
    </row>
    <row r="13773" spans="8:9">
      <c r="H13773" s="1092"/>
      <c r="I13773" s="1092"/>
    </row>
    <row r="13774" spans="8:9">
      <c r="H13774" s="1092"/>
      <c r="I13774" s="1092"/>
    </row>
    <row r="13775" spans="8:9">
      <c r="H13775" s="1092"/>
      <c r="I13775" s="1092"/>
    </row>
    <row r="13776" spans="8:9">
      <c r="H13776" s="1092"/>
      <c r="I13776" s="1092"/>
    </row>
    <row r="13777" spans="8:9">
      <c r="H13777" s="1092"/>
      <c r="I13777" s="1092"/>
    </row>
    <row r="13778" spans="8:9">
      <c r="H13778" s="1092"/>
      <c r="I13778" s="1092"/>
    </row>
    <row r="13779" spans="8:9">
      <c r="H13779" s="1092"/>
      <c r="I13779" s="1092"/>
    </row>
    <row r="13780" spans="8:9">
      <c r="H13780" s="1092"/>
      <c r="I13780" s="1092"/>
    </row>
    <row r="13781" spans="8:9">
      <c r="H13781" s="1092"/>
      <c r="I13781" s="1092"/>
    </row>
    <row r="13782" spans="8:9">
      <c r="H13782" s="1092"/>
      <c r="I13782" s="1092"/>
    </row>
    <row r="13783" spans="8:9">
      <c r="H13783" s="1092"/>
      <c r="I13783" s="1092"/>
    </row>
    <row r="13784" spans="8:9">
      <c r="H13784" s="1092"/>
      <c r="I13784" s="1092"/>
    </row>
    <row r="13785" spans="8:9">
      <c r="H13785" s="1092"/>
      <c r="I13785" s="1092"/>
    </row>
    <row r="13786" spans="8:9">
      <c r="H13786" s="1092"/>
      <c r="I13786" s="1092"/>
    </row>
    <row r="13787" spans="8:9">
      <c r="H13787" s="1092"/>
      <c r="I13787" s="1092"/>
    </row>
    <row r="13788" spans="8:9">
      <c r="H13788" s="1092"/>
      <c r="I13788" s="1092"/>
    </row>
    <row r="13789" spans="8:9">
      <c r="H13789" s="1092"/>
      <c r="I13789" s="1092"/>
    </row>
    <row r="13790" spans="8:9">
      <c r="H13790" s="1092"/>
      <c r="I13790" s="1092"/>
    </row>
    <row r="13791" spans="8:9">
      <c r="H13791" s="1092"/>
      <c r="I13791" s="1092"/>
    </row>
    <row r="13792" spans="8:9">
      <c r="H13792" s="1092"/>
      <c r="I13792" s="1092"/>
    </row>
    <row r="13793" spans="8:9">
      <c r="H13793" s="1092"/>
      <c r="I13793" s="1092"/>
    </row>
    <row r="13794" spans="8:9">
      <c r="H13794" s="1092"/>
      <c r="I13794" s="1092"/>
    </row>
    <row r="13795" spans="8:9">
      <c r="H13795" s="1092"/>
      <c r="I13795" s="1092"/>
    </row>
    <row r="13796" spans="8:9">
      <c r="H13796" s="1092"/>
      <c r="I13796" s="1092"/>
    </row>
    <row r="13797" spans="8:9">
      <c r="H13797" s="1092"/>
      <c r="I13797" s="1092"/>
    </row>
    <row r="13798" spans="8:9">
      <c r="H13798" s="1092"/>
      <c r="I13798" s="1092"/>
    </row>
    <row r="13799" spans="8:9">
      <c r="H13799" s="1092"/>
      <c r="I13799" s="1092"/>
    </row>
    <row r="13800" spans="8:9">
      <c r="H13800" s="1092"/>
      <c r="I13800" s="1092"/>
    </row>
    <row r="13801" spans="8:9">
      <c r="H13801" s="1092"/>
      <c r="I13801" s="1092"/>
    </row>
    <row r="13802" spans="8:9">
      <c r="H13802" s="1092"/>
      <c r="I13802" s="1092"/>
    </row>
    <row r="13803" spans="8:9">
      <c r="H13803" s="1092"/>
      <c r="I13803" s="1092"/>
    </row>
    <row r="13804" spans="8:9">
      <c r="H13804" s="1092"/>
      <c r="I13804" s="1092"/>
    </row>
    <row r="13805" spans="8:9">
      <c r="H13805" s="1092"/>
      <c r="I13805" s="1092"/>
    </row>
    <row r="13806" spans="8:9">
      <c r="H13806" s="1092"/>
      <c r="I13806" s="1092"/>
    </row>
    <row r="13807" spans="8:9">
      <c r="H13807" s="1092"/>
      <c r="I13807" s="1092"/>
    </row>
    <row r="13808" spans="8:9">
      <c r="H13808" s="1092"/>
      <c r="I13808" s="1092"/>
    </row>
    <row r="13809" spans="8:9">
      <c r="H13809" s="1092"/>
      <c r="I13809" s="1092"/>
    </row>
    <row r="13810" spans="8:9">
      <c r="H13810" s="1092"/>
      <c r="I13810" s="1092"/>
    </row>
    <row r="13811" spans="8:9">
      <c r="H13811" s="1092"/>
      <c r="I13811" s="1092"/>
    </row>
    <row r="13812" spans="8:9">
      <c r="H13812" s="1092"/>
      <c r="I13812" s="1092"/>
    </row>
    <row r="13813" spans="8:9">
      <c r="H13813" s="1092"/>
      <c r="I13813" s="1092"/>
    </row>
    <row r="13814" spans="8:9">
      <c r="H13814" s="1092"/>
      <c r="I13814" s="1092"/>
    </row>
    <row r="13815" spans="8:9">
      <c r="H13815" s="1092"/>
      <c r="I13815" s="1092"/>
    </row>
    <row r="13816" spans="8:9">
      <c r="H13816" s="1092"/>
      <c r="I13816" s="1092"/>
    </row>
    <row r="13817" spans="8:9">
      <c r="H13817" s="1092"/>
      <c r="I13817" s="1092"/>
    </row>
    <row r="13818" spans="8:9">
      <c r="H13818" s="1092"/>
      <c r="I13818" s="1092"/>
    </row>
    <row r="13819" spans="8:9">
      <c r="H13819" s="1092"/>
      <c r="I13819" s="1092"/>
    </row>
    <row r="13820" spans="8:9">
      <c r="H13820" s="1092"/>
      <c r="I13820" s="1092"/>
    </row>
    <row r="13821" spans="8:9">
      <c r="H13821" s="1092"/>
      <c r="I13821" s="1092"/>
    </row>
    <row r="13822" spans="8:9">
      <c r="H13822" s="1092"/>
      <c r="I13822" s="1092"/>
    </row>
    <row r="13823" spans="8:9">
      <c r="H13823" s="1092"/>
      <c r="I13823" s="1092"/>
    </row>
    <row r="13824" spans="8:9">
      <c r="H13824" s="1092"/>
      <c r="I13824" s="1092"/>
    </row>
    <row r="13825" spans="8:9">
      <c r="H13825" s="1092"/>
      <c r="I13825" s="1092"/>
    </row>
    <row r="13826" spans="8:9">
      <c r="H13826" s="1092"/>
      <c r="I13826" s="1092"/>
    </row>
    <row r="13827" spans="8:9">
      <c r="H13827" s="1092"/>
      <c r="I13827" s="1092"/>
    </row>
    <row r="13828" spans="8:9">
      <c r="H13828" s="1092"/>
      <c r="I13828" s="1092"/>
    </row>
    <row r="13829" spans="8:9">
      <c r="H13829" s="1092"/>
      <c r="I13829" s="1092"/>
    </row>
    <row r="13830" spans="8:9">
      <c r="H13830" s="1092"/>
      <c r="I13830" s="1092"/>
    </row>
    <row r="13831" spans="8:9">
      <c r="H13831" s="1092"/>
      <c r="I13831" s="1092"/>
    </row>
    <row r="13832" spans="8:9">
      <c r="H13832" s="1092"/>
      <c r="I13832" s="1092"/>
    </row>
    <row r="13833" spans="8:9">
      <c r="H13833" s="1092"/>
      <c r="I13833" s="1092"/>
    </row>
    <row r="13834" spans="8:9">
      <c r="H13834" s="1092"/>
      <c r="I13834" s="1092"/>
    </row>
    <row r="13835" spans="8:9">
      <c r="H13835" s="1092"/>
      <c r="I13835" s="1092"/>
    </row>
    <row r="13836" spans="8:9">
      <c r="H13836" s="1092"/>
      <c r="I13836" s="1092"/>
    </row>
    <row r="13837" spans="8:9">
      <c r="H13837" s="1092"/>
      <c r="I13837" s="1092"/>
    </row>
    <row r="13838" spans="8:9">
      <c r="H13838" s="1092"/>
      <c r="I13838" s="1092"/>
    </row>
    <row r="13839" spans="8:9">
      <c r="H13839" s="1092"/>
      <c r="I13839" s="1092"/>
    </row>
    <row r="13840" spans="8:9">
      <c r="H13840" s="1092"/>
      <c r="I13840" s="1092"/>
    </row>
    <row r="13841" spans="8:9">
      <c r="H13841" s="1092"/>
      <c r="I13841" s="1092"/>
    </row>
    <row r="13842" spans="8:9">
      <c r="H13842" s="1092"/>
      <c r="I13842" s="1092"/>
    </row>
    <row r="13843" spans="8:9">
      <c r="H13843" s="1092"/>
      <c r="I13843" s="1092"/>
    </row>
    <row r="13844" spans="8:9">
      <c r="H13844" s="1092"/>
      <c r="I13844" s="1092"/>
    </row>
    <row r="13845" spans="8:9">
      <c r="H13845" s="1092"/>
      <c r="I13845" s="1092"/>
    </row>
    <row r="13846" spans="8:9">
      <c r="H13846" s="1092"/>
      <c r="I13846" s="1092"/>
    </row>
    <row r="13847" spans="8:9">
      <c r="H13847" s="1092"/>
      <c r="I13847" s="1092"/>
    </row>
    <row r="13848" spans="8:9">
      <c r="H13848" s="1092"/>
      <c r="I13848" s="1092"/>
    </row>
    <row r="13849" spans="8:9">
      <c r="H13849" s="1092"/>
      <c r="I13849" s="1092"/>
    </row>
    <row r="13850" spans="8:9">
      <c r="H13850" s="1092"/>
      <c r="I13850" s="1092"/>
    </row>
    <row r="13851" spans="8:9">
      <c r="H13851" s="1092"/>
      <c r="I13851" s="1092"/>
    </row>
    <row r="13852" spans="8:9">
      <c r="H13852" s="1092"/>
      <c r="I13852" s="1092"/>
    </row>
    <row r="13853" spans="8:9">
      <c r="H13853" s="1092"/>
      <c r="I13853" s="1092"/>
    </row>
    <row r="13854" spans="8:9">
      <c r="H13854" s="1092"/>
      <c r="I13854" s="1092"/>
    </row>
    <row r="13855" spans="8:9">
      <c r="H13855" s="1092"/>
      <c r="I13855" s="1092"/>
    </row>
    <row r="13856" spans="8:9">
      <c r="H13856" s="1092"/>
      <c r="I13856" s="1092"/>
    </row>
    <row r="13857" spans="8:9">
      <c r="H13857" s="1092"/>
      <c r="I13857" s="1092"/>
    </row>
    <row r="13858" spans="8:9">
      <c r="H13858" s="1092"/>
      <c r="I13858" s="1092"/>
    </row>
    <row r="13859" spans="8:9">
      <c r="H13859" s="1092"/>
      <c r="I13859" s="1092"/>
    </row>
    <row r="13860" spans="8:9">
      <c r="H13860" s="1092"/>
      <c r="I13860" s="1092"/>
    </row>
    <row r="13861" spans="8:9">
      <c r="H13861" s="1092"/>
      <c r="I13861" s="1092"/>
    </row>
    <row r="13862" spans="8:9">
      <c r="H13862" s="1092"/>
      <c r="I13862" s="1092"/>
    </row>
    <row r="13863" spans="8:9">
      <c r="H13863" s="1092"/>
      <c r="I13863" s="1092"/>
    </row>
    <row r="13864" spans="8:9">
      <c r="H13864" s="1092"/>
      <c r="I13864" s="1092"/>
    </row>
    <row r="13865" spans="8:9">
      <c r="H13865" s="1092"/>
      <c r="I13865" s="1092"/>
    </row>
    <row r="13866" spans="8:9">
      <c r="H13866" s="1092"/>
      <c r="I13866" s="1092"/>
    </row>
    <row r="13867" spans="8:9">
      <c r="H13867" s="1092"/>
      <c r="I13867" s="1092"/>
    </row>
    <row r="13868" spans="8:9">
      <c r="H13868" s="1092"/>
      <c r="I13868" s="1092"/>
    </row>
    <row r="13869" spans="8:9">
      <c r="H13869" s="1092"/>
      <c r="I13869" s="1092"/>
    </row>
    <row r="13870" spans="8:9">
      <c r="H13870" s="1092"/>
      <c r="I13870" s="1092"/>
    </row>
    <row r="13871" spans="8:9">
      <c r="H13871" s="1092"/>
      <c r="I13871" s="1092"/>
    </row>
    <row r="13872" spans="8:9">
      <c r="H13872" s="1092"/>
      <c r="I13872" s="1092"/>
    </row>
    <row r="13873" spans="8:9">
      <c r="H13873" s="1092"/>
      <c r="I13873" s="1092"/>
    </row>
    <row r="13874" spans="8:9">
      <c r="H13874" s="1092"/>
      <c r="I13874" s="1092"/>
    </row>
    <row r="13875" spans="8:9">
      <c r="H13875" s="1092"/>
      <c r="I13875" s="1092"/>
    </row>
    <row r="13876" spans="8:9">
      <c r="H13876" s="1092"/>
      <c r="I13876" s="1092"/>
    </row>
    <row r="13877" spans="8:9">
      <c r="H13877" s="1092"/>
      <c r="I13877" s="1092"/>
    </row>
    <row r="13878" spans="8:9">
      <c r="H13878" s="1092"/>
      <c r="I13878" s="1092"/>
    </row>
    <row r="13879" spans="8:9">
      <c r="H13879" s="1092"/>
      <c r="I13879" s="1092"/>
    </row>
    <row r="13880" spans="8:9">
      <c r="H13880" s="1092"/>
      <c r="I13880" s="1092"/>
    </row>
    <row r="13881" spans="8:9">
      <c r="H13881" s="1092"/>
      <c r="I13881" s="1092"/>
    </row>
    <row r="13882" spans="8:9">
      <c r="H13882" s="1092"/>
      <c r="I13882" s="1092"/>
    </row>
    <row r="13883" spans="8:9">
      <c r="H13883" s="1092"/>
      <c r="I13883" s="1092"/>
    </row>
    <row r="13884" spans="8:9">
      <c r="H13884" s="1092"/>
      <c r="I13884" s="1092"/>
    </row>
    <row r="13885" spans="8:9">
      <c r="H13885" s="1092"/>
      <c r="I13885" s="1092"/>
    </row>
    <row r="13886" spans="8:9">
      <c r="H13886" s="1092"/>
      <c r="I13886" s="1092"/>
    </row>
    <row r="13887" spans="8:9">
      <c r="H13887" s="1092"/>
      <c r="I13887" s="1092"/>
    </row>
    <row r="13888" spans="8:9">
      <c r="H13888" s="1092"/>
      <c r="I13888" s="1092"/>
    </row>
    <row r="13889" spans="8:9">
      <c r="H13889" s="1092"/>
      <c r="I13889" s="1092"/>
    </row>
    <row r="13890" spans="8:9">
      <c r="H13890" s="1092"/>
      <c r="I13890" s="1092"/>
    </row>
    <row r="13891" spans="8:9">
      <c r="H13891" s="1092"/>
      <c r="I13891" s="1092"/>
    </row>
    <row r="13892" spans="8:9">
      <c r="H13892" s="1092"/>
      <c r="I13892" s="1092"/>
    </row>
    <row r="13893" spans="8:9">
      <c r="H13893" s="1092"/>
      <c r="I13893" s="1092"/>
    </row>
    <row r="13894" spans="8:9">
      <c r="H13894" s="1092"/>
      <c r="I13894" s="1092"/>
    </row>
    <row r="13895" spans="8:9">
      <c r="H13895" s="1092"/>
      <c r="I13895" s="1092"/>
    </row>
    <row r="13896" spans="8:9">
      <c r="H13896" s="1092"/>
      <c r="I13896" s="1092"/>
    </row>
    <row r="13897" spans="8:9">
      <c r="H13897" s="1092"/>
      <c r="I13897" s="1092"/>
    </row>
    <row r="13898" spans="8:9">
      <c r="H13898" s="1092"/>
      <c r="I13898" s="1092"/>
    </row>
    <row r="13899" spans="8:9">
      <c r="H13899" s="1092"/>
      <c r="I13899" s="1092"/>
    </row>
    <row r="13900" spans="8:9">
      <c r="H13900" s="1092"/>
      <c r="I13900" s="1092"/>
    </row>
    <row r="13901" spans="8:9">
      <c r="H13901" s="1092"/>
      <c r="I13901" s="1092"/>
    </row>
    <row r="13902" spans="8:9">
      <c r="H13902" s="1092"/>
      <c r="I13902" s="1092"/>
    </row>
    <row r="13903" spans="8:9">
      <c r="H13903" s="1092"/>
      <c r="I13903" s="1092"/>
    </row>
    <row r="13904" spans="8:9">
      <c r="H13904" s="1092"/>
      <c r="I13904" s="1092"/>
    </row>
    <row r="13905" spans="8:9">
      <c r="H13905" s="1092"/>
      <c r="I13905" s="1092"/>
    </row>
    <row r="13906" spans="8:9">
      <c r="H13906" s="1092"/>
      <c r="I13906" s="1092"/>
    </row>
    <row r="13907" spans="8:9">
      <c r="H13907" s="1092"/>
      <c r="I13907" s="1092"/>
    </row>
    <row r="13908" spans="8:9">
      <c r="H13908" s="1092"/>
      <c r="I13908" s="1092"/>
    </row>
    <row r="13909" spans="8:9">
      <c r="H13909" s="1092"/>
      <c r="I13909" s="1092"/>
    </row>
    <row r="13910" spans="8:9">
      <c r="H13910" s="1092"/>
      <c r="I13910" s="1092"/>
    </row>
    <row r="13911" spans="8:9">
      <c r="H13911" s="1092"/>
      <c r="I13911" s="1092"/>
    </row>
    <row r="13912" spans="8:9">
      <c r="H13912" s="1092"/>
      <c r="I13912" s="1092"/>
    </row>
    <row r="13913" spans="8:9">
      <c r="H13913" s="1092"/>
      <c r="I13913" s="1092"/>
    </row>
    <row r="13914" spans="8:9">
      <c r="H13914" s="1092"/>
      <c r="I13914" s="1092"/>
    </row>
    <row r="13915" spans="8:9">
      <c r="H13915" s="1092"/>
      <c r="I13915" s="1092"/>
    </row>
    <row r="13916" spans="8:9">
      <c r="H13916" s="1092"/>
      <c r="I13916" s="1092"/>
    </row>
    <row r="13917" spans="8:9">
      <c r="H13917" s="1092"/>
      <c r="I13917" s="1092"/>
    </row>
    <row r="13918" spans="8:9">
      <c r="H13918" s="1092"/>
      <c r="I13918" s="1092"/>
    </row>
    <row r="13919" spans="8:9">
      <c r="H13919" s="1092"/>
      <c r="I13919" s="1092"/>
    </row>
    <row r="13920" spans="8:9">
      <c r="H13920" s="1092"/>
      <c r="I13920" s="1092"/>
    </row>
    <row r="13921" spans="8:9">
      <c r="H13921" s="1092"/>
      <c r="I13921" s="1092"/>
    </row>
    <row r="13922" spans="8:9">
      <c r="H13922" s="1092"/>
      <c r="I13922" s="1092"/>
    </row>
    <row r="13923" spans="8:9">
      <c r="H13923" s="1092"/>
      <c r="I13923" s="1092"/>
    </row>
    <row r="13924" spans="8:9">
      <c r="H13924" s="1092"/>
      <c r="I13924" s="1092"/>
    </row>
    <row r="13925" spans="8:9">
      <c r="H13925" s="1092"/>
      <c r="I13925" s="1092"/>
    </row>
    <row r="13926" spans="8:9">
      <c r="H13926" s="1092"/>
      <c r="I13926" s="1092"/>
    </row>
    <row r="13927" spans="8:9">
      <c r="H13927" s="1092"/>
      <c r="I13927" s="1092"/>
    </row>
    <row r="13928" spans="8:9">
      <c r="H13928" s="1092"/>
      <c r="I13928" s="1092"/>
    </row>
    <row r="13929" spans="8:9">
      <c r="H13929" s="1092"/>
      <c r="I13929" s="1092"/>
    </row>
    <row r="13930" spans="8:9">
      <c r="H13930" s="1092"/>
      <c r="I13930" s="1092"/>
    </row>
    <row r="13931" spans="8:9">
      <c r="H13931" s="1092"/>
      <c r="I13931" s="1092"/>
    </row>
    <row r="13932" spans="8:9">
      <c r="H13932" s="1092"/>
      <c r="I13932" s="1092"/>
    </row>
    <row r="13933" spans="8:9">
      <c r="H13933" s="1092"/>
      <c r="I13933" s="1092"/>
    </row>
    <row r="13934" spans="8:9">
      <c r="H13934" s="1092"/>
      <c r="I13934" s="1092"/>
    </row>
    <row r="13935" spans="8:9">
      <c r="H13935" s="1092"/>
      <c r="I13935" s="1092"/>
    </row>
    <row r="13936" spans="8:9">
      <c r="H13936" s="1092"/>
      <c r="I13936" s="1092"/>
    </row>
    <row r="13937" spans="8:9">
      <c r="H13937" s="1092"/>
      <c r="I13937" s="1092"/>
    </row>
    <row r="13938" spans="8:9">
      <c r="H13938" s="1092"/>
      <c r="I13938" s="1092"/>
    </row>
    <row r="13939" spans="8:9">
      <c r="H13939" s="1092"/>
      <c r="I13939" s="1092"/>
    </row>
    <row r="13940" spans="8:9">
      <c r="H13940" s="1092"/>
      <c r="I13940" s="1092"/>
    </row>
    <row r="13941" spans="8:9">
      <c r="H13941" s="1092"/>
      <c r="I13941" s="1092"/>
    </row>
    <row r="13942" spans="8:9">
      <c r="H13942" s="1092"/>
      <c r="I13942" s="1092"/>
    </row>
    <row r="13943" spans="8:9">
      <c r="H13943" s="1092"/>
      <c r="I13943" s="1092"/>
    </row>
    <row r="13944" spans="8:9">
      <c r="H13944" s="1092"/>
      <c r="I13944" s="1092"/>
    </row>
    <row r="13945" spans="8:9">
      <c r="H13945" s="1092"/>
      <c r="I13945" s="1092"/>
    </row>
    <row r="13946" spans="8:9">
      <c r="H13946" s="1092"/>
      <c r="I13946" s="1092"/>
    </row>
    <row r="13947" spans="8:9">
      <c r="H13947" s="1092"/>
      <c r="I13947" s="1092"/>
    </row>
    <row r="13948" spans="8:9">
      <c r="H13948" s="1092"/>
      <c r="I13948" s="1092"/>
    </row>
    <row r="13949" spans="8:9">
      <c r="H13949" s="1092"/>
      <c r="I13949" s="1092"/>
    </row>
    <row r="13950" spans="8:9">
      <c r="H13950" s="1092"/>
      <c r="I13950" s="1092"/>
    </row>
    <row r="13951" spans="8:9">
      <c r="H13951" s="1092"/>
      <c r="I13951" s="1092"/>
    </row>
    <row r="13952" spans="8:9">
      <c r="H13952" s="1092"/>
      <c r="I13952" s="1092"/>
    </row>
    <row r="13953" spans="8:9">
      <c r="H13953" s="1092"/>
      <c r="I13953" s="1092"/>
    </row>
    <row r="13954" spans="8:9">
      <c r="H13954" s="1092"/>
      <c r="I13954" s="1092"/>
    </row>
    <row r="13955" spans="8:9">
      <c r="H13955" s="1092"/>
      <c r="I13955" s="1092"/>
    </row>
    <row r="13956" spans="8:9">
      <c r="H13956" s="1092"/>
      <c r="I13956" s="1092"/>
    </row>
    <row r="13957" spans="8:9">
      <c r="H13957" s="1092"/>
      <c r="I13957" s="1092"/>
    </row>
    <row r="13958" spans="8:9">
      <c r="H13958" s="1092"/>
      <c r="I13958" s="1092"/>
    </row>
    <row r="13959" spans="8:9">
      <c r="H13959" s="1092"/>
      <c r="I13959" s="1092"/>
    </row>
    <row r="13960" spans="8:9">
      <c r="H13960" s="1092"/>
      <c r="I13960" s="1092"/>
    </row>
    <row r="13961" spans="8:9">
      <c r="H13961" s="1092"/>
      <c r="I13961" s="1092"/>
    </row>
    <row r="13962" spans="8:9">
      <c r="H13962" s="1092"/>
      <c r="I13962" s="1092"/>
    </row>
    <row r="13963" spans="8:9">
      <c r="H13963" s="1092"/>
      <c r="I13963" s="1092"/>
    </row>
    <row r="13964" spans="8:9">
      <c r="H13964" s="1092"/>
      <c r="I13964" s="1092"/>
    </row>
    <row r="13965" spans="8:9">
      <c r="H13965" s="1092"/>
      <c r="I13965" s="1092"/>
    </row>
    <row r="13966" spans="8:9">
      <c r="H13966" s="1092"/>
      <c r="I13966" s="1092"/>
    </row>
    <row r="13967" spans="8:9">
      <c r="H13967" s="1092"/>
      <c r="I13967" s="1092"/>
    </row>
    <row r="13968" spans="8:9">
      <c r="H13968" s="1092"/>
      <c r="I13968" s="1092"/>
    </row>
    <row r="13969" spans="8:9">
      <c r="H13969" s="1092"/>
      <c r="I13969" s="1092"/>
    </row>
    <row r="13970" spans="8:9">
      <c r="H13970" s="1092"/>
      <c r="I13970" s="1092"/>
    </row>
    <row r="13971" spans="8:9">
      <c r="H13971" s="1092"/>
      <c r="I13971" s="1092"/>
    </row>
    <row r="13972" spans="8:9">
      <c r="H13972" s="1092"/>
      <c r="I13972" s="1092"/>
    </row>
    <row r="13973" spans="8:9">
      <c r="H13973" s="1092"/>
      <c r="I13973" s="1092"/>
    </row>
    <row r="13974" spans="8:9">
      <c r="H13974" s="1092"/>
      <c r="I13974" s="1092"/>
    </row>
    <row r="13975" spans="8:9">
      <c r="H13975" s="1092"/>
      <c r="I13975" s="1092"/>
    </row>
    <row r="13976" spans="8:9">
      <c r="H13976" s="1092"/>
      <c r="I13976" s="1092"/>
    </row>
    <row r="13977" spans="8:9">
      <c r="H13977" s="1092"/>
      <c r="I13977" s="1092"/>
    </row>
    <row r="13978" spans="8:9">
      <c r="H13978" s="1092"/>
      <c r="I13978" s="1092"/>
    </row>
    <row r="13979" spans="8:9">
      <c r="H13979" s="1092"/>
      <c r="I13979" s="1092"/>
    </row>
    <row r="13980" spans="8:9">
      <c r="H13980" s="1092"/>
      <c r="I13980" s="1092"/>
    </row>
    <row r="13981" spans="8:9">
      <c r="H13981" s="1092"/>
      <c r="I13981" s="1092"/>
    </row>
    <row r="13982" spans="8:9">
      <c r="H13982" s="1092"/>
      <c r="I13982" s="1092"/>
    </row>
    <row r="13983" spans="8:9">
      <c r="H13983" s="1092"/>
      <c r="I13983" s="1092"/>
    </row>
    <row r="13984" spans="8:9">
      <c r="H13984" s="1092"/>
      <c r="I13984" s="1092"/>
    </row>
    <row r="13985" spans="8:9">
      <c r="H13985" s="1092"/>
      <c r="I13985" s="1092"/>
    </row>
    <row r="13986" spans="8:9">
      <c r="H13986" s="1092"/>
      <c r="I13986" s="1092"/>
    </row>
    <row r="13987" spans="8:9">
      <c r="H13987" s="1092"/>
      <c r="I13987" s="1092"/>
    </row>
    <row r="13988" spans="8:9">
      <c r="H13988" s="1092"/>
      <c r="I13988" s="1092"/>
    </row>
    <row r="13989" spans="8:9">
      <c r="H13989" s="1092"/>
      <c r="I13989" s="1092"/>
    </row>
    <row r="13990" spans="8:9">
      <c r="H13990" s="1092"/>
      <c r="I13990" s="1092"/>
    </row>
    <row r="13991" spans="8:9">
      <c r="H13991" s="1092"/>
      <c r="I13991" s="1092"/>
    </row>
    <row r="13992" spans="8:9">
      <c r="H13992" s="1092"/>
      <c r="I13992" s="1092"/>
    </row>
    <row r="13993" spans="8:9">
      <c r="H13993" s="1092"/>
      <c r="I13993" s="1092"/>
    </row>
    <row r="13994" spans="8:9">
      <c r="H13994" s="1092"/>
      <c r="I13994" s="1092"/>
    </row>
    <row r="13995" spans="8:9">
      <c r="H13995" s="1092"/>
      <c r="I13995" s="1092"/>
    </row>
    <row r="13996" spans="8:9">
      <c r="H13996" s="1092"/>
      <c r="I13996" s="1092"/>
    </row>
    <row r="13997" spans="8:9">
      <c r="H13997" s="1092"/>
      <c r="I13997" s="1092"/>
    </row>
    <row r="13998" spans="8:9">
      <c r="H13998" s="1092"/>
      <c r="I13998" s="1092"/>
    </row>
    <row r="13999" spans="8:9">
      <c r="H13999" s="1092"/>
      <c r="I13999" s="1092"/>
    </row>
    <row r="14000" spans="8:9">
      <c r="H14000" s="1092"/>
      <c r="I14000" s="1092"/>
    </row>
    <row r="14001" spans="8:9">
      <c r="H14001" s="1092"/>
      <c r="I14001" s="1092"/>
    </row>
    <row r="14002" spans="8:9">
      <c r="H14002" s="1092"/>
      <c r="I14002" s="1092"/>
    </row>
    <row r="14003" spans="8:9">
      <c r="H14003" s="1092"/>
      <c r="I14003" s="1092"/>
    </row>
    <row r="14004" spans="8:9">
      <c r="H14004" s="1092"/>
      <c r="I14004" s="1092"/>
    </row>
    <row r="14005" spans="8:9">
      <c r="H14005" s="1092"/>
      <c r="I14005" s="1092"/>
    </row>
    <row r="14006" spans="8:9">
      <c r="H14006" s="1092"/>
      <c r="I14006" s="1092"/>
    </row>
    <row r="14007" spans="8:9">
      <c r="H14007" s="1092"/>
      <c r="I14007" s="1092"/>
    </row>
    <row r="14008" spans="8:9">
      <c r="H14008" s="1092"/>
      <c r="I14008" s="1092"/>
    </row>
    <row r="14009" spans="8:9">
      <c r="H14009" s="1092"/>
      <c r="I14009" s="1092"/>
    </row>
    <row r="14010" spans="8:9">
      <c r="H14010" s="1092"/>
      <c r="I14010" s="1092"/>
    </row>
    <row r="14011" spans="8:9">
      <c r="H14011" s="1092"/>
      <c r="I14011" s="1092"/>
    </row>
    <row r="14012" spans="8:9">
      <c r="H14012" s="1092"/>
      <c r="I14012" s="1092"/>
    </row>
    <row r="14013" spans="8:9">
      <c r="H14013" s="1092"/>
      <c r="I14013" s="1092"/>
    </row>
    <row r="14014" spans="8:9">
      <c r="H14014" s="1092"/>
      <c r="I14014" s="1092"/>
    </row>
    <row r="14015" spans="8:9">
      <c r="H14015" s="1092"/>
      <c r="I14015" s="1092"/>
    </row>
    <row r="14016" spans="8:9">
      <c r="H14016" s="1092"/>
      <c r="I14016" s="1092"/>
    </row>
    <row r="14017" spans="8:9">
      <c r="H14017" s="1092"/>
      <c r="I14017" s="1092"/>
    </row>
    <row r="14018" spans="8:9">
      <c r="H14018" s="1092"/>
      <c r="I14018" s="1092"/>
    </row>
    <row r="14019" spans="8:9">
      <c r="H14019" s="1092"/>
      <c r="I14019" s="1092"/>
    </row>
    <row r="14020" spans="8:9">
      <c r="H14020" s="1092"/>
      <c r="I14020" s="1092"/>
    </row>
    <row r="14021" spans="8:9">
      <c r="H14021" s="1092"/>
      <c r="I14021" s="1092"/>
    </row>
    <row r="14022" spans="8:9">
      <c r="H14022" s="1092"/>
      <c r="I14022" s="1092"/>
    </row>
    <row r="14023" spans="8:9">
      <c r="H14023" s="1092"/>
      <c r="I14023" s="1092"/>
    </row>
    <row r="14024" spans="8:9">
      <c r="H14024" s="1092"/>
      <c r="I14024" s="1092"/>
    </row>
    <row r="14025" spans="8:9">
      <c r="H14025" s="1092"/>
      <c r="I14025" s="1092"/>
    </row>
    <row r="14026" spans="8:9">
      <c r="H14026" s="1092"/>
      <c r="I14026" s="1092"/>
    </row>
    <row r="14027" spans="8:9">
      <c r="H14027" s="1092"/>
      <c r="I14027" s="1092"/>
    </row>
    <row r="14028" spans="8:9">
      <c r="H14028" s="1092"/>
      <c r="I14028" s="1092"/>
    </row>
    <row r="14029" spans="8:9">
      <c r="H14029" s="1092"/>
      <c r="I14029" s="1092"/>
    </row>
    <row r="14030" spans="8:9">
      <c r="H14030" s="1092"/>
      <c r="I14030" s="1092"/>
    </row>
    <row r="14031" spans="8:9">
      <c r="H14031" s="1092"/>
      <c r="I14031" s="1092"/>
    </row>
    <row r="14032" spans="8:9">
      <c r="H14032" s="1092"/>
      <c r="I14032" s="1092"/>
    </row>
    <row r="14033" spans="8:9">
      <c r="H14033" s="1092"/>
      <c r="I14033" s="1092"/>
    </row>
    <row r="14034" spans="8:9">
      <c r="H14034" s="1092"/>
      <c r="I14034" s="1092"/>
    </row>
    <row r="14035" spans="8:9">
      <c r="H14035" s="1092"/>
      <c r="I14035" s="1092"/>
    </row>
    <row r="14036" spans="8:9">
      <c r="H14036" s="1092"/>
      <c r="I14036" s="1092"/>
    </row>
    <row r="14037" spans="8:9">
      <c r="H14037" s="1092"/>
      <c r="I14037" s="1092"/>
    </row>
    <row r="14038" spans="8:9">
      <c r="H14038" s="1092"/>
      <c r="I14038" s="1092"/>
    </row>
    <row r="14039" spans="8:9">
      <c r="H14039" s="1092"/>
      <c r="I14039" s="1092"/>
    </row>
    <row r="14040" spans="8:9">
      <c r="H14040" s="1092"/>
      <c r="I14040" s="1092"/>
    </row>
    <row r="14041" spans="8:9">
      <c r="H14041" s="1092"/>
      <c r="I14041" s="1092"/>
    </row>
    <row r="14042" spans="8:9">
      <c r="H14042" s="1092"/>
      <c r="I14042" s="1092"/>
    </row>
    <row r="14043" spans="8:9">
      <c r="H14043" s="1092"/>
      <c r="I14043" s="1092"/>
    </row>
    <row r="14044" spans="8:9">
      <c r="H14044" s="1092"/>
      <c r="I14044" s="1092"/>
    </row>
    <row r="14045" spans="8:9">
      <c r="H14045" s="1092"/>
      <c r="I14045" s="1092"/>
    </row>
    <row r="14046" spans="8:9">
      <c r="H14046" s="1092"/>
      <c r="I14046" s="1092"/>
    </row>
    <row r="14047" spans="8:9">
      <c r="H14047" s="1092"/>
      <c r="I14047" s="1092"/>
    </row>
    <row r="14048" spans="8:9">
      <c r="H14048" s="1092"/>
      <c r="I14048" s="1092"/>
    </row>
    <row r="14049" spans="8:9">
      <c r="H14049" s="1092"/>
      <c r="I14049" s="1092"/>
    </row>
    <row r="14050" spans="8:9">
      <c r="H14050" s="1092"/>
      <c r="I14050" s="1092"/>
    </row>
    <row r="14051" spans="8:9">
      <c r="H14051" s="1092"/>
      <c r="I14051" s="1092"/>
    </row>
    <row r="14052" spans="8:9">
      <c r="H14052" s="1092"/>
      <c r="I14052" s="1092"/>
    </row>
    <row r="14053" spans="8:9">
      <c r="H14053" s="1092"/>
      <c r="I14053" s="1092"/>
    </row>
    <row r="14054" spans="8:9">
      <c r="H14054" s="1092"/>
      <c r="I14054" s="1092"/>
    </row>
    <row r="14055" spans="8:9">
      <c r="H14055" s="1092"/>
      <c r="I14055" s="1092"/>
    </row>
    <row r="14056" spans="8:9">
      <c r="H14056" s="1092"/>
      <c r="I14056" s="1092"/>
    </row>
    <row r="14057" spans="8:9">
      <c r="H14057" s="1092"/>
      <c r="I14057" s="1092"/>
    </row>
    <row r="14058" spans="8:9">
      <c r="H14058" s="1092"/>
      <c r="I14058" s="1092"/>
    </row>
    <row r="14059" spans="8:9">
      <c r="H14059" s="1092"/>
      <c r="I14059" s="1092"/>
    </row>
    <row r="14060" spans="8:9">
      <c r="H14060" s="1092"/>
      <c r="I14060" s="1092"/>
    </row>
    <row r="14061" spans="8:9">
      <c r="H14061" s="1092"/>
      <c r="I14061" s="1092"/>
    </row>
    <row r="14062" spans="8:9">
      <c r="H14062" s="1092"/>
      <c r="I14062" s="1092"/>
    </row>
    <row r="14063" spans="8:9">
      <c r="H14063" s="1092"/>
      <c r="I14063" s="1092"/>
    </row>
    <row r="14064" spans="8:9">
      <c r="H14064" s="1092"/>
      <c r="I14064" s="1092"/>
    </row>
    <row r="14065" spans="8:9">
      <c r="H14065" s="1092"/>
      <c r="I14065" s="1092"/>
    </row>
    <row r="14066" spans="8:9">
      <c r="H14066" s="1092"/>
      <c r="I14066" s="1092"/>
    </row>
    <row r="14067" spans="8:9">
      <c r="H14067" s="1092"/>
      <c r="I14067" s="1092"/>
    </row>
    <row r="14068" spans="8:9">
      <c r="H14068" s="1092"/>
      <c r="I14068" s="1092"/>
    </row>
    <row r="14069" spans="8:9">
      <c r="H14069" s="1092"/>
      <c r="I14069" s="1092"/>
    </row>
    <row r="14070" spans="8:9">
      <c r="H14070" s="1092"/>
      <c r="I14070" s="1092"/>
    </row>
    <row r="14071" spans="8:9">
      <c r="H14071" s="1092"/>
      <c r="I14071" s="1092"/>
    </row>
    <row r="14072" spans="8:9">
      <c r="H14072" s="1092"/>
      <c r="I14072" s="1092"/>
    </row>
    <row r="14073" spans="8:9">
      <c r="H14073" s="1092"/>
      <c r="I14073" s="1092"/>
    </row>
    <row r="14074" spans="8:9">
      <c r="H14074" s="1092"/>
      <c r="I14074" s="1092"/>
    </row>
    <row r="14075" spans="8:9">
      <c r="H14075" s="1092"/>
      <c r="I14075" s="1092"/>
    </row>
    <row r="14076" spans="8:9">
      <c r="H14076" s="1092"/>
      <c r="I14076" s="1092"/>
    </row>
    <row r="14077" spans="8:9">
      <c r="H14077" s="1092"/>
      <c r="I14077" s="1092"/>
    </row>
    <row r="14078" spans="8:9">
      <c r="H14078" s="1092"/>
      <c r="I14078" s="1092"/>
    </row>
    <row r="14079" spans="8:9">
      <c r="H14079" s="1092"/>
      <c r="I14079" s="1092"/>
    </row>
    <row r="14080" spans="8:9">
      <c r="H14080" s="1092"/>
      <c r="I14080" s="1092"/>
    </row>
    <row r="14081" spans="8:9">
      <c r="H14081" s="1092"/>
      <c r="I14081" s="1092"/>
    </row>
    <row r="14082" spans="8:9">
      <c r="H14082" s="1092"/>
      <c r="I14082" s="1092"/>
    </row>
    <row r="14083" spans="8:9">
      <c r="H14083" s="1092"/>
      <c r="I14083" s="1092"/>
    </row>
    <row r="14084" spans="8:9">
      <c r="H14084" s="1092"/>
      <c r="I14084" s="1092"/>
    </row>
    <row r="14085" spans="8:9">
      <c r="H14085" s="1092"/>
      <c r="I14085" s="1092"/>
    </row>
    <row r="14086" spans="8:9">
      <c r="H14086" s="1092"/>
      <c r="I14086" s="1092"/>
    </row>
    <row r="14087" spans="8:9">
      <c r="H14087" s="1092"/>
      <c r="I14087" s="1092"/>
    </row>
    <row r="14088" spans="8:9">
      <c r="H14088" s="1092"/>
      <c r="I14088" s="1092"/>
    </row>
    <row r="14089" spans="8:9">
      <c r="H14089" s="1092"/>
      <c r="I14089" s="1092"/>
    </row>
    <row r="14090" spans="8:9">
      <c r="H14090" s="1092"/>
      <c r="I14090" s="1092"/>
    </row>
    <row r="14091" spans="8:9">
      <c r="H14091" s="1092"/>
      <c r="I14091" s="1092"/>
    </row>
    <row r="14092" spans="8:9">
      <c r="H14092" s="1092"/>
      <c r="I14092" s="1092"/>
    </row>
    <row r="14093" spans="8:9">
      <c r="H14093" s="1092"/>
      <c r="I14093" s="1092"/>
    </row>
    <row r="14094" spans="8:9">
      <c r="H14094" s="1092"/>
      <c r="I14094" s="1092"/>
    </row>
    <row r="14095" spans="8:9">
      <c r="H14095" s="1092"/>
      <c r="I14095" s="1092"/>
    </row>
    <row r="14096" spans="8:9">
      <c r="H14096" s="1092"/>
      <c r="I14096" s="1092"/>
    </row>
    <row r="14097" spans="8:9">
      <c r="H14097" s="1092"/>
      <c r="I14097" s="1092"/>
    </row>
    <row r="14098" spans="8:9">
      <c r="H14098" s="1092"/>
      <c r="I14098" s="1092"/>
    </row>
    <row r="14099" spans="8:9">
      <c r="H14099" s="1092"/>
      <c r="I14099" s="1092"/>
    </row>
    <row r="14100" spans="8:9">
      <c r="H14100" s="1092"/>
      <c r="I14100" s="1092"/>
    </row>
    <row r="14101" spans="8:9">
      <c r="H14101" s="1092"/>
      <c r="I14101" s="1092"/>
    </row>
    <row r="14102" spans="8:9">
      <c r="H14102" s="1092"/>
      <c r="I14102" s="1092"/>
    </row>
    <row r="14103" spans="8:9">
      <c r="H14103" s="1092"/>
      <c r="I14103" s="1092"/>
    </row>
    <row r="14104" spans="8:9">
      <c r="H14104" s="1092"/>
      <c r="I14104" s="1092"/>
    </row>
    <row r="14105" spans="8:9">
      <c r="H14105" s="1092"/>
      <c r="I14105" s="1092"/>
    </row>
    <row r="14106" spans="8:9">
      <c r="H14106" s="1092"/>
      <c r="I14106" s="1092"/>
    </row>
    <row r="14107" spans="8:9">
      <c r="H14107" s="1092"/>
      <c r="I14107" s="1092"/>
    </row>
    <row r="14108" spans="8:9">
      <c r="H14108" s="1092"/>
      <c r="I14108" s="1092"/>
    </row>
    <row r="14109" spans="8:9">
      <c r="H14109" s="1092"/>
      <c r="I14109" s="1092"/>
    </row>
    <row r="14110" spans="8:9">
      <c r="H14110" s="1092"/>
      <c r="I14110" s="1092"/>
    </row>
    <row r="14111" spans="8:9">
      <c r="H14111" s="1092"/>
      <c r="I14111" s="1092"/>
    </row>
    <row r="14112" spans="8:9">
      <c r="H14112" s="1092"/>
      <c r="I14112" s="1092"/>
    </row>
    <row r="14113" spans="8:9">
      <c r="H14113" s="1092"/>
      <c r="I14113" s="1092"/>
    </row>
    <row r="14114" spans="8:9">
      <c r="H14114" s="1092"/>
      <c r="I14114" s="1092"/>
    </row>
    <row r="14115" spans="8:9">
      <c r="H14115" s="1092"/>
      <c r="I14115" s="1092"/>
    </row>
    <row r="14116" spans="8:9">
      <c r="H14116" s="1092"/>
      <c r="I14116" s="1092"/>
    </row>
    <row r="14117" spans="8:9">
      <c r="H14117" s="1092"/>
      <c r="I14117" s="1092"/>
    </row>
    <row r="14118" spans="8:9">
      <c r="H14118" s="1092"/>
      <c r="I14118" s="1092"/>
    </row>
    <row r="14119" spans="8:9">
      <c r="H14119" s="1092"/>
      <c r="I14119" s="1092"/>
    </row>
    <row r="14120" spans="8:9">
      <c r="H14120" s="1092"/>
      <c r="I14120" s="1092"/>
    </row>
    <row r="14121" spans="8:9">
      <c r="H14121" s="1092"/>
      <c r="I14121" s="1092"/>
    </row>
    <row r="14122" spans="8:9">
      <c r="H14122" s="1092"/>
      <c r="I14122" s="1092"/>
    </row>
    <row r="14123" spans="8:9">
      <c r="H14123" s="1092"/>
      <c r="I14123" s="1092"/>
    </row>
    <row r="14124" spans="8:9">
      <c r="H14124" s="1092"/>
      <c r="I14124" s="1092"/>
    </row>
    <row r="14125" spans="8:9">
      <c r="H14125" s="1092"/>
      <c r="I14125" s="1092"/>
    </row>
    <row r="14126" spans="8:9">
      <c r="H14126" s="1092"/>
      <c r="I14126" s="1092"/>
    </row>
    <row r="14127" spans="8:9">
      <c r="H14127" s="1092"/>
      <c r="I14127" s="1092"/>
    </row>
    <row r="14128" spans="8:9">
      <c r="H14128" s="1092"/>
      <c r="I14128" s="1092"/>
    </row>
    <row r="14129" spans="8:9">
      <c r="H14129" s="1092"/>
      <c r="I14129" s="1092"/>
    </row>
    <row r="14130" spans="8:9">
      <c r="H14130" s="1092"/>
      <c r="I14130" s="1092"/>
    </row>
    <row r="14131" spans="8:9">
      <c r="H14131" s="1092"/>
      <c r="I14131" s="1092"/>
    </row>
    <row r="14132" spans="8:9">
      <c r="H14132" s="1092"/>
      <c r="I14132" s="1092"/>
    </row>
    <row r="14133" spans="8:9">
      <c r="H14133" s="1092"/>
      <c r="I14133" s="1092"/>
    </row>
    <row r="14134" spans="8:9">
      <c r="H14134" s="1092"/>
      <c r="I14134" s="1092"/>
    </row>
    <row r="14135" spans="8:9">
      <c r="H14135" s="1092"/>
      <c r="I14135" s="1092"/>
    </row>
    <row r="14136" spans="8:9">
      <c r="H14136" s="1092"/>
      <c r="I14136" s="1092"/>
    </row>
    <row r="14137" spans="8:9">
      <c r="H14137" s="1092"/>
      <c r="I14137" s="1092"/>
    </row>
    <row r="14138" spans="8:9">
      <c r="H14138" s="1092"/>
      <c r="I14138" s="1092"/>
    </row>
    <row r="14139" spans="8:9">
      <c r="H14139" s="1092"/>
      <c r="I14139" s="1092"/>
    </row>
    <row r="14140" spans="8:9">
      <c r="H14140" s="1092"/>
      <c r="I14140" s="1092"/>
    </row>
    <row r="14141" spans="8:9">
      <c r="H14141" s="1092"/>
      <c r="I14141" s="1092"/>
    </row>
    <row r="14142" spans="8:9">
      <c r="H14142" s="1092"/>
      <c r="I14142" s="1092"/>
    </row>
    <row r="14143" spans="8:9">
      <c r="H14143" s="1092"/>
      <c r="I14143" s="1092"/>
    </row>
    <row r="14144" spans="8:9">
      <c r="H14144" s="1092"/>
      <c r="I14144" s="1092"/>
    </row>
    <row r="14145" spans="8:9">
      <c r="H14145" s="1092"/>
      <c r="I14145" s="1092"/>
    </row>
    <row r="14146" spans="8:9">
      <c r="H14146" s="1092"/>
      <c r="I14146" s="1092"/>
    </row>
    <row r="14147" spans="8:9">
      <c r="H14147" s="1092"/>
      <c r="I14147" s="1092"/>
    </row>
    <row r="14148" spans="8:9">
      <c r="H14148" s="1092"/>
      <c r="I14148" s="1092"/>
    </row>
    <row r="14149" spans="8:9">
      <c r="H14149" s="1092"/>
      <c r="I14149" s="1092"/>
    </row>
    <row r="14150" spans="8:9">
      <c r="H14150" s="1092"/>
      <c r="I14150" s="1092"/>
    </row>
    <row r="14151" spans="8:9">
      <c r="H14151" s="1092"/>
      <c r="I14151" s="1092"/>
    </row>
    <row r="14152" spans="8:9">
      <c r="H14152" s="1092"/>
      <c r="I14152" s="1092"/>
    </row>
    <row r="14153" spans="8:9">
      <c r="H14153" s="1092"/>
      <c r="I14153" s="1092"/>
    </row>
    <row r="14154" spans="8:9">
      <c r="H14154" s="1092"/>
      <c r="I14154" s="1092"/>
    </row>
    <row r="14155" spans="8:9">
      <c r="H14155" s="1092"/>
      <c r="I14155" s="1092"/>
    </row>
    <row r="14156" spans="8:9">
      <c r="H14156" s="1092"/>
      <c r="I14156" s="1092"/>
    </row>
    <row r="14157" spans="8:9">
      <c r="H14157" s="1092"/>
      <c r="I14157" s="1092"/>
    </row>
    <row r="14158" spans="8:9">
      <c r="H14158" s="1092"/>
      <c r="I14158" s="1092"/>
    </row>
    <row r="14159" spans="8:9">
      <c r="H14159" s="1092"/>
      <c r="I14159" s="1092"/>
    </row>
    <row r="14160" spans="8:9">
      <c r="H14160" s="1092"/>
      <c r="I14160" s="1092"/>
    </row>
    <row r="14161" spans="8:9">
      <c r="H14161" s="1092"/>
      <c r="I14161" s="1092"/>
    </row>
    <row r="14162" spans="8:9">
      <c r="H14162" s="1092"/>
      <c r="I14162" s="1092"/>
    </row>
    <row r="14163" spans="8:9">
      <c r="H14163" s="1092"/>
      <c r="I14163" s="1092"/>
    </row>
    <row r="14164" spans="8:9">
      <c r="H14164" s="1092"/>
      <c r="I14164" s="1092"/>
    </row>
    <row r="14165" spans="8:9">
      <c r="H14165" s="1092"/>
      <c r="I14165" s="1092"/>
    </row>
    <row r="14166" spans="8:9">
      <c r="H14166" s="1092"/>
      <c r="I14166" s="1092"/>
    </row>
    <row r="14167" spans="8:9">
      <c r="H14167" s="1092"/>
      <c r="I14167" s="1092"/>
    </row>
    <row r="14168" spans="8:9">
      <c r="H14168" s="1092"/>
      <c r="I14168" s="1092"/>
    </row>
    <row r="14169" spans="8:9">
      <c r="H14169" s="1092"/>
      <c r="I14169" s="1092"/>
    </row>
    <row r="14170" spans="8:9">
      <c r="H14170" s="1092"/>
      <c r="I14170" s="1092"/>
    </row>
    <row r="14171" spans="8:9">
      <c r="H14171" s="1092"/>
      <c r="I14171" s="1092"/>
    </row>
    <row r="14172" spans="8:9">
      <c r="H14172" s="1092"/>
      <c r="I14172" s="1092"/>
    </row>
    <row r="14173" spans="8:9">
      <c r="H14173" s="1092"/>
      <c r="I14173" s="1092"/>
    </row>
    <row r="14174" spans="8:9">
      <c r="H14174" s="1092"/>
      <c r="I14174" s="1092"/>
    </row>
    <row r="14175" spans="8:9">
      <c r="H14175" s="1092"/>
      <c r="I14175" s="1092"/>
    </row>
    <row r="14176" spans="8:9">
      <c r="H14176" s="1092"/>
      <c r="I14176" s="1092"/>
    </row>
    <row r="14177" spans="8:9">
      <c r="H14177" s="1092"/>
      <c r="I14177" s="1092"/>
    </row>
    <row r="14178" spans="8:9">
      <c r="H14178" s="1092"/>
      <c r="I14178" s="1092"/>
    </row>
    <row r="14179" spans="8:9">
      <c r="H14179" s="1092"/>
      <c r="I14179" s="1092"/>
    </row>
    <row r="14180" spans="8:9">
      <c r="H14180" s="1092"/>
      <c r="I14180" s="1092"/>
    </row>
    <row r="14181" spans="8:9">
      <c r="H14181" s="1092"/>
      <c r="I14181" s="1092"/>
    </row>
    <row r="14182" spans="8:9">
      <c r="H14182" s="1092"/>
      <c r="I14182" s="1092"/>
    </row>
    <row r="14183" spans="8:9">
      <c r="H14183" s="1092"/>
      <c r="I14183" s="1092"/>
    </row>
    <row r="14184" spans="8:9">
      <c r="H14184" s="1092"/>
      <c r="I14184" s="1092"/>
    </row>
    <row r="14185" spans="8:9">
      <c r="H14185" s="1092"/>
      <c r="I14185" s="1092"/>
    </row>
    <row r="14186" spans="8:9">
      <c r="H14186" s="1092"/>
      <c r="I14186" s="1092"/>
    </row>
    <row r="14187" spans="8:9">
      <c r="H14187" s="1092"/>
      <c r="I14187" s="1092"/>
    </row>
    <row r="14188" spans="8:9">
      <c r="H14188" s="1092"/>
      <c r="I14188" s="1092"/>
    </row>
    <row r="14189" spans="8:9">
      <c r="H14189" s="1092"/>
      <c r="I14189" s="1092"/>
    </row>
    <row r="14190" spans="8:9">
      <c r="H14190" s="1092"/>
      <c r="I14190" s="1092"/>
    </row>
    <row r="14191" spans="8:9">
      <c r="H14191" s="1092"/>
      <c r="I14191" s="1092"/>
    </row>
    <row r="14192" spans="8:9">
      <c r="H14192" s="1092"/>
      <c r="I14192" s="1092"/>
    </row>
    <row r="14193" spans="8:9">
      <c r="H14193" s="1092"/>
      <c r="I14193" s="1092"/>
    </row>
    <row r="14194" spans="8:9">
      <c r="H14194" s="1092"/>
      <c r="I14194" s="1092"/>
    </row>
    <row r="14195" spans="8:9">
      <c r="H14195" s="1092"/>
      <c r="I14195" s="1092"/>
    </row>
    <row r="14196" spans="8:9">
      <c r="H14196" s="1092"/>
      <c r="I14196" s="1092"/>
    </row>
    <row r="14197" spans="8:9">
      <c r="H14197" s="1092"/>
      <c r="I14197" s="1092"/>
    </row>
    <row r="14198" spans="8:9">
      <c r="H14198" s="1092"/>
      <c r="I14198" s="1092"/>
    </row>
    <row r="14199" spans="8:9">
      <c r="H14199" s="1092"/>
      <c r="I14199" s="1092"/>
    </row>
    <row r="14200" spans="8:9">
      <c r="H14200" s="1092"/>
      <c r="I14200" s="1092"/>
    </row>
    <row r="14201" spans="8:9">
      <c r="H14201" s="1092"/>
      <c r="I14201" s="1092"/>
    </row>
    <row r="14202" spans="8:9">
      <c r="H14202" s="1092"/>
      <c r="I14202" s="1092"/>
    </row>
    <row r="14203" spans="8:9">
      <c r="H14203" s="1092"/>
      <c r="I14203" s="1092"/>
    </row>
    <row r="14204" spans="8:9">
      <c r="H14204" s="1092"/>
      <c r="I14204" s="1092"/>
    </row>
    <row r="14205" spans="8:9">
      <c r="H14205" s="1092"/>
      <c r="I14205" s="1092"/>
    </row>
    <row r="14206" spans="8:9">
      <c r="H14206" s="1092"/>
      <c r="I14206" s="1092"/>
    </row>
    <row r="14207" spans="8:9">
      <c r="H14207" s="1092"/>
      <c r="I14207" s="1092"/>
    </row>
    <row r="14208" spans="8:9">
      <c r="H14208" s="1092"/>
      <c r="I14208" s="1092"/>
    </row>
    <row r="14209" spans="8:9">
      <c r="H14209" s="1092"/>
      <c r="I14209" s="1092"/>
    </row>
    <row r="14210" spans="8:9">
      <c r="H14210" s="1092"/>
      <c r="I14210" s="1092"/>
    </row>
    <row r="14211" spans="8:9">
      <c r="H14211" s="1092"/>
      <c r="I14211" s="1092"/>
    </row>
    <row r="14212" spans="8:9">
      <c r="H14212" s="1092"/>
      <c r="I14212" s="1092"/>
    </row>
    <row r="14213" spans="8:9">
      <c r="H14213" s="1092"/>
      <c r="I14213" s="1092"/>
    </row>
    <row r="14214" spans="8:9">
      <c r="H14214" s="1092"/>
      <c r="I14214" s="1092"/>
    </row>
    <row r="14215" spans="8:9">
      <c r="H14215" s="1092"/>
      <c r="I14215" s="1092"/>
    </row>
    <row r="14216" spans="8:9">
      <c r="H14216" s="1092"/>
      <c r="I14216" s="1092"/>
    </row>
    <row r="14217" spans="8:9">
      <c r="H14217" s="1092"/>
      <c r="I14217" s="1092"/>
    </row>
    <row r="14218" spans="8:9">
      <c r="H14218" s="1092"/>
      <c r="I14218" s="1092"/>
    </row>
    <row r="14219" spans="8:9">
      <c r="H14219" s="1092"/>
      <c r="I14219" s="1092"/>
    </row>
    <row r="14220" spans="8:9">
      <c r="H14220" s="1092"/>
      <c r="I14220" s="1092"/>
    </row>
    <row r="14221" spans="8:9">
      <c r="H14221" s="1092"/>
      <c r="I14221" s="1092"/>
    </row>
    <row r="14222" spans="8:9">
      <c r="H14222" s="1092"/>
      <c r="I14222" s="1092"/>
    </row>
    <row r="14223" spans="8:9">
      <c r="H14223" s="1092"/>
      <c r="I14223" s="1092"/>
    </row>
    <row r="14224" spans="8:9">
      <c r="H14224" s="1092"/>
      <c r="I14224" s="1092"/>
    </row>
    <row r="14225" spans="8:9">
      <c r="H14225" s="1092"/>
      <c r="I14225" s="1092"/>
    </row>
    <row r="14226" spans="8:9">
      <c r="H14226" s="1092"/>
      <c r="I14226" s="1092"/>
    </row>
    <row r="14227" spans="8:9">
      <c r="H14227" s="1092"/>
      <c r="I14227" s="1092"/>
    </row>
    <row r="14228" spans="8:9">
      <c r="H14228" s="1092"/>
      <c r="I14228" s="1092"/>
    </row>
    <row r="14229" spans="8:9">
      <c r="H14229" s="1092"/>
      <c r="I14229" s="1092"/>
    </row>
    <row r="14230" spans="8:9">
      <c r="H14230" s="1092"/>
      <c r="I14230" s="1092"/>
    </row>
    <row r="14231" spans="8:9">
      <c r="H14231" s="1092"/>
      <c r="I14231" s="1092"/>
    </row>
    <row r="14232" spans="8:9">
      <c r="H14232" s="1092"/>
      <c r="I14232" s="1092"/>
    </row>
    <row r="14233" spans="8:9">
      <c r="H14233" s="1092"/>
      <c r="I14233" s="1092"/>
    </row>
    <row r="14234" spans="8:9">
      <c r="H14234" s="1092"/>
      <c r="I14234" s="1092"/>
    </row>
    <row r="14235" spans="8:9">
      <c r="H14235" s="1092"/>
      <c r="I14235" s="1092"/>
    </row>
    <row r="14236" spans="8:9">
      <c r="H14236" s="1092"/>
      <c r="I14236" s="1092"/>
    </row>
    <row r="14237" spans="8:9">
      <c r="H14237" s="1092"/>
      <c r="I14237" s="1092"/>
    </row>
    <row r="14238" spans="8:9">
      <c r="H14238" s="1092"/>
      <c r="I14238" s="1092"/>
    </row>
    <row r="14239" spans="8:9">
      <c r="H14239" s="1092"/>
      <c r="I14239" s="1092"/>
    </row>
    <row r="14240" spans="8:9">
      <c r="H14240" s="1092"/>
      <c r="I14240" s="1092"/>
    </row>
    <row r="14241" spans="8:9">
      <c r="H14241" s="1092"/>
      <c r="I14241" s="1092"/>
    </row>
    <row r="14242" spans="8:9">
      <c r="H14242" s="1092"/>
      <c r="I14242" s="1092"/>
    </row>
    <row r="14243" spans="8:9">
      <c r="H14243" s="1092"/>
      <c r="I14243" s="1092"/>
    </row>
    <row r="14244" spans="8:9">
      <c r="H14244" s="1092"/>
      <c r="I14244" s="1092"/>
    </row>
    <row r="14245" spans="8:9">
      <c r="H14245" s="1092"/>
      <c r="I14245" s="1092"/>
    </row>
    <row r="14246" spans="8:9">
      <c r="H14246" s="1092"/>
      <c r="I14246" s="1092"/>
    </row>
    <row r="14247" spans="8:9">
      <c r="H14247" s="1092"/>
      <c r="I14247" s="1092"/>
    </row>
    <row r="14248" spans="8:9">
      <c r="H14248" s="1092"/>
      <c r="I14248" s="1092"/>
    </row>
    <row r="14249" spans="8:9">
      <c r="H14249" s="1092"/>
      <c r="I14249" s="1092"/>
    </row>
    <row r="14250" spans="8:9">
      <c r="H14250" s="1092"/>
      <c r="I14250" s="1092"/>
    </row>
    <row r="14251" spans="8:9">
      <c r="H14251" s="1092"/>
      <c r="I14251" s="1092"/>
    </row>
    <row r="14252" spans="8:9">
      <c r="H14252" s="1092"/>
      <c r="I14252" s="1092"/>
    </row>
    <row r="14253" spans="8:9">
      <c r="H14253" s="1092"/>
      <c r="I14253" s="1092"/>
    </row>
    <row r="14254" spans="8:9">
      <c r="H14254" s="1092"/>
      <c r="I14254" s="1092"/>
    </row>
    <row r="14255" spans="8:9">
      <c r="H14255" s="1092"/>
      <c r="I14255" s="1092"/>
    </row>
    <row r="14256" spans="8:9">
      <c r="H14256" s="1092"/>
      <c r="I14256" s="1092"/>
    </row>
    <row r="14257" spans="8:9">
      <c r="H14257" s="1092"/>
      <c r="I14257" s="1092"/>
    </row>
    <row r="14258" spans="8:9">
      <c r="H14258" s="1092"/>
      <c r="I14258" s="1092"/>
    </row>
    <row r="14259" spans="8:9">
      <c r="H14259" s="1092"/>
      <c r="I14259" s="1092"/>
    </row>
    <row r="14260" spans="8:9">
      <c r="H14260" s="1092"/>
      <c r="I14260" s="1092"/>
    </row>
    <row r="14261" spans="8:9">
      <c r="H14261" s="1092"/>
      <c r="I14261" s="1092"/>
    </row>
    <row r="14262" spans="8:9">
      <c r="H14262" s="1092"/>
      <c r="I14262" s="1092"/>
    </row>
    <row r="14263" spans="8:9">
      <c r="H14263" s="1092"/>
      <c r="I14263" s="1092"/>
    </row>
    <row r="14264" spans="8:9">
      <c r="H14264" s="1092"/>
      <c r="I14264" s="1092"/>
    </row>
    <row r="14265" spans="8:9">
      <c r="H14265" s="1092"/>
      <c r="I14265" s="1092"/>
    </row>
    <row r="14266" spans="8:9">
      <c r="H14266" s="1092"/>
      <c r="I14266" s="1092"/>
    </row>
    <row r="14267" spans="8:9">
      <c r="H14267" s="1092"/>
      <c r="I14267" s="1092"/>
    </row>
    <row r="14268" spans="8:9">
      <c r="H14268" s="1092"/>
      <c r="I14268" s="1092"/>
    </row>
    <row r="14269" spans="8:9">
      <c r="H14269" s="1092"/>
      <c r="I14269" s="1092"/>
    </row>
    <row r="14270" spans="8:9">
      <c r="H14270" s="1092"/>
      <c r="I14270" s="1092"/>
    </row>
    <row r="14271" spans="8:9">
      <c r="H14271" s="1092"/>
      <c r="I14271" s="1092"/>
    </row>
    <row r="14272" spans="8:9">
      <c r="H14272" s="1092"/>
      <c r="I14272" s="1092"/>
    </row>
    <row r="14273" spans="8:9">
      <c r="H14273" s="1092"/>
      <c r="I14273" s="1092"/>
    </row>
    <row r="14274" spans="8:9">
      <c r="H14274" s="1092"/>
      <c r="I14274" s="1092"/>
    </row>
    <row r="14275" spans="8:9">
      <c r="H14275" s="1092"/>
      <c r="I14275" s="1092"/>
    </row>
    <row r="14276" spans="8:9">
      <c r="H14276" s="1092"/>
      <c r="I14276" s="1092"/>
    </row>
    <row r="14277" spans="8:9">
      <c r="H14277" s="1092"/>
      <c r="I14277" s="1092"/>
    </row>
    <row r="14278" spans="8:9">
      <c r="H14278" s="1092"/>
      <c r="I14278" s="1092"/>
    </row>
    <row r="14279" spans="8:9">
      <c r="H14279" s="1092"/>
      <c r="I14279" s="1092"/>
    </row>
    <row r="14280" spans="8:9">
      <c r="H14280" s="1092"/>
      <c r="I14280" s="1092"/>
    </row>
    <row r="14281" spans="8:9">
      <c r="H14281" s="1092"/>
      <c r="I14281" s="1092"/>
    </row>
    <row r="14282" spans="8:9">
      <c r="H14282" s="1092"/>
      <c r="I14282" s="1092"/>
    </row>
    <row r="14283" spans="8:9">
      <c r="H14283" s="1092"/>
      <c r="I14283" s="1092"/>
    </row>
    <row r="14284" spans="8:9">
      <c r="H14284" s="1092"/>
      <c r="I14284" s="1092"/>
    </row>
    <row r="14285" spans="8:9">
      <c r="H14285" s="1092"/>
      <c r="I14285" s="1092"/>
    </row>
    <row r="14286" spans="8:9">
      <c r="H14286" s="1092"/>
      <c r="I14286" s="1092"/>
    </row>
    <row r="14287" spans="8:9">
      <c r="H14287" s="1092"/>
      <c r="I14287" s="1092"/>
    </row>
    <row r="14288" spans="8:9">
      <c r="H14288" s="1092"/>
      <c r="I14288" s="1092"/>
    </row>
    <row r="14289" spans="8:9">
      <c r="H14289" s="1092"/>
      <c r="I14289" s="1092"/>
    </row>
    <row r="14290" spans="8:9">
      <c r="H14290" s="1092"/>
      <c r="I14290" s="1092"/>
    </row>
    <row r="14291" spans="8:9">
      <c r="H14291" s="1092"/>
      <c r="I14291" s="1092"/>
    </row>
    <row r="14292" spans="8:9">
      <c r="H14292" s="1092"/>
      <c r="I14292" s="1092"/>
    </row>
    <row r="14293" spans="8:9">
      <c r="H14293" s="1092"/>
      <c r="I14293" s="1092"/>
    </row>
    <row r="14294" spans="8:9">
      <c r="H14294" s="1092"/>
      <c r="I14294" s="1092"/>
    </row>
    <row r="14295" spans="8:9">
      <c r="H14295" s="1092"/>
      <c r="I14295" s="1092"/>
    </row>
    <row r="14296" spans="8:9">
      <c r="H14296" s="1092"/>
      <c r="I14296" s="1092"/>
    </row>
    <row r="14297" spans="8:9">
      <c r="H14297" s="1092"/>
      <c r="I14297" s="1092"/>
    </row>
    <row r="14298" spans="8:9">
      <c r="H14298" s="1092"/>
      <c r="I14298" s="1092"/>
    </row>
    <row r="14299" spans="8:9">
      <c r="H14299" s="1092"/>
      <c r="I14299" s="1092"/>
    </row>
    <row r="14300" spans="8:9">
      <c r="H14300" s="1092"/>
      <c r="I14300" s="1092"/>
    </row>
    <row r="14301" spans="8:9">
      <c r="H14301" s="1092"/>
      <c r="I14301" s="1092"/>
    </row>
    <row r="14302" spans="8:9">
      <c r="H14302" s="1092"/>
      <c r="I14302" s="1092"/>
    </row>
    <row r="14303" spans="8:9">
      <c r="H14303" s="1092"/>
      <c r="I14303" s="1092"/>
    </row>
    <row r="14304" spans="8:9">
      <c r="H14304" s="1092"/>
      <c r="I14304" s="1092"/>
    </row>
    <row r="14305" spans="8:9">
      <c r="H14305" s="1092"/>
      <c r="I14305" s="1092"/>
    </row>
    <row r="14306" spans="8:9">
      <c r="H14306" s="1092"/>
      <c r="I14306" s="1092"/>
    </row>
    <row r="14307" spans="8:9">
      <c r="H14307" s="1092"/>
      <c r="I14307" s="1092"/>
    </row>
    <row r="14308" spans="8:9">
      <c r="H14308" s="1092"/>
      <c r="I14308" s="1092"/>
    </row>
    <row r="14309" spans="8:9">
      <c r="H14309" s="1092"/>
      <c r="I14309" s="1092"/>
    </row>
    <row r="14310" spans="8:9">
      <c r="H14310" s="1092"/>
      <c r="I14310" s="1092"/>
    </row>
    <row r="14311" spans="8:9">
      <c r="H14311" s="1092"/>
      <c r="I14311" s="1092"/>
    </row>
    <row r="14312" spans="8:9">
      <c r="H14312" s="1092"/>
      <c r="I14312" s="1092"/>
    </row>
    <row r="14313" spans="8:9">
      <c r="H14313" s="1092"/>
      <c r="I14313" s="1092"/>
    </row>
    <row r="14314" spans="8:9">
      <c r="H14314" s="1092"/>
      <c r="I14314" s="1092"/>
    </row>
    <row r="14315" spans="8:9">
      <c r="H14315" s="1092"/>
      <c r="I14315" s="1092"/>
    </row>
    <row r="14316" spans="8:9">
      <c r="H14316" s="1092"/>
      <c r="I14316" s="1092"/>
    </row>
    <row r="14317" spans="8:9">
      <c r="H14317" s="1092"/>
      <c r="I14317" s="1092"/>
    </row>
    <row r="14318" spans="8:9">
      <c r="H14318" s="1092"/>
      <c r="I14318" s="1092"/>
    </row>
    <row r="14319" spans="8:9">
      <c r="H14319" s="1092"/>
      <c r="I14319" s="1092"/>
    </row>
    <row r="14320" spans="8:9">
      <c r="H14320" s="1092"/>
      <c r="I14320" s="1092"/>
    </row>
    <row r="14321" spans="8:9">
      <c r="H14321" s="1092"/>
      <c r="I14321" s="1092"/>
    </row>
    <row r="14322" spans="8:9">
      <c r="H14322" s="1092"/>
      <c r="I14322" s="1092"/>
    </row>
    <row r="14323" spans="8:9">
      <c r="H14323" s="1092"/>
      <c r="I14323" s="1092"/>
    </row>
    <row r="14324" spans="8:9">
      <c r="H14324" s="1092"/>
      <c r="I14324" s="1092"/>
    </row>
    <row r="14325" spans="8:9">
      <c r="H14325" s="1092"/>
      <c r="I14325" s="1092"/>
    </row>
    <row r="14326" spans="8:9">
      <c r="H14326" s="1092"/>
      <c r="I14326" s="1092"/>
    </row>
    <row r="14327" spans="8:9">
      <c r="H14327" s="1092"/>
      <c r="I14327" s="1092"/>
    </row>
    <row r="14328" spans="8:9">
      <c r="H14328" s="1092"/>
      <c r="I14328" s="1092"/>
    </row>
    <row r="14329" spans="8:9">
      <c r="H14329" s="1092"/>
      <c r="I14329" s="1092"/>
    </row>
    <row r="14330" spans="8:9">
      <c r="H14330" s="1092"/>
      <c r="I14330" s="1092"/>
    </row>
    <row r="14331" spans="8:9">
      <c r="H14331" s="1092"/>
      <c r="I14331" s="1092"/>
    </row>
    <row r="14332" spans="8:9">
      <c r="H14332" s="1092"/>
      <c r="I14332" s="1092"/>
    </row>
    <row r="14333" spans="8:9">
      <c r="H14333" s="1092"/>
      <c r="I14333" s="1092"/>
    </row>
    <row r="14334" spans="8:9">
      <c r="H14334" s="1092"/>
      <c r="I14334" s="1092"/>
    </row>
    <row r="14335" spans="8:9">
      <c r="H14335" s="1092"/>
      <c r="I14335" s="1092"/>
    </row>
    <row r="14336" spans="8:9">
      <c r="H14336" s="1092"/>
      <c r="I14336" s="1092"/>
    </row>
    <row r="14337" spans="8:9">
      <c r="H14337" s="1092"/>
      <c r="I14337" s="1092"/>
    </row>
    <row r="14338" spans="8:9">
      <c r="H14338" s="1092"/>
      <c r="I14338" s="1092"/>
    </row>
    <row r="14339" spans="8:9">
      <c r="H14339" s="1092"/>
      <c r="I14339" s="1092"/>
    </row>
    <row r="14340" spans="8:9">
      <c r="H14340" s="1092"/>
      <c r="I14340" s="1092"/>
    </row>
    <row r="14341" spans="8:9">
      <c r="H14341" s="1092"/>
      <c r="I14341" s="1092"/>
    </row>
    <row r="14342" spans="8:9">
      <c r="H14342" s="1092"/>
      <c r="I14342" s="1092"/>
    </row>
    <row r="14343" spans="8:9">
      <c r="H14343" s="1092"/>
      <c r="I14343" s="1092"/>
    </row>
    <row r="14344" spans="8:9">
      <c r="H14344" s="1092"/>
      <c r="I14344" s="1092"/>
    </row>
    <row r="14345" spans="8:9">
      <c r="H14345" s="1092"/>
      <c r="I14345" s="1092"/>
    </row>
    <row r="14346" spans="8:9">
      <c r="H14346" s="1092"/>
      <c r="I14346" s="1092"/>
    </row>
    <row r="14347" spans="8:9">
      <c r="H14347" s="1092"/>
      <c r="I14347" s="1092"/>
    </row>
    <row r="14348" spans="8:9">
      <c r="H14348" s="1092"/>
      <c r="I14348" s="1092"/>
    </row>
    <row r="14349" spans="8:9">
      <c r="H14349" s="1092"/>
      <c r="I14349" s="1092"/>
    </row>
    <row r="14350" spans="8:9">
      <c r="H14350" s="1092"/>
      <c r="I14350" s="1092"/>
    </row>
    <row r="14351" spans="8:9">
      <c r="H14351" s="1092"/>
      <c r="I14351" s="1092"/>
    </row>
    <row r="14352" spans="8:9">
      <c r="H14352" s="1092"/>
      <c r="I14352" s="1092"/>
    </row>
    <row r="14353" spans="8:9">
      <c r="H14353" s="1092"/>
      <c r="I14353" s="1092"/>
    </row>
    <row r="14354" spans="8:9">
      <c r="H14354" s="1092"/>
      <c r="I14354" s="1092"/>
    </row>
    <row r="14355" spans="8:9">
      <c r="H14355" s="1092"/>
      <c r="I14355" s="1092"/>
    </row>
    <row r="14356" spans="8:9">
      <c r="H14356" s="1092"/>
      <c r="I14356" s="1092"/>
    </row>
    <row r="14357" spans="8:9">
      <c r="H14357" s="1092"/>
      <c r="I14357" s="1092"/>
    </row>
    <row r="14358" spans="8:9">
      <c r="H14358" s="1092"/>
      <c r="I14358" s="1092"/>
    </row>
    <row r="14359" spans="8:9">
      <c r="H14359" s="1092"/>
      <c r="I14359" s="1092"/>
    </row>
    <row r="14360" spans="8:9">
      <c r="H14360" s="1092"/>
      <c r="I14360" s="1092"/>
    </row>
    <row r="14361" spans="8:9">
      <c r="H14361" s="1092"/>
      <c r="I14361" s="1092"/>
    </row>
    <row r="14362" spans="8:9">
      <c r="H14362" s="1092"/>
      <c r="I14362" s="1092"/>
    </row>
    <row r="14363" spans="8:9">
      <c r="H14363" s="1092"/>
      <c r="I14363" s="1092"/>
    </row>
    <row r="14364" spans="8:9">
      <c r="H14364" s="1092"/>
      <c r="I14364" s="1092"/>
    </row>
    <row r="14365" spans="8:9">
      <c r="H14365" s="1092"/>
      <c r="I14365" s="1092"/>
    </row>
    <row r="14366" spans="8:9">
      <c r="H14366" s="1092"/>
      <c r="I14366" s="1092"/>
    </row>
    <row r="14367" spans="8:9">
      <c r="H14367" s="1092"/>
      <c r="I14367" s="1092"/>
    </row>
    <row r="14368" spans="8:9">
      <c r="H14368" s="1092"/>
      <c r="I14368" s="1092"/>
    </row>
    <row r="14369" spans="8:9">
      <c r="H14369" s="1092"/>
      <c r="I14369" s="1092"/>
    </row>
    <row r="14370" spans="8:9">
      <c r="H14370" s="1092"/>
      <c r="I14370" s="1092"/>
    </row>
    <row r="14371" spans="8:9">
      <c r="H14371" s="1092"/>
      <c r="I14371" s="1092"/>
    </row>
    <row r="14372" spans="8:9">
      <c r="H14372" s="1092"/>
      <c r="I14372" s="1092"/>
    </row>
    <row r="14373" spans="8:9">
      <c r="H14373" s="1092"/>
      <c r="I14373" s="1092"/>
    </row>
    <row r="14374" spans="8:9">
      <c r="H14374" s="1092"/>
      <c r="I14374" s="1092"/>
    </row>
    <row r="14375" spans="8:9">
      <c r="H14375" s="1092"/>
      <c r="I14375" s="1092"/>
    </row>
    <row r="14376" spans="8:9">
      <c r="H14376" s="1092"/>
      <c r="I14376" s="1092"/>
    </row>
    <row r="14377" spans="8:9">
      <c r="H14377" s="1092"/>
      <c r="I14377" s="1092"/>
    </row>
    <row r="14378" spans="8:9">
      <c r="H14378" s="1092"/>
      <c r="I14378" s="1092"/>
    </row>
    <row r="14379" spans="8:9">
      <c r="H14379" s="1092"/>
      <c r="I14379" s="1092"/>
    </row>
    <row r="14380" spans="8:9">
      <c r="H14380" s="1092"/>
      <c r="I14380" s="1092"/>
    </row>
    <row r="14381" spans="8:9">
      <c r="H14381" s="1092"/>
      <c r="I14381" s="1092"/>
    </row>
    <row r="14382" spans="8:9">
      <c r="H14382" s="1092"/>
      <c r="I14382" s="1092"/>
    </row>
    <row r="14383" spans="8:9">
      <c r="H14383" s="1092"/>
      <c r="I14383" s="1092"/>
    </row>
    <row r="14384" spans="8:9">
      <c r="H14384" s="1092"/>
      <c r="I14384" s="1092"/>
    </row>
    <row r="14385" spans="8:9">
      <c r="H14385" s="1092"/>
      <c r="I14385" s="1092"/>
    </row>
    <row r="14386" spans="8:9">
      <c r="H14386" s="1092"/>
      <c r="I14386" s="1092"/>
    </row>
    <row r="14387" spans="8:9">
      <c r="H14387" s="1092"/>
      <c r="I14387" s="1092"/>
    </row>
    <row r="14388" spans="8:9">
      <c r="H14388" s="1092"/>
      <c r="I14388" s="1092"/>
    </row>
    <row r="14389" spans="8:9">
      <c r="H14389" s="1092"/>
      <c r="I14389" s="1092"/>
    </row>
    <row r="14390" spans="8:9">
      <c r="H14390" s="1092"/>
      <c r="I14390" s="1092"/>
    </row>
    <row r="14391" spans="8:9">
      <c r="H14391" s="1092"/>
      <c r="I14391" s="1092"/>
    </row>
    <row r="14392" spans="8:9">
      <c r="H14392" s="1092"/>
      <c r="I14392" s="1092"/>
    </row>
    <row r="14393" spans="8:9">
      <c r="H14393" s="1092"/>
      <c r="I14393" s="1092"/>
    </row>
    <row r="14394" spans="8:9">
      <c r="H14394" s="1092"/>
      <c r="I14394" s="1092"/>
    </row>
    <row r="14395" spans="8:9">
      <c r="H14395" s="1092"/>
      <c r="I14395" s="1092"/>
    </row>
    <row r="14396" spans="8:9">
      <c r="H14396" s="1092"/>
      <c r="I14396" s="1092"/>
    </row>
    <row r="14397" spans="8:9">
      <c r="H14397" s="1092"/>
      <c r="I14397" s="1092"/>
    </row>
    <row r="14398" spans="8:9">
      <c r="H14398" s="1092"/>
      <c r="I14398" s="1092"/>
    </row>
    <row r="14399" spans="8:9">
      <c r="H14399" s="1092"/>
      <c r="I14399" s="1092"/>
    </row>
    <row r="14400" spans="8:9">
      <c r="H14400" s="1092"/>
      <c r="I14400" s="1092"/>
    </row>
    <row r="14401" spans="8:9">
      <c r="H14401" s="1092"/>
      <c r="I14401" s="1092"/>
    </row>
    <row r="14402" spans="8:9">
      <c r="H14402" s="1092"/>
      <c r="I14402" s="1092"/>
    </row>
    <row r="14403" spans="8:9">
      <c r="H14403" s="1092"/>
      <c r="I14403" s="1092"/>
    </row>
    <row r="14404" spans="8:9">
      <c r="H14404" s="1092"/>
      <c r="I14404" s="1092"/>
    </row>
    <row r="14405" spans="8:9">
      <c r="H14405" s="1092"/>
      <c r="I14405" s="1092"/>
    </row>
    <row r="14406" spans="8:9">
      <c r="H14406" s="1092"/>
      <c r="I14406" s="1092"/>
    </row>
    <row r="14407" spans="8:9">
      <c r="H14407" s="1092"/>
      <c r="I14407" s="1092"/>
    </row>
    <row r="14408" spans="8:9">
      <c r="H14408" s="1092"/>
      <c r="I14408" s="1092"/>
    </row>
    <row r="14409" spans="8:9">
      <c r="H14409" s="1092"/>
      <c r="I14409" s="1092"/>
    </row>
    <row r="14410" spans="8:9">
      <c r="H14410" s="1092"/>
      <c r="I14410" s="1092"/>
    </row>
    <row r="14411" spans="8:9">
      <c r="H14411" s="1092"/>
      <c r="I14411" s="1092"/>
    </row>
    <row r="14412" spans="8:9">
      <c r="H14412" s="1092"/>
      <c r="I14412" s="1092"/>
    </row>
    <row r="14413" spans="8:9">
      <c r="H14413" s="1092"/>
      <c r="I14413" s="1092"/>
    </row>
    <row r="14414" spans="8:9">
      <c r="H14414" s="1092"/>
      <c r="I14414" s="1092"/>
    </row>
    <row r="14415" spans="8:9">
      <c r="H14415" s="1092"/>
      <c r="I14415" s="1092"/>
    </row>
    <row r="14416" spans="8:9">
      <c r="H14416" s="1092"/>
      <c r="I14416" s="1092"/>
    </row>
    <row r="14417" spans="8:9">
      <c r="H14417" s="1092"/>
      <c r="I14417" s="1092"/>
    </row>
    <row r="14418" spans="8:9">
      <c r="H14418" s="1092"/>
      <c r="I14418" s="1092"/>
    </row>
    <row r="14419" spans="8:9">
      <c r="H14419" s="1092"/>
      <c r="I14419" s="1092"/>
    </row>
    <row r="14420" spans="8:9">
      <c r="H14420" s="1092"/>
      <c r="I14420" s="1092"/>
    </row>
    <row r="14421" spans="8:9">
      <c r="H14421" s="1092"/>
      <c r="I14421" s="1092"/>
    </row>
    <row r="14422" spans="8:9">
      <c r="H14422" s="1092"/>
      <c r="I14422" s="1092"/>
    </row>
    <row r="14423" spans="8:9">
      <c r="H14423" s="1092"/>
      <c r="I14423" s="1092"/>
    </row>
    <row r="14424" spans="8:9">
      <c r="H14424" s="1092"/>
      <c r="I14424" s="1092"/>
    </row>
    <row r="14425" spans="8:9">
      <c r="H14425" s="1092"/>
      <c r="I14425" s="1092"/>
    </row>
    <row r="14426" spans="8:9">
      <c r="H14426" s="1092"/>
      <c r="I14426" s="1092"/>
    </row>
    <row r="14427" spans="8:9">
      <c r="H14427" s="1092"/>
      <c r="I14427" s="1092"/>
    </row>
    <row r="14428" spans="8:9">
      <c r="H14428" s="1092"/>
      <c r="I14428" s="1092"/>
    </row>
    <row r="14429" spans="8:9">
      <c r="H14429" s="1092"/>
      <c r="I14429" s="1092"/>
    </row>
    <row r="14430" spans="8:9">
      <c r="H14430" s="1092"/>
      <c r="I14430" s="1092"/>
    </row>
    <row r="14431" spans="8:9">
      <c r="H14431" s="1092"/>
      <c r="I14431" s="1092"/>
    </row>
    <row r="14432" spans="8:9">
      <c r="H14432" s="1092"/>
      <c r="I14432" s="1092"/>
    </row>
    <row r="14433" spans="8:9">
      <c r="H14433" s="1092"/>
      <c r="I14433" s="1092"/>
    </row>
    <row r="14434" spans="8:9">
      <c r="H14434" s="1092"/>
      <c r="I14434" s="1092"/>
    </row>
    <row r="14435" spans="8:9">
      <c r="H14435" s="1092"/>
      <c r="I14435" s="1092"/>
    </row>
    <row r="14436" spans="8:9">
      <c r="H14436" s="1092"/>
      <c r="I14436" s="1092"/>
    </row>
    <row r="14437" spans="8:9">
      <c r="H14437" s="1092"/>
      <c r="I14437" s="1092"/>
    </row>
    <row r="14438" spans="8:9">
      <c r="H14438" s="1092"/>
      <c r="I14438" s="1092"/>
    </row>
    <row r="14439" spans="8:9">
      <c r="H14439" s="1092"/>
      <c r="I14439" s="1092"/>
    </row>
    <row r="14440" spans="8:9">
      <c r="H14440" s="1092"/>
      <c r="I14440" s="1092"/>
    </row>
    <row r="14441" spans="8:9">
      <c r="H14441" s="1092"/>
      <c r="I14441" s="1092"/>
    </row>
    <row r="14442" spans="8:9">
      <c r="H14442" s="1092"/>
      <c r="I14442" s="1092"/>
    </row>
    <row r="14443" spans="8:9">
      <c r="H14443" s="1092"/>
      <c r="I14443" s="1092"/>
    </row>
    <row r="14444" spans="8:9">
      <c r="H14444" s="1092"/>
      <c r="I14444" s="1092"/>
    </row>
    <row r="14445" spans="8:9">
      <c r="H14445" s="1092"/>
      <c r="I14445" s="1092"/>
    </row>
    <row r="14446" spans="8:9">
      <c r="H14446" s="1092"/>
      <c r="I14446" s="1092"/>
    </row>
    <row r="14447" spans="8:9">
      <c r="H14447" s="1092"/>
      <c r="I14447" s="1092"/>
    </row>
    <row r="14448" spans="8:9">
      <c r="H14448" s="1092"/>
      <c r="I14448" s="1092"/>
    </row>
    <row r="14449" spans="8:9">
      <c r="H14449" s="1092"/>
      <c r="I14449" s="1092"/>
    </row>
    <row r="14450" spans="8:9">
      <c r="H14450" s="1092"/>
      <c r="I14450" s="1092"/>
    </row>
    <row r="14451" spans="8:9">
      <c r="H14451" s="1092"/>
      <c r="I14451" s="1092"/>
    </row>
    <row r="14452" spans="8:9">
      <c r="H14452" s="1092"/>
      <c r="I14452" s="1092"/>
    </row>
    <row r="14453" spans="8:9">
      <c r="H14453" s="1092"/>
      <c r="I14453" s="1092"/>
    </row>
    <row r="14454" spans="8:9">
      <c r="H14454" s="1092"/>
      <c r="I14454" s="1092"/>
    </row>
    <row r="14455" spans="8:9">
      <c r="H14455" s="1092"/>
      <c r="I14455" s="1092"/>
    </row>
    <row r="14456" spans="8:9">
      <c r="H14456" s="1092"/>
      <c r="I14456" s="1092"/>
    </row>
    <row r="14457" spans="8:9">
      <c r="H14457" s="1092"/>
      <c r="I14457" s="1092"/>
    </row>
    <row r="14458" spans="8:9">
      <c r="H14458" s="1092"/>
      <c r="I14458" s="1092"/>
    </row>
    <row r="14459" spans="8:9">
      <c r="H14459" s="1092"/>
      <c r="I14459" s="1092"/>
    </row>
    <row r="14460" spans="8:9">
      <c r="H14460" s="1092"/>
      <c r="I14460" s="1092"/>
    </row>
    <row r="14461" spans="8:9">
      <c r="H14461" s="1092"/>
      <c r="I14461" s="1092"/>
    </row>
    <row r="14462" spans="8:9">
      <c r="H14462" s="1092"/>
      <c r="I14462" s="1092"/>
    </row>
    <row r="14463" spans="8:9">
      <c r="H14463" s="1092"/>
      <c r="I14463" s="1092"/>
    </row>
    <row r="14464" spans="8:9">
      <c r="H14464" s="1092"/>
      <c r="I14464" s="1092"/>
    </row>
    <row r="14465" spans="8:9">
      <c r="H14465" s="1092"/>
      <c r="I14465" s="1092"/>
    </row>
    <row r="14466" spans="8:9">
      <c r="H14466" s="1092"/>
      <c r="I14466" s="1092"/>
    </row>
    <row r="14467" spans="8:9">
      <c r="H14467" s="1092"/>
      <c r="I14467" s="1092"/>
    </row>
    <row r="14468" spans="8:9">
      <c r="H14468" s="1092"/>
      <c r="I14468" s="1092"/>
    </row>
    <row r="14469" spans="8:9">
      <c r="H14469" s="1092"/>
      <c r="I14469" s="1092"/>
    </row>
    <row r="14470" spans="8:9">
      <c r="H14470" s="1092"/>
      <c r="I14470" s="1092"/>
    </row>
    <row r="14471" spans="8:9">
      <c r="H14471" s="1092"/>
      <c r="I14471" s="1092"/>
    </row>
    <row r="14472" spans="8:9">
      <c r="H14472" s="1092"/>
      <c r="I14472" s="1092"/>
    </row>
    <row r="14473" spans="8:9">
      <c r="H14473" s="1092"/>
      <c r="I14473" s="1092"/>
    </row>
    <row r="14474" spans="8:9">
      <c r="H14474" s="1092"/>
      <c r="I14474" s="1092"/>
    </row>
    <row r="14475" spans="8:9">
      <c r="H14475" s="1092"/>
      <c r="I14475" s="1092"/>
    </row>
    <row r="14476" spans="8:9">
      <c r="H14476" s="1092"/>
      <c r="I14476" s="1092"/>
    </row>
    <row r="14477" spans="8:9">
      <c r="H14477" s="1092"/>
      <c r="I14477" s="1092"/>
    </row>
    <row r="14478" spans="8:9">
      <c r="H14478" s="1092"/>
      <c r="I14478" s="1092"/>
    </row>
    <row r="14479" spans="8:9">
      <c r="H14479" s="1092"/>
      <c r="I14479" s="1092"/>
    </row>
    <row r="14480" spans="8:9">
      <c r="H14480" s="1092"/>
      <c r="I14480" s="1092"/>
    </row>
    <row r="14481" spans="8:9">
      <c r="H14481" s="1092"/>
      <c r="I14481" s="1092"/>
    </row>
    <row r="14482" spans="8:9">
      <c r="H14482" s="1092"/>
      <c r="I14482" s="1092"/>
    </row>
    <row r="14483" spans="8:9">
      <c r="H14483" s="1092"/>
      <c r="I14483" s="1092"/>
    </row>
    <row r="14484" spans="8:9">
      <c r="H14484" s="1092"/>
      <c r="I14484" s="1092"/>
    </row>
    <row r="14485" spans="8:9">
      <c r="H14485" s="1092"/>
      <c r="I14485" s="1092"/>
    </row>
    <row r="14486" spans="8:9">
      <c r="H14486" s="1092"/>
      <c r="I14486" s="1092"/>
    </row>
    <row r="14487" spans="8:9">
      <c r="H14487" s="1092"/>
      <c r="I14487" s="1092"/>
    </row>
    <row r="14488" spans="8:9">
      <c r="H14488" s="1092"/>
      <c r="I14488" s="1092"/>
    </row>
    <row r="14489" spans="8:9">
      <c r="H14489" s="1092"/>
      <c r="I14489" s="1092"/>
    </row>
    <row r="14490" spans="8:9">
      <c r="H14490" s="1092"/>
      <c r="I14490" s="1092"/>
    </row>
    <row r="14491" spans="8:9">
      <c r="H14491" s="1092"/>
      <c r="I14491" s="1092"/>
    </row>
    <row r="14492" spans="8:9">
      <c r="H14492" s="1092"/>
      <c r="I14492" s="1092"/>
    </row>
    <row r="14493" spans="8:9">
      <c r="H14493" s="1092"/>
      <c r="I14493" s="1092"/>
    </row>
    <row r="14494" spans="8:9">
      <c r="H14494" s="1092"/>
      <c r="I14494" s="1092"/>
    </row>
    <row r="14495" spans="8:9">
      <c r="H14495" s="1092"/>
      <c r="I14495" s="1092"/>
    </row>
    <row r="14496" spans="8:9">
      <c r="H14496" s="1092"/>
      <c r="I14496" s="1092"/>
    </row>
    <row r="14497" spans="8:9">
      <c r="H14497" s="1092"/>
      <c r="I14497" s="1092"/>
    </row>
    <row r="14498" spans="8:9">
      <c r="H14498" s="1092"/>
      <c r="I14498" s="1092"/>
    </row>
    <row r="14499" spans="8:9">
      <c r="H14499" s="1092"/>
      <c r="I14499" s="1092"/>
    </row>
    <row r="14500" spans="8:9">
      <c r="H14500" s="1092"/>
      <c r="I14500" s="1092"/>
    </row>
    <row r="14501" spans="8:9">
      <c r="H14501" s="1092"/>
      <c r="I14501" s="1092"/>
    </row>
    <row r="14502" spans="8:9">
      <c r="H14502" s="1092"/>
      <c r="I14502" s="1092"/>
    </row>
    <row r="14503" spans="8:9">
      <c r="H14503" s="1092"/>
      <c r="I14503" s="1092"/>
    </row>
    <row r="14504" spans="8:9">
      <c r="H14504" s="1092"/>
      <c r="I14504" s="1092"/>
    </row>
    <row r="14505" spans="8:9">
      <c r="H14505" s="1092"/>
      <c r="I14505" s="1092"/>
    </row>
    <row r="14506" spans="8:9">
      <c r="H14506" s="1092"/>
      <c r="I14506" s="1092"/>
    </row>
    <row r="14507" spans="8:9">
      <c r="H14507" s="1092"/>
      <c r="I14507" s="1092"/>
    </row>
    <row r="14508" spans="8:9">
      <c r="H14508" s="1092"/>
      <c r="I14508" s="1092"/>
    </row>
    <row r="14509" spans="8:9">
      <c r="H14509" s="1092"/>
      <c r="I14509" s="1092"/>
    </row>
    <row r="14510" spans="8:9">
      <c r="H14510" s="1092"/>
      <c r="I14510" s="1092"/>
    </row>
    <row r="14511" spans="8:9">
      <c r="H14511" s="1092"/>
      <c r="I14511" s="1092"/>
    </row>
    <row r="14512" spans="8:9">
      <c r="H14512" s="1092"/>
      <c r="I14512" s="1092"/>
    </row>
    <row r="14513" spans="8:9">
      <c r="H14513" s="1092"/>
      <c r="I14513" s="1092"/>
    </row>
    <row r="14514" spans="8:9">
      <c r="H14514" s="1092"/>
      <c r="I14514" s="1092"/>
    </row>
    <row r="14515" spans="8:9">
      <c r="H14515" s="1092"/>
      <c r="I14515" s="1092"/>
    </row>
    <row r="14516" spans="8:9">
      <c r="H14516" s="1092"/>
      <c r="I14516" s="1092"/>
    </row>
    <row r="14517" spans="8:9">
      <c r="H14517" s="1092"/>
      <c r="I14517" s="1092"/>
    </row>
    <row r="14518" spans="8:9">
      <c r="H14518" s="1092"/>
      <c r="I14518" s="1092"/>
    </row>
    <row r="14519" spans="8:9">
      <c r="H14519" s="1092"/>
      <c r="I14519" s="1092"/>
    </row>
    <row r="14520" spans="8:9">
      <c r="H14520" s="1092"/>
      <c r="I14520" s="1092"/>
    </row>
    <row r="14521" spans="8:9">
      <c r="H14521" s="1092"/>
      <c r="I14521" s="1092"/>
    </row>
    <row r="14522" spans="8:9">
      <c r="H14522" s="1092"/>
      <c r="I14522" s="1092"/>
    </row>
    <row r="14523" spans="8:9">
      <c r="H14523" s="1092"/>
      <c r="I14523" s="1092"/>
    </row>
    <row r="14524" spans="8:9">
      <c r="H14524" s="1092"/>
      <c r="I14524" s="1092"/>
    </row>
    <row r="14525" spans="8:9">
      <c r="H14525" s="1092"/>
      <c r="I14525" s="1092"/>
    </row>
    <row r="14526" spans="8:9">
      <c r="H14526" s="1092"/>
      <c r="I14526" s="1092"/>
    </row>
    <row r="14527" spans="8:9">
      <c r="H14527" s="1092"/>
      <c r="I14527" s="1092"/>
    </row>
    <row r="14528" spans="8:9">
      <c r="H14528" s="1092"/>
      <c r="I14528" s="1092"/>
    </row>
    <row r="14529" spans="8:9">
      <c r="H14529" s="1092"/>
      <c r="I14529" s="1092"/>
    </row>
    <row r="14530" spans="8:9">
      <c r="H14530" s="1092"/>
      <c r="I14530" s="1092"/>
    </row>
    <row r="14531" spans="8:9">
      <c r="H14531" s="1092"/>
      <c r="I14531" s="1092"/>
    </row>
    <row r="14532" spans="8:9">
      <c r="H14532" s="1092"/>
      <c r="I14532" s="1092"/>
    </row>
    <row r="14533" spans="8:9">
      <c r="H14533" s="1092"/>
      <c r="I14533" s="1092"/>
    </row>
    <row r="14534" spans="8:9">
      <c r="H14534" s="1092"/>
      <c r="I14534" s="1092"/>
    </row>
    <row r="14535" spans="8:9">
      <c r="H14535" s="1092"/>
      <c r="I14535" s="1092"/>
    </row>
    <row r="14536" spans="8:9">
      <c r="H14536" s="1092"/>
      <c r="I14536" s="1092"/>
    </row>
    <row r="14537" spans="8:9">
      <c r="H14537" s="1092"/>
      <c r="I14537" s="1092"/>
    </row>
    <row r="14538" spans="8:9">
      <c r="H14538" s="1092"/>
      <c r="I14538" s="1092"/>
    </row>
    <row r="14539" spans="8:9">
      <c r="H14539" s="1092"/>
      <c r="I14539" s="1092"/>
    </row>
    <row r="14540" spans="8:9">
      <c r="H14540" s="1092"/>
      <c r="I14540" s="1092"/>
    </row>
    <row r="14541" spans="8:9">
      <c r="H14541" s="1092"/>
      <c r="I14541" s="1092"/>
    </row>
    <row r="14542" spans="8:9">
      <c r="H14542" s="1092"/>
      <c r="I14542" s="1092"/>
    </row>
    <row r="14543" spans="8:9">
      <c r="H14543" s="1092"/>
      <c r="I14543" s="1092"/>
    </row>
    <row r="14544" spans="8:9">
      <c r="H14544" s="1092"/>
      <c r="I14544" s="1092"/>
    </row>
    <row r="14545" spans="8:9">
      <c r="H14545" s="1092"/>
      <c r="I14545" s="1092"/>
    </row>
    <row r="14546" spans="8:9">
      <c r="H14546" s="1092"/>
      <c r="I14546" s="1092"/>
    </row>
    <row r="14547" spans="8:9">
      <c r="H14547" s="1092"/>
      <c r="I14547" s="1092"/>
    </row>
    <row r="14548" spans="8:9">
      <c r="H14548" s="1092"/>
      <c r="I14548" s="1092"/>
    </row>
    <row r="14549" spans="8:9">
      <c r="H14549" s="1092"/>
      <c r="I14549" s="1092"/>
    </row>
    <row r="14550" spans="8:9">
      <c r="H14550" s="1092"/>
      <c r="I14550" s="1092"/>
    </row>
    <row r="14551" spans="8:9">
      <c r="H14551" s="1092"/>
      <c r="I14551" s="1092"/>
    </row>
    <row r="14552" spans="8:9">
      <c r="H14552" s="1092"/>
      <c r="I14552" s="1092"/>
    </row>
    <row r="14553" spans="8:9">
      <c r="H14553" s="1092"/>
      <c r="I14553" s="1092"/>
    </row>
    <row r="14554" spans="8:9">
      <c r="H14554" s="1092"/>
      <c r="I14554" s="1092"/>
    </row>
    <row r="14555" spans="8:9">
      <c r="H14555" s="1092"/>
      <c r="I14555" s="1092"/>
    </row>
    <row r="14556" spans="8:9">
      <c r="H14556" s="1092"/>
      <c r="I14556" s="1092"/>
    </row>
    <row r="14557" spans="8:9">
      <c r="H14557" s="1092"/>
      <c r="I14557" s="1092"/>
    </row>
    <row r="14558" spans="8:9">
      <c r="H14558" s="1092"/>
      <c r="I14558" s="1092"/>
    </row>
    <row r="14559" spans="8:9">
      <c r="H14559" s="1092"/>
      <c r="I14559" s="1092"/>
    </row>
    <row r="14560" spans="8:9">
      <c r="H14560" s="1092"/>
      <c r="I14560" s="1092"/>
    </row>
    <row r="14561" spans="8:9">
      <c r="H14561" s="1092"/>
      <c r="I14561" s="1092"/>
    </row>
    <row r="14562" spans="8:9">
      <c r="H14562" s="1092"/>
      <c r="I14562" s="1092"/>
    </row>
    <row r="14563" spans="8:9">
      <c r="H14563" s="1092"/>
      <c r="I14563" s="1092"/>
    </row>
    <row r="14564" spans="8:9">
      <c r="H14564" s="1092"/>
      <c r="I14564" s="1092"/>
    </row>
    <row r="14565" spans="8:9">
      <c r="H14565" s="1092"/>
      <c r="I14565" s="1092"/>
    </row>
    <row r="14566" spans="8:9">
      <c r="H14566" s="1092"/>
      <c r="I14566" s="1092"/>
    </row>
    <row r="14567" spans="8:9">
      <c r="H14567" s="1092"/>
      <c r="I14567" s="1092"/>
    </row>
    <row r="14568" spans="8:9">
      <c r="H14568" s="1092"/>
      <c r="I14568" s="1092"/>
    </row>
    <row r="14569" spans="8:9">
      <c r="H14569" s="1092"/>
      <c r="I14569" s="1092"/>
    </row>
    <row r="14570" spans="8:9">
      <c r="H14570" s="1092"/>
      <c r="I14570" s="1092"/>
    </row>
    <row r="14571" spans="8:9">
      <c r="H14571" s="1092"/>
      <c r="I14571" s="1092"/>
    </row>
    <row r="14572" spans="8:9">
      <c r="H14572" s="1092"/>
      <c r="I14572" s="1092"/>
    </row>
    <row r="14573" spans="8:9">
      <c r="H14573" s="1092"/>
      <c r="I14573" s="1092"/>
    </row>
    <row r="14574" spans="8:9">
      <c r="H14574" s="1092"/>
      <c r="I14574" s="1092"/>
    </row>
    <row r="14575" spans="8:9">
      <c r="H14575" s="1092"/>
      <c r="I14575" s="1092"/>
    </row>
    <row r="14576" spans="8:9">
      <c r="H14576" s="1092"/>
      <c r="I14576" s="1092"/>
    </row>
    <row r="14577" spans="8:9">
      <c r="H14577" s="1092"/>
      <c r="I14577" s="1092"/>
    </row>
    <row r="14578" spans="8:9">
      <c r="H14578" s="1092"/>
      <c r="I14578" s="1092"/>
    </row>
    <row r="14579" spans="8:9">
      <c r="H14579" s="1092"/>
      <c r="I14579" s="1092"/>
    </row>
    <row r="14580" spans="8:9">
      <c r="H14580" s="1092"/>
      <c r="I14580" s="1092"/>
    </row>
    <row r="14581" spans="8:9">
      <c r="H14581" s="1092"/>
      <c r="I14581" s="1092"/>
    </row>
    <row r="14582" spans="8:9">
      <c r="H14582" s="1092"/>
      <c r="I14582" s="1092"/>
    </row>
    <row r="14583" spans="8:9">
      <c r="H14583" s="1092"/>
      <c r="I14583" s="1092"/>
    </row>
    <row r="14584" spans="8:9">
      <c r="H14584" s="1092"/>
      <c r="I14584" s="1092"/>
    </row>
    <row r="14585" spans="8:9">
      <c r="H14585" s="1092"/>
      <c r="I14585" s="1092"/>
    </row>
    <row r="14586" spans="8:9">
      <c r="H14586" s="1092"/>
      <c r="I14586" s="1092"/>
    </row>
    <row r="14587" spans="8:9">
      <c r="H14587" s="1092"/>
      <c r="I14587" s="1092"/>
    </row>
    <row r="14588" spans="8:9">
      <c r="H14588" s="1092"/>
      <c r="I14588" s="1092"/>
    </row>
    <row r="14589" spans="8:9">
      <c r="H14589" s="1092"/>
      <c r="I14589" s="1092"/>
    </row>
    <row r="14590" spans="8:9">
      <c r="H14590" s="1092"/>
      <c r="I14590" s="1092"/>
    </row>
    <row r="14591" spans="8:9">
      <c r="H14591" s="1092"/>
      <c r="I14591" s="1092"/>
    </row>
    <row r="14592" spans="8:9">
      <c r="H14592" s="1092"/>
      <c r="I14592" s="1092"/>
    </row>
    <row r="14593" spans="8:9">
      <c r="H14593" s="1092"/>
      <c r="I14593" s="1092"/>
    </row>
    <row r="14594" spans="8:9">
      <c r="H14594" s="1092"/>
      <c r="I14594" s="1092"/>
    </row>
    <row r="14595" spans="8:9">
      <c r="H14595" s="1092"/>
      <c r="I14595" s="1092"/>
    </row>
    <row r="14596" spans="8:9">
      <c r="H14596" s="1092"/>
      <c r="I14596" s="1092"/>
    </row>
    <row r="14597" spans="8:9">
      <c r="H14597" s="1092"/>
      <c r="I14597" s="1092"/>
    </row>
    <row r="14598" spans="8:9">
      <c r="H14598" s="1092"/>
      <c r="I14598" s="1092"/>
    </row>
    <row r="14599" spans="8:9">
      <c r="H14599" s="1092"/>
      <c r="I14599" s="1092"/>
    </row>
    <row r="14600" spans="8:9">
      <c r="H14600" s="1092"/>
      <c r="I14600" s="1092"/>
    </row>
    <row r="14601" spans="8:9">
      <c r="H14601" s="1092"/>
      <c r="I14601" s="1092"/>
    </row>
    <row r="14602" spans="8:9">
      <c r="H14602" s="1092"/>
      <c r="I14602" s="1092"/>
    </row>
    <row r="14603" spans="8:9">
      <c r="H14603" s="1092"/>
      <c r="I14603" s="1092"/>
    </row>
    <row r="14604" spans="8:9">
      <c r="H14604" s="1092"/>
      <c r="I14604" s="1092"/>
    </row>
    <row r="14605" spans="8:9">
      <c r="H14605" s="1092"/>
      <c r="I14605" s="1092"/>
    </row>
    <row r="14606" spans="8:9">
      <c r="H14606" s="1092"/>
      <c r="I14606" s="1092"/>
    </row>
    <row r="14607" spans="8:9">
      <c r="H14607" s="1092"/>
      <c r="I14607" s="1092"/>
    </row>
    <row r="14608" spans="8:9">
      <c r="H14608" s="1092"/>
      <c r="I14608" s="1092"/>
    </row>
    <row r="14609" spans="8:9">
      <c r="H14609" s="1092"/>
      <c r="I14609" s="1092"/>
    </row>
    <row r="14610" spans="8:9">
      <c r="H14610" s="1092"/>
      <c r="I14610" s="1092"/>
    </row>
    <row r="14611" spans="8:9">
      <c r="H14611" s="1092"/>
      <c r="I14611" s="1092"/>
    </row>
    <row r="14612" spans="8:9">
      <c r="H14612" s="1092"/>
      <c r="I14612" s="1092"/>
    </row>
    <row r="14613" spans="8:9">
      <c r="H14613" s="1092"/>
      <c r="I14613" s="1092"/>
    </row>
    <row r="14614" spans="8:9">
      <c r="H14614" s="1092"/>
      <c r="I14614" s="1092"/>
    </row>
    <row r="14615" spans="8:9">
      <c r="H14615" s="1092"/>
      <c r="I14615" s="1092"/>
    </row>
    <row r="14616" spans="8:9">
      <c r="H14616" s="1092"/>
      <c r="I14616" s="1092"/>
    </row>
    <row r="14617" spans="8:9">
      <c r="H14617" s="1092"/>
      <c r="I14617" s="1092"/>
    </row>
    <row r="14618" spans="8:9">
      <c r="H14618" s="1092"/>
      <c r="I14618" s="1092"/>
    </row>
    <row r="14619" spans="8:9">
      <c r="H14619" s="1092"/>
      <c r="I14619" s="1092"/>
    </row>
    <row r="14620" spans="8:9">
      <c r="H14620" s="1092"/>
      <c r="I14620" s="1092"/>
    </row>
    <row r="14621" spans="8:9">
      <c r="H14621" s="1092"/>
      <c r="I14621" s="1092"/>
    </row>
    <row r="14622" spans="8:9">
      <c r="H14622" s="1092"/>
      <c r="I14622" s="1092"/>
    </row>
    <row r="14623" spans="8:9">
      <c r="H14623" s="1092"/>
      <c r="I14623" s="1092"/>
    </row>
    <row r="14624" spans="8:9">
      <c r="H14624" s="1092"/>
      <c r="I14624" s="1092"/>
    </row>
    <row r="14625" spans="8:9">
      <c r="H14625" s="1092"/>
      <c r="I14625" s="1092"/>
    </row>
    <row r="14626" spans="8:9">
      <c r="H14626" s="1092"/>
      <c r="I14626" s="1092"/>
    </row>
    <row r="14627" spans="8:9">
      <c r="H14627" s="1092"/>
      <c r="I14627" s="1092"/>
    </row>
    <row r="14628" spans="8:9">
      <c r="H14628" s="1092"/>
      <c r="I14628" s="1092"/>
    </row>
    <row r="14629" spans="8:9">
      <c r="H14629" s="1092"/>
      <c r="I14629" s="1092"/>
    </row>
    <row r="14630" spans="8:9">
      <c r="H14630" s="1092"/>
      <c r="I14630" s="1092"/>
    </row>
    <row r="14631" spans="8:9">
      <c r="H14631" s="1092"/>
      <c r="I14631" s="1092"/>
    </row>
    <row r="14632" spans="8:9">
      <c r="H14632" s="1092"/>
      <c r="I14632" s="1092"/>
    </row>
    <row r="14633" spans="8:9">
      <c r="H14633" s="1092"/>
      <c r="I14633" s="1092"/>
    </row>
    <row r="14634" spans="8:9">
      <c r="H14634" s="1092"/>
      <c r="I14634" s="1092"/>
    </row>
    <row r="14635" spans="8:9">
      <c r="H14635" s="1092"/>
      <c r="I14635" s="1092"/>
    </row>
    <row r="14636" spans="8:9">
      <c r="H14636" s="1092"/>
      <c r="I14636" s="1092"/>
    </row>
    <row r="14637" spans="8:9">
      <c r="H14637" s="1092"/>
      <c r="I14637" s="1092"/>
    </row>
    <row r="14638" spans="8:9">
      <c r="H14638" s="1092"/>
      <c r="I14638" s="1092"/>
    </row>
    <row r="14639" spans="8:9">
      <c r="H14639" s="1092"/>
      <c r="I14639" s="1092"/>
    </row>
    <row r="14640" spans="8:9">
      <c r="H14640" s="1092"/>
      <c r="I14640" s="1092"/>
    </row>
    <row r="14641" spans="8:9">
      <c r="H14641" s="1092"/>
      <c r="I14641" s="1092"/>
    </row>
    <row r="14642" spans="8:9">
      <c r="H14642" s="1092"/>
      <c r="I14642" s="1092"/>
    </row>
    <row r="14643" spans="8:9">
      <c r="H14643" s="1092"/>
      <c r="I14643" s="1092"/>
    </row>
    <row r="14644" spans="8:9">
      <c r="H14644" s="1092"/>
      <c r="I14644" s="1092"/>
    </row>
    <row r="14645" spans="8:9">
      <c r="H14645" s="1092"/>
      <c r="I14645" s="1092"/>
    </row>
    <row r="14646" spans="8:9">
      <c r="H14646" s="1092"/>
      <c r="I14646" s="1092"/>
    </row>
    <row r="14647" spans="8:9">
      <c r="H14647" s="1092"/>
      <c r="I14647" s="1092"/>
    </row>
    <row r="14648" spans="8:9">
      <c r="H14648" s="1092"/>
      <c r="I14648" s="1092"/>
    </row>
    <row r="14649" spans="8:9">
      <c r="H14649" s="1092"/>
      <c r="I14649" s="1092"/>
    </row>
    <row r="14650" spans="8:9">
      <c r="H14650" s="1092"/>
      <c r="I14650" s="1092"/>
    </row>
    <row r="14651" spans="8:9">
      <c r="H14651" s="1092"/>
      <c r="I14651" s="1092"/>
    </row>
    <row r="14652" spans="8:9">
      <c r="H14652" s="1092"/>
      <c r="I14652" s="1092"/>
    </row>
    <row r="14653" spans="8:9">
      <c r="H14653" s="1092"/>
      <c r="I14653" s="1092"/>
    </row>
    <row r="14654" spans="8:9">
      <c r="H14654" s="1092"/>
      <c r="I14654" s="1092"/>
    </row>
    <row r="14655" spans="8:9">
      <c r="H14655" s="1092"/>
      <c r="I14655" s="1092"/>
    </row>
    <row r="14656" spans="8:9">
      <c r="H14656" s="1092"/>
      <c r="I14656" s="1092"/>
    </row>
    <row r="14657" spans="8:9">
      <c r="H14657" s="1092"/>
      <c r="I14657" s="1092"/>
    </row>
    <row r="14658" spans="8:9">
      <c r="H14658" s="1092"/>
      <c r="I14658" s="1092"/>
    </row>
    <row r="14659" spans="8:9">
      <c r="H14659" s="1092"/>
      <c r="I14659" s="1092"/>
    </row>
    <row r="14660" spans="8:9">
      <c r="H14660" s="1092"/>
      <c r="I14660" s="1092"/>
    </row>
    <row r="14661" spans="8:9">
      <c r="H14661" s="1092"/>
      <c r="I14661" s="1092"/>
    </row>
    <row r="14662" spans="8:9">
      <c r="H14662" s="1092"/>
      <c r="I14662" s="1092"/>
    </row>
    <row r="14663" spans="8:9">
      <c r="H14663" s="1092"/>
      <c r="I14663" s="1092"/>
    </row>
    <row r="14664" spans="8:9">
      <c r="H14664" s="1092"/>
      <c r="I14664" s="1092"/>
    </row>
    <row r="14665" spans="8:9">
      <c r="H14665" s="1092"/>
      <c r="I14665" s="1092"/>
    </row>
    <row r="14666" spans="8:9">
      <c r="H14666" s="1092"/>
      <c r="I14666" s="1092"/>
    </row>
    <row r="14667" spans="8:9">
      <c r="H14667" s="1092"/>
      <c r="I14667" s="1092"/>
    </row>
    <row r="14668" spans="8:9">
      <c r="H14668" s="1092"/>
      <c r="I14668" s="1092"/>
    </row>
    <row r="14669" spans="8:9">
      <c r="H14669" s="1092"/>
      <c r="I14669" s="1092"/>
    </row>
    <row r="14670" spans="8:9">
      <c r="H14670" s="1092"/>
      <c r="I14670" s="1092"/>
    </row>
    <row r="14671" spans="8:9">
      <c r="H14671" s="1092"/>
      <c r="I14671" s="1092"/>
    </row>
    <row r="14672" spans="8:9">
      <c r="H14672" s="1092"/>
      <c r="I14672" s="1092"/>
    </row>
    <row r="14673" spans="8:9">
      <c r="H14673" s="1092"/>
      <c r="I14673" s="1092"/>
    </row>
    <row r="14674" spans="8:9">
      <c r="H14674" s="1092"/>
      <c r="I14674" s="1092"/>
    </row>
    <row r="14675" spans="8:9">
      <c r="H14675" s="1092"/>
      <c r="I14675" s="1092"/>
    </row>
    <row r="14676" spans="8:9">
      <c r="H14676" s="1092"/>
      <c r="I14676" s="1092"/>
    </row>
    <row r="14677" spans="8:9">
      <c r="H14677" s="1092"/>
      <c r="I14677" s="1092"/>
    </row>
    <row r="14678" spans="8:9">
      <c r="H14678" s="1092"/>
      <c r="I14678" s="1092"/>
    </row>
    <row r="14679" spans="8:9">
      <c r="H14679" s="1092"/>
      <c r="I14679" s="1092"/>
    </row>
    <row r="14680" spans="8:9">
      <c r="H14680" s="1092"/>
      <c r="I14680" s="1092"/>
    </row>
    <row r="14681" spans="8:9">
      <c r="H14681" s="1092"/>
      <c r="I14681" s="1092"/>
    </row>
    <row r="14682" spans="8:9">
      <c r="H14682" s="1092"/>
      <c r="I14682" s="1092"/>
    </row>
    <row r="14683" spans="8:9">
      <c r="H14683" s="1092"/>
      <c r="I14683" s="1092"/>
    </row>
    <row r="14684" spans="8:9">
      <c r="H14684" s="1092"/>
      <c r="I14684" s="1092"/>
    </row>
    <row r="14685" spans="8:9">
      <c r="H14685" s="1092"/>
      <c r="I14685" s="1092"/>
    </row>
    <row r="14686" spans="8:9">
      <c r="H14686" s="1092"/>
      <c r="I14686" s="1092"/>
    </row>
    <row r="14687" spans="8:9">
      <c r="H14687" s="1092"/>
      <c r="I14687" s="1092"/>
    </row>
    <row r="14688" spans="8:9">
      <c r="H14688" s="1092"/>
      <c r="I14688" s="1092"/>
    </row>
    <row r="14689" spans="8:9">
      <c r="H14689" s="1092"/>
      <c r="I14689" s="1092"/>
    </row>
    <row r="14690" spans="8:9">
      <c r="H14690" s="1092"/>
      <c r="I14690" s="1092"/>
    </row>
    <row r="14691" spans="8:9">
      <c r="H14691" s="1092"/>
      <c r="I14691" s="1092"/>
    </row>
    <row r="14692" spans="8:9">
      <c r="H14692" s="1092"/>
      <c r="I14692" s="1092"/>
    </row>
    <row r="14693" spans="8:9">
      <c r="H14693" s="1092"/>
      <c r="I14693" s="1092"/>
    </row>
    <row r="14694" spans="8:9">
      <c r="H14694" s="1092"/>
      <c r="I14694" s="1092"/>
    </row>
    <row r="14695" spans="8:9">
      <c r="H14695" s="1092"/>
      <c r="I14695" s="1092"/>
    </row>
    <row r="14696" spans="8:9">
      <c r="H14696" s="1092"/>
      <c r="I14696" s="1092"/>
    </row>
    <row r="14697" spans="8:9">
      <c r="H14697" s="1092"/>
      <c r="I14697" s="1092"/>
    </row>
    <row r="14698" spans="8:9">
      <c r="H14698" s="1092"/>
      <c r="I14698" s="1092"/>
    </row>
    <row r="14699" spans="8:9">
      <c r="H14699" s="1092"/>
      <c r="I14699" s="1092"/>
    </row>
    <row r="14700" spans="8:9">
      <c r="H14700" s="1092"/>
      <c r="I14700" s="1092"/>
    </row>
    <row r="14701" spans="8:9">
      <c r="H14701" s="1092"/>
      <c r="I14701" s="1092"/>
    </row>
    <row r="14702" spans="8:9">
      <c r="H14702" s="1092"/>
      <c r="I14702" s="1092"/>
    </row>
    <row r="14703" spans="8:9">
      <c r="H14703" s="1092"/>
      <c r="I14703" s="1092"/>
    </row>
    <row r="14704" spans="8:9">
      <c r="H14704" s="1092"/>
      <c r="I14704" s="1092"/>
    </row>
    <row r="14705" spans="8:9">
      <c r="H14705" s="1092"/>
      <c r="I14705" s="1092"/>
    </row>
    <row r="14706" spans="8:9">
      <c r="H14706" s="1092"/>
      <c r="I14706" s="1092"/>
    </row>
    <row r="14707" spans="8:9">
      <c r="H14707" s="1092"/>
      <c r="I14707" s="1092"/>
    </row>
    <row r="14708" spans="8:9">
      <c r="H14708" s="1092"/>
      <c r="I14708" s="1092"/>
    </row>
    <row r="14709" spans="8:9">
      <c r="H14709" s="1092"/>
      <c r="I14709" s="1092"/>
    </row>
    <row r="14710" spans="8:9">
      <c r="H14710" s="1092"/>
      <c r="I14710" s="1092"/>
    </row>
    <row r="14711" spans="8:9">
      <c r="H14711" s="1092"/>
      <c r="I14711" s="1092"/>
    </row>
    <row r="14712" spans="8:9">
      <c r="H14712" s="1092"/>
      <c r="I14712" s="1092"/>
    </row>
    <row r="14713" spans="8:9">
      <c r="H14713" s="1092"/>
      <c r="I14713" s="1092"/>
    </row>
    <row r="14714" spans="8:9">
      <c r="H14714" s="1092"/>
      <c r="I14714" s="1092"/>
    </row>
    <row r="14715" spans="8:9">
      <c r="H14715" s="1092"/>
      <c r="I14715" s="1092"/>
    </row>
    <row r="14716" spans="8:9">
      <c r="H14716" s="1092"/>
      <c r="I14716" s="1092"/>
    </row>
    <row r="14717" spans="8:9">
      <c r="H14717" s="1092"/>
      <c r="I14717" s="1092"/>
    </row>
    <row r="14718" spans="8:9">
      <c r="H14718" s="1092"/>
      <c r="I14718" s="1092"/>
    </row>
    <row r="14719" spans="8:9">
      <c r="H14719" s="1092"/>
      <c r="I14719" s="1092"/>
    </row>
    <row r="14720" spans="8:9">
      <c r="H14720" s="1092"/>
      <c r="I14720" s="1092"/>
    </row>
    <row r="14721" spans="8:9">
      <c r="H14721" s="1092"/>
      <c r="I14721" s="1092"/>
    </row>
    <row r="14722" spans="8:9">
      <c r="H14722" s="1092"/>
      <c r="I14722" s="1092"/>
    </row>
    <row r="14723" spans="8:9">
      <c r="H14723" s="1092"/>
      <c r="I14723" s="1092"/>
    </row>
    <row r="14724" spans="8:9">
      <c r="H14724" s="1092"/>
      <c r="I14724" s="1092"/>
    </row>
    <row r="14725" spans="8:9">
      <c r="H14725" s="1092"/>
      <c r="I14725" s="1092"/>
    </row>
    <row r="14726" spans="8:9">
      <c r="H14726" s="1092"/>
      <c r="I14726" s="1092"/>
    </row>
    <row r="14727" spans="8:9">
      <c r="H14727" s="1092"/>
      <c r="I14727" s="1092"/>
    </row>
    <row r="14728" spans="8:9">
      <c r="H14728" s="1092"/>
      <c r="I14728" s="1092"/>
    </row>
    <row r="14729" spans="8:9">
      <c r="H14729" s="1092"/>
      <c r="I14729" s="1092"/>
    </row>
    <row r="14730" spans="8:9">
      <c r="H14730" s="1092"/>
      <c r="I14730" s="1092"/>
    </row>
    <row r="14731" spans="8:9">
      <c r="H14731" s="1092"/>
      <c r="I14731" s="1092"/>
    </row>
    <row r="14732" spans="8:9">
      <c r="H14732" s="1092"/>
      <c r="I14732" s="1092"/>
    </row>
    <row r="14733" spans="8:9">
      <c r="H14733" s="1092"/>
      <c r="I14733" s="1092"/>
    </row>
    <row r="14734" spans="8:9">
      <c r="H14734" s="1092"/>
      <c r="I14734" s="1092"/>
    </row>
    <row r="14735" spans="8:9">
      <c r="H14735" s="1092"/>
      <c r="I14735" s="1092"/>
    </row>
    <row r="14736" spans="8:9">
      <c r="H14736" s="1092"/>
      <c r="I14736" s="1092"/>
    </row>
    <row r="14737" spans="8:9">
      <c r="H14737" s="1092"/>
      <c r="I14737" s="1092"/>
    </row>
    <row r="14738" spans="8:9">
      <c r="H14738" s="1092"/>
      <c r="I14738" s="1092"/>
    </row>
    <row r="14739" spans="8:9">
      <c r="H14739" s="1092"/>
      <c r="I14739" s="1092"/>
    </row>
    <row r="14740" spans="8:9">
      <c r="H14740" s="1092"/>
      <c r="I14740" s="1092"/>
    </row>
    <row r="14741" spans="8:9">
      <c r="H14741" s="1092"/>
      <c r="I14741" s="1092"/>
    </row>
    <row r="14742" spans="8:9">
      <c r="H14742" s="1092"/>
      <c r="I14742" s="1092"/>
    </row>
    <row r="14743" spans="8:9">
      <c r="H14743" s="1092"/>
      <c r="I14743" s="1092"/>
    </row>
    <row r="14744" spans="8:9">
      <c r="H14744" s="1092"/>
      <c r="I14744" s="1092"/>
    </row>
    <row r="14745" spans="8:9">
      <c r="H14745" s="1092"/>
      <c r="I14745" s="1092"/>
    </row>
    <row r="14746" spans="8:9">
      <c r="H14746" s="1092"/>
      <c r="I14746" s="1092"/>
    </row>
    <row r="14747" spans="8:9">
      <c r="H14747" s="1092"/>
      <c r="I14747" s="1092"/>
    </row>
    <row r="14748" spans="8:9">
      <c r="H14748" s="1092"/>
      <c r="I14748" s="1092"/>
    </row>
    <row r="14749" spans="8:9">
      <c r="H14749" s="1092"/>
      <c r="I14749" s="1092"/>
    </row>
    <row r="14750" spans="8:9">
      <c r="H14750" s="1092"/>
      <c r="I14750" s="1092"/>
    </row>
    <row r="14751" spans="8:9">
      <c r="H14751" s="1092"/>
      <c r="I14751" s="1092"/>
    </row>
    <row r="14752" spans="8:9">
      <c r="H14752" s="1092"/>
      <c r="I14752" s="1092"/>
    </row>
    <row r="14753" spans="8:9">
      <c r="H14753" s="1092"/>
      <c r="I14753" s="1092"/>
    </row>
    <row r="14754" spans="8:9">
      <c r="H14754" s="1092"/>
      <c r="I14754" s="1092"/>
    </row>
    <row r="14755" spans="8:9">
      <c r="H14755" s="1092"/>
      <c r="I14755" s="1092"/>
    </row>
    <row r="14756" spans="8:9">
      <c r="H14756" s="1092"/>
      <c r="I14756" s="1092"/>
    </row>
    <row r="14757" spans="8:9">
      <c r="H14757" s="1092"/>
      <c r="I14757" s="1092"/>
    </row>
    <row r="14758" spans="8:9">
      <c r="H14758" s="1092"/>
      <c r="I14758" s="1092"/>
    </row>
    <row r="14759" spans="8:9">
      <c r="H14759" s="1092"/>
      <c r="I14759" s="1092"/>
    </row>
    <row r="14760" spans="8:9">
      <c r="H14760" s="1092"/>
      <c r="I14760" s="1092"/>
    </row>
    <row r="14761" spans="8:9">
      <c r="H14761" s="1092"/>
      <c r="I14761" s="1092"/>
    </row>
    <row r="14762" spans="8:9">
      <c r="H14762" s="1092"/>
      <c r="I14762" s="1092"/>
    </row>
    <row r="14763" spans="8:9">
      <c r="H14763" s="1092"/>
      <c r="I14763" s="1092"/>
    </row>
    <row r="14764" spans="8:9">
      <c r="H14764" s="1092"/>
      <c r="I14764" s="1092"/>
    </row>
    <row r="14765" spans="8:9">
      <c r="H14765" s="1092"/>
      <c r="I14765" s="1092"/>
    </row>
    <row r="14766" spans="8:9">
      <c r="H14766" s="1092"/>
      <c r="I14766" s="1092"/>
    </row>
    <row r="14767" spans="8:9">
      <c r="H14767" s="1092"/>
      <c r="I14767" s="1092"/>
    </row>
    <row r="14768" spans="8:9">
      <c r="H14768" s="1092"/>
      <c r="I14768" s="1092"/>
    </row>
    <row r="14769" spans="8:9">
      <c r="H14769" s="1092"/>
      <c r="I14769" s="1092"/>
    </row>
    <row r="14770" spans="8:9">
      <c r="H14770" s="1092"/>
      <c r="I14770" s="1092"/>
    </row>
    <row r="14771" spans="8:9">
      <c r="H14771" s="1092"/>
      <c r="I14771" s="1092"/>
    </row>
    <row r="14772" spans="8:9">
      <c r="H14772" s="1092"/>
      <c r="I14772" s="1092"/>
    </row>
    <row r="14773" spans="8:9">
      <c r="H14773" s="1092"/>
      <c r="I14773" s="1092"/>
    </row>
    <row r="14774" spans="8:9">
      <c r="H14774" s="1092"/>
      <c r="I14774" s="1092"/>
    </row>
    <row r="14775" spans="8:9">
      <c r="H14775" s="1092"/>
      <c r="I14775" s="1092"/>
    </row>
    <row r="14776" spans="8:9">
      <c r="H14776" s="1092"/>
      <c r="I14776" s="1092"/>
    </row>
    <row r="14777" spans="8:9">
      <c r="H14777" s="1092"/>
      <c r="I14777" s="1092"/>
    </row>
    <row r="14778" spans="8:9">
      <c r="H14778" s="1092"/>
      <c r="I14778" s="1092"/>
    </row>
    <row r="14779" spans="8:9">
      <c r="H14779" s="1092"/>
      <c r="I14779" s="1092"/>
    </row>
    <row r="14780" spans="8:9">
      <c r="H14780" s="1092"/>
      <c r="I14780" s="1092"/>
    </row>
    <row r="14781" spans="8:9">
      <c r="H14781" s="1092"/>
      <c r="I14781" s="1092"/>
    </row>
    <row r="14782" spans="8:9">
      <c r="H14782" s="1092"/>
      <c r="I14782" s="1092"/>
    </row>
    <row r="14783" spans="8:9">
      <c r="H14783" s="1092"/>
      <c r="I14783" s="1092"/>
    </row>
    <row r="14784" spans="8:9">
      <c r="H14784" s="1092"/>
      <c r="I14784" s="1092"/>
    </row>
    <row r="14785" spans="8:9">
      <c r="H14785" s="1092"/>
      <c r="I14785" s="1092"/>
    </row>
    <row r="14786" spans="8:9">
      <c r="H14786" s="1092"/>
      <c r="I14786" s="1092"/>
    </row>
    <row r="14787" spans="8:9">
      <c r="H14787" s="1092"/>
      <c r="I14787" s="1092"/>
    </row>
    <row r="14788" spans="8:9">
      <c r="H14788" s="1092"/>
      <c r="I14788" s="1092"/>
    </row>
    <row r="14789" spans="8:9">
      <c r="H14789" s="1092"/>
      <c r="I14789" s="1092"/>
    </row>
    <row r="14790" spans="8:9">
      <c r="H14790" s="1092"/>
      <c r="I14790" s="1092"/>
    </row>
    <row r="14791" spans="8:9">
      <c r="H14791" s="1092"/>
      <c r="I14791" s="1092"/>
    </row>
    <row r="14792" spans="8:9">
      <c r="H14792" s="1092"/>
      <c r="I14792" s="1092"/>
    </row>
    <row r="14793" spans="8:9">
      <c r="H14793" s="1092"/>
      <c r="I14793" s="1092"/>
    </row>
    <row r="14794" spans="8:9">
      <c r="H14794" s="1092"/>
      <c r="I14794" s="1092"/>
    </row>
    <row r="14795" spans="8:9">
      <c r="H14795" s="1092"/>
      <c r="I14795" s="1092"/>
    </row>
    <row r="14796" spans="8:9">
      <c r="H14796" s="1092"/>
      <c r="I14796" s="1092"/>
    </row>
    <row r="14797" spans="8:9">
      <c r="H14797" s="1092"/>
      <c r="I14797" s="1092"/>
    </row>
    <row r="14798" spans="8:9">
      <c r="H14798" s="1092"/>
      <c r="I14798" s="1092"/>
    </row>
    <row r="14799" spans="8:9">
      <c r="H14799" s="1092"/>
      <c r="I14799" s="1092"/>
    </row>
    <row r="14800" spans="8:9">
      <c r="H14800" s="1092"/>
      <c r="I14800" s="1092"/>
    </row>
    <row r="14801" spans="8:9">
      <c r="H14801" s="1092"/>
      <c r="I14801" s="1092"/>
    </row>
    <row r="14802" spans="8:9">
      <c r="H14802" s="1092"/>
      <c r="I14802" s="1092"/>
    </row>
    <row r="14803" spans="8:9">
      <c r="H14803" s="1092"/>
      <c r="I14803" s="1092"/>
    </row>
    <row r="14804" spans="8:9">
      <c r="H14804" s="1092"/>
      <c r="I14804" s="1092"/>
    </row>
    <row r="14805" spans="8:9">
      <c r="H14805" s="1092"/>
      <c r="I14805" s="1092"/>
    </row>
    <row r="14806" spans="8:9">
      <c r="H14806" s="1092"/>
      <c r="I14806" s="1092"/>
    </row>
    <row r="14807" spans="8:9">
      <c r="H14807" s="1092"/>
      <c r="I14807" s="1092"/>
    </row>
    <row r="14808" spans="8:9">
      <c r="H14808" s="1092"/>
      <c r="I14808" s="1092"/>
    </row>
    <row r="14809" spans="8:9">
      <c r="H14809" s="1092"/>
      <c r="I14809" s="1092"/>
    </row>
    <row r="14810" spans="8:9">
      <c r="H14810" s="1092"/>
      <c r="I14810" s="1092"/>
    </row>
    <row r="14811" spans="8:9">
      <c r="H14811" s="1092"/>
      <c r="I14811" s="1092"/>
    </row>
    <row r="14812" spans="8:9">
      <c r="H14812" s="1092"/>
      <c r="I14812" s="1092"/>
    </row>
    <row r="14813" spans="8:9">
      <c r="H14813" s="1092"/>
      <c r="I14813" s="1092"/>
    </row>
    <row r="14814" spans="8:9">
      <c r="H14814" s="1092"/>
      <c r="I14814" s="1092"/>
    </row>
    <row r="14815" spans="8:9">
      <c r="H14815" s="1092"/>
      <c r="I14815" s="1092"/>
    </row>
    <row r="14816" spans="8:9">
      <c r="H14816" s="1092"/>
      <c r="I14816" s="1092"/>
    </row>
    <row r="14817" spans="8:9">
      <c r="H14817" s="1092"/>
      <c r="I14817" s="1092"/>
    </row>
    <row r="14818" spans="8:9">
      <c r="H14818" s="1092"/>
      <c r="I14818" s="1092"/>
    </row>
    <row r="14819" spans="8:9">
      <c r="H14819" s="1092"/>
      <c r="I14819" s="1092"/>
    </row>
    <row r="14820" spans="8:9">
      <c r="H14820" s="1092"/>
      <c r="I14820" s="1092"/>
    </row>
    <row r="14821" spans="8:9">
      <c r="H14821" s="1092"/>
      <c r="I14821" s="1092"/>
    </row>
    <row r="14822" spans="8:9">
      <c r="H14822" s="1092"/>
      <c r="I14822" s="1092"/>
    </row>
    <row r="14823" spans="8:9">
      <c r="H14823" s="1092"/>
      <c r="I14823" s="1092"/>
    </row>
    <row r="14824" spans="8:9">
      <c r="H14824" s="1092"/>
      <c r="I14824" s="1092"/>
    </row>
    <row r="14825" spans="8:9">
      <c r="H14825" s="1092"/>
      <c r="I14825" s="1092"/>
    </row>
    <row r="14826" spans="8:9">
      <c r="H14826" s="1092"/>
      <c r="I14826" s="1092"/>
    </row>
    <row r="14827" spans="8:9">
      <c r="H14827" s="1092"/>
      <c r="I14827" s="1092"/>
    </row>
    <row r="14828" spans="8:9">
      <c r="H14828" s="1092"/>
      <c r="I14828" s="1092"/>
    </row>
    <row r="14829" spans="8:9">
      <c r="H14829" s="1092"/>
      <c r="I14829" s="1092"/>
    </row>
    <row r="14830" spans="8:9">
      <c r="H14830" s="1092"/>
      <c r="I14830" s="1092"/>
    </row>
    <row r="14831" spans="8:9">
      <c r="H14831" s="1092"/>
      <c r="I14831" s="1092"/>
    </row>
    <row r="14832" spans="8:9">
      <c r="H14832" s="1092"/>
      <c r="I14832" s="1092"/>
    </row>
    <row r="14833" spans="8:9">
      <c r="H14833" s="1092"/>
      <c r="I14833" s="1092"/>
    </row>
    <row r="14834" spans="8:9">
      <c r="H14834" s="1092"/>
      <c r="I14834" s="1092"/>
    </row>
    <row r="14835" spans="8:9">
      <c r="H14835" s="1092"/>
      <c r="I14835" s="1092"/>
    </row>
    <row r="14836" spans="8:9">
      <c r="H14836" s="1092"/>
      <c r="I14836" s="1092"/>
    </row>
    <row r="14837" spans="8:9">
      <c r="H14837" s="1092"/>
      <c r="I14837" s="1092"/>
    </row>
    <row r="14838" spans="8:9">
      <c r="H14838" s="1092"/>
      <c r="I14838" s="1092"/>
    </row>
    <row r="14839" spans="8:9">
      <c r="H14839" s="1092"/>
      <c r="I14839" s="1092"/>
    </row>
    <row r="14840" spans="8:9">
      <c r="H14840" s="1092"/>
      <c r="I14840" s="1092"/>
    </row>
    <row r="14841" spans="8:9">
      <c r="H14841" s="1092"/>
      <c r="I14841" s="1092"/>
    </row>
    <row r="14842" spans="8:9">
      <c r="H14842" s="1092"/>
      <c r="I14842" s="1092"/>
    </row>
    <row r="14843" spans="8:9">
      <c r="H14843" s="1092"/>
      <c r="I14843" s="1092"/>
    </row>
    <row r="14844" spans="8:9">
      <c r="H14844" s="1092"/>
      <c r="I14844" s="1092"/>
    </row>
    <row r="14845" spans="8:9">
      <c r="H14845" s="1092"/>
      <c r="I14845" s="1092"/>
    </row>
    <row r="14846" spans="8:9">
      <c r="H14846" s="1092"/>
      <c r="I14846" s="1092"/>
    </row>
    <row r="14847" spans="8:9">
      <c r="H14847" s="1092"/>
      <c r="I14847" s="1092"/>
    </row>
    <row r="14848" spans="8:9">
      <c r="H14848" s="1092"/>
      <c r="I14848" s="1092"/>
    </row>
    <row r="14849" spans="8:9">
      <c r="H14849" s="1092"/>
      <c r="I14849" s="1092"/>
    </row>
    <row r="14850" spans="8:9">
      <c r="H14850" s="1092"/>
      <c r="I14850" s="1092"/>
    </row>
    <row r="14851" spans="8:9">
      <c r="H14851" s="1092"/>
      <c r="I14851" s="1092"/>
    </row>
    <row r="14852" spans="8:9">
      <c r="H14852" s="1092"/>
      <c r="I14852" s="1092"/>
    </row>
    <row r="14853" spans="8:9">
      <c r="H14853" s="1092"/>
      <c r="I14853" s="1092"/>
    </row>
    <row r="14854" spans="8:9">
      <c r="H14854" s="1092"/>
      <c r="I14854" s="1092"/>
    </row>
    <row r="14855" spans="8:9">
      <c r="H14855" s="1092"/>
      <c r="I14855" s="1092"/>
    </row>
    <row r="14856" spans="8:9">
      <c r="H14856" s="1092"/>
      <c r="I14856" s="1092"/>
    </row>
    <row r="14857" spans="8:9">
      <c r="H14857" s="1092"/>
      <c r="I14857" s="1092"/>
    </row>
    <row r="14858" spans="8:9">
      <c r="H14858" s="1092"/>
      <c r="I14858" s="1092"/>
    </row>
    <row r="14859" spans="8:9">
      <c r="H14859" s="1092"/>
      <c r="I14859" s="1092"/>
    </row>
    <row r="14860" spans="8:9">
      <c r="H14860" s="1092"/>
      <c r="I14860" s="1092"/>
    </row>
    <row r="14861" spans="8:9">
      <c r="H14861" s="1092"/>
      <c r="I14861" s="1092"/>
    </row>
    <row r="14862" spans="8:9">
      <c r="H14862" s="1092"/>
      <c r="I14862" s="1092"/>
    </row>
    <row r="14863" spans="8:9">
      <c r="H14863" s="1092"/>
      <c r="I14863" s="1092"/>
    </row>
    <row r="14864" spans="8:9">
      <c r="H14864" s="1092"/>
      <c r="I14864" s="1092"/>
    </row>
    <row r="14865" spans="8:9">
      <c r="H14865" s="1092"/>
      <c r="I14865" s="1092"/>
    </row>
    <row r="14866" spans="8:9">
      <c r="H14866" s="1092"/>
      <c r="I14866" s="1092"/>
    </row>
    <row r="14867" spans="8:9">
      <c r="H14867" s="1092"/>
      <c r="I14867" s="1092"/>
    </row>
    <row r="14868" spans="8:9">
      <c r="H14868" s="1092"/>
      <c r="I14868" s="1092"/>
    </row>
    <row r="14869" spans="8:9">
      <c r="H14869" s="1092"/>
      <c r="I14869" s="1092"/>
    </row>
    <row r="14870" spans="8:9">
      <c r="H14870" s="1092"/>
      <c r="I14870" s="1092"/>
    </row>
    <row r="14871" spans="8:9">
      <c r="H14871" s="1092"/>
      <c r="I14871" s="1092"/>
    </row>
    <row r="14872" spans="8:9">
      <c r="H14872" s="1092"/>
      <c r="I14872" s="1092"/>
    </row>
    <row r="14873" spans="8:9">
      <c r="H14873" s="1092"/>
      <c r="I14873" s="1092"/>
    </row>
    <row r="14874" spans="8:9">
      <c r="H14874" s="1092"/>
      <c r="I14874" s="1092"/>
    </row>
    <row r="14875" spans="8:9">
      <c r="H14875" s="1092"/>
      <c r="I14875" s="1092"/>
    </row>
    <row r="14876" spans="8:9">
      <c r="H14876" s="1092"/>
      <c r="I14876" s="1092"/>
    </row>
    <row r="14877" spans="8:9">
      <c r="H14877" s="1092"/>
      <c r="I14877" s="1092"/>
    </row>
    <row r="14878" spans="8:9">
      <c r="H14878" s="1092"/>
      <c r="I14878" s="1092"/>
    </row>
    <row r="14879" spans="8:9">
      <c r="H14879" s="1092"/>
      <c r="I14879" s="1092"/>
    </row>
    <row r="14880" spans="8:9">
      <c r="H14880" s="1092"/>
      <c r="I14880" s="1092"/>
    </row>
    <row r="14881" spans="8:9">
      <c r="H14881" s="1092"/>
      <c r="I14881" s="1092"/>
    </row>
    <row r="14882" spans="8:9">
      <c r="H14882" s="1092"/>
      <c r="I14882" s="1092"/>
    </row>
    <row r="14883" spans="8:9">
      <c r="H14883" s="1092"/>
      <c r="I14883" s="1092"/>
    </row>
    <row r="14884" spans="8:9">
      <c r="H14884" s="1092"/>
      <c r="I14884" s="1092"/>
    </row>
    <row r="14885" spans="8:9">
      <c r="H14885" s="1092"/>
      <c r="I14885" s="1092"/>
    </row>
    <row r="14886" spans="8:9">
      <c r="H14886" s="1092"/>
      <c r="I14886" s="1092"/>
    </row>
    <row r="14887" spans="8:9">
      <c r="H14887" s="1092"/>
      <c r="I14887" s="1092"/>
    </row>
    <row r="14888" spans="8:9">
      <c r="H14888" s="1092"/>
      <c r="I14888" s="1092"/>
    </row>
    <row r="14889" spans="8:9">
      <c r="H14889" s="1092"/>
      <c r="I14889" s="1092"/>
    </row>
    <row r="14890" spans="8:9">
      <c r="H14890" s="1092"/>
      <c r="I14890" s="1092"/>
    </row>
    <row r="14891" spans="8:9">
      <c r="H14891" s="1092"/>
      <c r="I14891" s="1092"/>
    </row>
    <row r="14892" spans="8:9">
      <c r="H14892" s="1092"/>
      <c r="I14892" s="1092"/>
    </row>
    <row r="14893" spans="8:9">
      <c r="H14893" s="1092"/>
      <c r="I14893" s="1092"/>
    </row>
    <row r="14894" spans="8:9">
      <c r="H14894" s="1092"/>
      <c r="I14894" s="1092"/>
    </row>
    <row r="14895" spans="8:9">
      <c r="H14895" s="1092"/>
      <c r="I14895" s="1092"/>
    </row>
    <row r="14896" spans="8:9">
      <c r="H14896" s="1092"/>
      <c r="I14896" s="1092"/>
    </row>
    <row r="14897" spans="8:9">
      <c r="H14897" s="1092"/>
      <c r="I14897" s="1092"/>
    </row>
    <row r="14898" spans="8:9">
      <c r="H14898" s="1092"/>
      <c r="I14898" s="1092"/>
    </row>
    <row r="14899" spans="8:9">
      <c r="H14899" s="1092"/>
      <c r="I14899" s="1092"/>
    </row>
    <row r="14900" spans="8:9">
      <c r="H14900" s="1092"/>
      <c r="I14900" s="1092"/>
    </row>
    <row r="14901" spans="8:9">
      <c r="H14901" s="1092"/>
      <c r="I14901" s="1092"/>
    </row>
    <row r="14902" spans="8:9">
      <c r="H14902" s="1092"/>
      <c r="I14902" s="1092"/>
    </row>
    <row r="14903" spans="8:9">
      <c r="H14903" s="1092"/>
      <c r="I14903" s="1092"/>
    </row>
    <row r="14904" spans="8:9">
      <c r="H14904" s="1092"/>
      <c r="I14904" s="1092"/>
    </row>
    <row r="14905" spans="8:9">
      <c r="H14905" s="1092"/>
      <c r="I14905" s="1092"/>
    </row>
    <row r="14906" spans="8:9">
      <c r="H14906" s="1092"/>
      <c r="I14906" s="1092"/>
    </row>
    <row r="14907" spans="8:9">
      <c r="H14907" s="1092"/>
      <c r="I14907" s="1092"/>
    </row>
    <row r="14908" spans="8:9">
      <c r="H14908" s="1092"/>
      <c r="I14908" s="1092"/>
    </row>
    <row r="14909" spans="8:9">
      <c r="H14909" s="1092"/>
      <c r="I14909" s="1092"/>
    </row>
    <row r="14910" spans="8:9">
      <c r="H14910" s="1092"/>
      <c r="I14910" s="1092"/>
    </row>
    <row r="14911" spans="8:9">
      <c r="H14911" s="1092"/>
      <c r="I14911" s="1092"/>
    </row>
    <row r="14912" spans="8:9">
      <c r="H14912" s="1092"/>
      <c r="I14912" s="1092"/>
    </row>
    <row r="14913" spans="8:9">
      <c r="H14913" s="1092"/>
      <c r="I14913" s="1092"/>
    </row>
    <row r="14914" spans="8:9">
      <c r="H14914" s="1092"/>
      <c r="I14914" s="1092"/>
    </row>
    <row r="14915" spans="8:9">
      <c r="H14915" s="1092"/>
      <c r="I14915" s="1092"/>
    </row>
    <row r="14916" spans="8:9">
      <c r="H14916" s="1092"/>
      <c r="I14916" s="1092"/>
    </row>
    <row r="14917" spans="8:9">
      <c r="H14917" s="1092"/>
      <c r="I14917" s="1092"/>
    </row>
    <row r="14918" spans="8:9">
      <c r="H14918" s="1092"/>
      <c r="I14918" s="1092"/>
    </row>
    <row r="14919" spans="8:9">
      <c r="H14919" s="1092"/>
      <c r="I14919" s="1092"/>
    </row>
    <row r="14920" spans="8:9">
      <c r="H14920" s="1092"/>
      <c r="I14920" s="1092"/>
    </row>
    <row r="14921" spans="8:9">
      <c r="H14921" s="1092"/>
      <c r="I14921" s="1092"/>
    </row>
    <row r="14922" spans="8:9">
      <c r="H14922" s="1092"/>
      <c r="I14922" s="1092"/>
    </row>
    <row r="14923" spans="8:9">
      <c r="H14923" s="1092"/>
      <c r="I14923" s="1092"/>
    </row>
    <row r="14924" spans="8:9">
      <c r="H14924" s="1092"/>
      <c r="I14924" s="1092"/>
    </row>
    <row r="14925" spans="8:9">
      <c r="H14925" s="1092"/>
      <c r="I14925" s="1092"/>
    </row>
    <row r="14926" spans="8:9">
      <c r="H14926" s="1092"/>
      <c r="I14926" s="1092"/>
    </row>
    <row r="14927" spans="8:9">
      <c r="H14927" s="1092"/>
      <c r="I14927" s="1092"/>
    </row>
    <row r="14928" spans="8:9">
      <c r="H14928" s="1092"/>
      <c r="I14928" s="1092"/>
    </row>
    <row r="14929" spans="8:9">
      <c r="H14929" s="1092"/>
      <c r="I14929" s="1092"/>
    </row>
    <row r="14930" spans="8:9">
      <c r="H14930" s="1092"/>
      <c r="I14930" s="1092"/>
    </row>
    <row r="14931" spans="8:9">
      <c r="H14931" s="1092"/>
      <c r="I14931" s="1092"/>
    </row>
    <row r="14932" spans="8:9">
      <c r="H14932" s="1092"/>
      <c r="I14932" s="1092"/>
    </row>
    <row r="14933" spans="8:9">
      <c r="H14933" s="1092"/>
      <c r="I14933" s="1092"/>
    </row>
    <row r="14934" spans="8:9">
      <c r="H14934" s="1092"/>
      <c r="I14934" s="1092"/>
    </row>
    <row r="14935" spans="8:9">
      <c r="H14935" s="1092"/>
      <c r="I14935" s="1092"/>
    </row>
    <row r="14936" spans="8:9">
      <c r="H14936" s="1092"/>
      <c r="I14936" s="1092"/>
    </row>
    <row r="14937" spans="8:9">
      <c r="H14937" s="1092"/>
      <c r="I14937" s="1092"/>
    </row>
    <row r="14938" spans="8:9">
      <c r="H14938" s="1092"/>
      <c r="I14938" s="1092"/>
    </row>
    <row r="14939" spans="8:9">
      <c r="H14939" s="1092"/>
      <c r="I14939" s="1092"/>
    </row>
    <row r="14940" spans="8:9">
      <c r="H14940" s="1092"/>
      <c r="I14940" s="1092"/>
    </row>
    <row r="14941" spans="8:9">
      <c r="H14941" s="1092"/>
      <c r="I14941" s="1092"/>
    </row>
    <row r="14942" spans="8:9">
      <c r="H14942" s="1092"/>
      <c r="I14942" s="1092"/>
    </row>
    <row r="14943" spans="8:9">
      <c r="H14943" s="1092"/>
      <c r="I14943" s="1092"/>
    </row>
    <row r="14944" spans="8:9">
      <c r="H14944" s="1092"/>
      <c r="I14944" s="1092"/>
    </row>
    <row r="14945" spans="8:9">
      <c r="H14945" s="1092"/>
      <c r="I14945" s="1092"/>
    </row>
    <row r="14946" spans="8:9">
      <c r="H14946" s="1092"/>
      <c r="I14946" s="1092"/>
    </row>
    <row r="14947" spans="8:9">
      <c r="H14947" s="1092"/>
      <c r="I14947" s="1092"/>
    </row>
    <row r="14948" spans="8:9">
      <c r="H14948" s="1092"/>
      <c r="I14948" s="1092"/>
    </row>
    <row r="14949" spans="8:9">
      <c r="H14949" s="1092"/>
      <c r="I14949" s="1092"/>
    </row>
    <row r="14950" spans="8:9">
      <c r="H14950" s="1092"/>
      <c r="I14950" s="1092"/>
    </row>
    <row r="14951" spans="8:9">
      <c r="H14951" s="1092"/>
      <c r="I14951" s="1092"/>
    </row>
    <row r="14952" spans="8:9">
      <c r="H14952" s="1092"/>
      <c r="I14952" s="1092"/>
    </row>
    <row r="14953" spans="8:9">
      <c r="H14953" s="1092"/>
      <c r="I14953" s="1092"/>
    </row>
    <row r="14954" spans="8:9">
      <c r="H14954" s="1092"/>
      <c r="I14954" s="1092"/>
    </row>
    <row r="14955" spans="8:9">
      <c r="H14955" s="1092"/>
      <c r="I14955" s="1092"/>
    </row>
    <row r="14956" spans="8:9">
      <c r="H14956" s="1092"/>
      <c r="I14956" s="1092"/>
    </row>
    <row r="14957" spans="8:9">
      <c r="H14957" s="1092"/>
      <c r="I14957" s="1092"/>
    </row>
    <row r="14958" spans="8:9">
      <c r="H14958" s="1092"/>
      <c r="I14958" s="1092"/>
    </row>
    <row r="14959" spans="8:9">
      <c r="H14959" s="1092"/>
      <c r="I14959" s="1092"/>
    </row>
    <row r="14960" spans="8:9">
      <c r="H14960" s="1092"/>
      <c r="I14960" s="1092"/>
    </row>
    <row r="14961" spans="8:9">
      <c r="H14961" s="1092"/>
      <c r="I14961" s="1092"/>
    </row>
    <row r="14962" spans="8:9">
      <c r="H14962" s="1092"/>
      <c r="I14962" s="1092"/>
    </row>
    <row r="14963" spans="8:9">
      <c r="H14963" s="1092"/>
      <c r="I14963" s="1092"/>
    </row>
    <row r="14964" spans="8:9">
      <c r="H14964" s="1092"/>
      <c r="I14964" s="1092"/>
    </row>
    <row r="14965" spans="8:9">
      <c r="H14965" s="1092"/>
      <c r="I14965" s="1092"/>
    </row>
    <row r="14966" spans="8:9">
      <c r="H14966" s="1092"/>
      <c r="I14966" s="1092"/>
    </row>
    <row r="14967" spans="8:9">
      <c r="H14967" s="1092"/>
      <c r="I14967" s="1092"/>
    </row>
    <row r="14968" spans="8:9">
      <c r="H14968" s="1092"/>
      <c r="I14968" s="1092"/>
    </row>
    <row r="14969" spans="8:9">
      <c r="H14969" s="1092"/>
      <c r="I14969" s="1092"/>
    </row>
    <row r="14970" spans="8:9">
      <c r="H14970" s="1092"/>
      <c r="I14970" s="1092"/>
    </row>
    <row r="14971" spans="8:9">
      <c r="H14971" s="1092"/>
      <c r="I14971" s="1092"/>
    </row>
    <row r="14972" spans="8:9">
      <c r="H14972" s="1092"/>
      <c r="I14972" s="1092"/>
    </row>
    <row r="14973" spans="8:9">
      <c r="H14973" s="1092"/>
      <c r="I14973" s="1092"/>
    </row>
    <row r="14974" spans="8:9">
      <c r="H14974" s="1092"/>
      <c r="I14974" s="1092"/>
    </row>
    <row r="14975" spans="8:9">
      <c r="H14975" s="1092"/>
      <c r="I14975" s="1092"/>
    </row>
    <row r="14976" spans="8:9">
      <c r="H14976" s="1092"/>
      <c r="I14976" s="1092"/>
    </row>
    <row r="14977" spans="8:9">
      <c r="H14977" s="1092"/>
      <c r="I14977" s="1092"/>
    </row>
    <row r="14978" spans="8:9">
      <c r="H14978" s="1092"/>
      <c r="I14978" s="1092"/>
    </row>
    <row r="14979" spans="8:9">
      <c r="H14979" s="1092"/>
      <c r="I14979" s="1092"/>
    </row>
    <row r="14980" spans="8:9">
      <c r="H14980" s="1092"/>
      <c r="I14980" s="1092"/>
    </row>
    <row r="14981" spans="8:9">
      <c r="H14981" s="1092"/>
      <c r="I14981" s="1092"/>
    </row>
    <row r="14982" spans="8:9">
      <c r="H14982" s="1092"/>
      <c r="I14982" s="1092"/>
    </row>
    <row r="14983" spans="8:9">
      <c r="H14983" s="1092"/>
      <c r="I14983" s="1092"/>
    </row>
    <row r="14984" spans="8:9">
      <c r="H14984" s="1092"/>
      <c r="I14984" s="1092"/>
    </row>
    <row r="14985" spans="8:9">
      <c r="H14985" s="1092"/>
      <c r="I14985" s="1092"/>
    </row>
    <row r="14986" spans="8:9">
      <c r="H14986" s="1092"/>
      <c r="I14986" s="1092"/>
    </row>
    <row r="14987" spans="8:9">
      <c r="H14987" s="1092"/>
      <c r="I14987" s="1092"/>
    </row>
    <row r="14988" spans="8:9">
      <c r="H14988" s="1092"/>
      <c r="I14988" s="1092"/>
    </row>
    <row r="14989" spans="8:9">
      <c r="H14989" s="1092"/>
      <c r="I14989" s="1092"/>
    </row>
    <row r="14990" spans="8:9">
      <c r="H14990" s="1092"/>
      <c r="I14990" s="1092"/>
    </row>
    <row r="14991" spans="8:9">
      <c r="H14991" s="1092"/>
      <c r="I14991" s="1092"/>
    </row>
    <row r="14992" spans="8:9">
      <c r="H14992" s="1092"/>
      <c r="I14992" s="1092"/>
    </row>
    <row r="14993" spans="8:9">
      <c r="H14993" s="1092"/>
      <c r="I14993" s="1092"/>
    </row>
    <row r="14994" spans="8:9">
      <c r="H14994" s="1092"/>
      <c r="I14994" s="1092"/>
    </row>
    <row r="14995" spans="8:9">
      <c r="H14995" s="1092"/>
      <c r="I14995" s="1092"/>
    </row>
    <row r="14996" spans="8:9">
      <c r="H14996" s="1092"/>
      <c r="I14996" s="1092"/>
    </row>
    <row r="14997" spans="8:9">
      <c r="H14997" s="1092"/>
      <c r="I14997" s="1092"/>
    </row>
    <row r="14998" spans="8:9">
      <c r="H14998" s="1092"/>
      <c r="I14998" s="1092"/>
    </row>
    <row r="14999" spans="8:9">
      <c r="H14999" s="1092"/>
      <c r="I14999" s="1092"/>
    </row>
    <row r="15000" spans="8:9">
      <c r="H15000" s="1092"/>
      <c r="I15000" s="1092"/>
    </row>
    <row r="15001" spans="8:9">
      <c r="H15001" s="1092"/>
      <c r="I15001" s="1092"/>
    </row>
    <row r="15002" spans="8:9">
      <c r="H15002" s="1092"/>
      <c r="I15002" s="1092"/>
    </row>
    <row r="15003" spans="8:9">
      <c r="H15003" s="1092"/>
      <c r="I15003" s="1092"/>
    </row>
    <row r="15004" spans="8:9">
      <c r="H15004" s="1092"/>
      <c r="I15004" s="1092"/>
    </row>
    <row r="15005" spans="8:9">
      <c r="H15005" s="1092"/>
      <c r="I15005" s="1092"/>
    </row>
    <row r="15006" spans="8:9">
      <c r="H15006" s="1092"/>
      <c r="I15006" s="1092"/>
    </row>
    <row r="15007" spans="8:9">
      <c r="H15007" s="1092"/>
      <c r="I15007" s="1092"/>
    </row>
    <row r="15008" spans="8:9">
      <c r="H15008" s="1092"/>
      <c r="I15008" s="1092"/>
    </row>
    <row r="15009" spans="8:9">
      <c r="H15009" s="1092"/>
      <c r="I15009" s="1092"/>
    </row>
    <row r="15010" spans="8:9">
      <c r="H15010" s="1092"/>
      <c r="I15010" s="1092"/>
    </row>
    <row r="15011" spans="8:9">
      <c r="H15011" s="1092"/>
      <c r="I15011" s="1092"/>
    </row>
    <row r="15012" spans="8:9">
      <c r="H15012" s="1092"/>
      <c r="I15012" s="1092"/>
    </row>
    <row r="15013" spans="8:9">
      <c r="H15013" s="1092"/>
      <c r="I15013" s="1092"/>
    </row>
    <row r="15014" spans="8:9">
      <c r="H15014" s="1092"/>
      <c r="I15014" s="1092"/>
    </row>
    <row r="15015" spans="8:9">
      <c r="H15015" s="1092"/>
      <c r="I15015" s="1092"/>
    </row>
    <row r="15016" spans="8:9">
      <c r="H15016" s="1092"/>
      <c r="I15016" s="1092"/>
    </row>
    <row r="15017" spans="8:9">
      <c r="H15017" s="1092"/>
      <c r="I15017" s="1092"/>
    </row>
    <row r="15018" spans="8:9">
      <c r="H15018" s="1092"/>
      <c r="I15018" s="1092"/>
    </row>
    <row r="15019" spans="8:9">
      <c r="H15019" s="1092"/>
      <c r="I15019" s="1092"/>
    </row>
    <row r="15020" spans="8:9">
      <c r="H15020" s="1092"/>
      <c r="I15020" s="1092"/>
    </row>
    <row r="15021" spans="8:9">
      <c r="H15021" s="1092"/>
      <c r="I15021" s="1092"/>
    </row>
    <row r="15022" spans="8:9">
      <c r="H15022" s="1092"/>
      <c r="I15022" s="1092"/>
    </row>
    <row r="15023" spans="8:9">
      <c r="H15023" s="1092"/>
      <c r="I15023" s="1092"/>
    </row>
    <row r="15024" spans="8:9">
      <c r="H15024" s="1092"/>
      <c r="I15024" s="1092"/>
    </row>
    <row r="15025" spans="8:9">
      <c r="H15025" s="1092"/>
      <c r="I15025" s="1092"/>
    </row>
    <row r="15026" spans="8:9">
      <c r="H15026" s="1092"/>
      <c r="I15026" s="1092"/>
    </row>
    <row r="15027" spans="8:9">
      <c r="H15027" s="1092"/>
      <c r="I15027" s="1092"/>
    </row>
    <row r="15028" spans="8:9">
      <c r="H15028" s="1092"/>
      <c r="I15028" s="1092"/>
    </row>
    <row r="15029" spans="8:9">
      <c r="H15029" s="1092"/>
      <c r="I15029" s="1092"/>
    </row>
    <row r="15030" spans="8:9">
      <c r="H15030" s="1092"/>
      <c r="I15030" s="1092"/>
    </row>
    <row r="15031" spans="8:9">
      <c r="H15031" s="1092"/>
      <c r="I15031" s="1092"/>
    </row>
    <row r="15032" spans="8:9">
      <c r="H15032" s="1092"/>
      <c r="I15032" s="1092"/>
    </row>
    <row r="15033" spans="8:9">
      <c r="H15033" s="1092"/>
      <c r="I15033" s="1092"/>
    </row>
    <row r="15034" spans="8:9">
      <c r="H15034" s="1092"/>
      <c r="I15034" s="1092"/>
    </row>
    <row r="15035" spans="8:9">
      <c r="H15035" s="1092"/>
      <c r="I15035" s="1092"/>
    </row>
    <row r="15036" spans="8:9">
      <c r="H15036" s="1092"/>
      <c r="I15036" s="1092"/>
    </row>
    <row r="15037" spans="8:9">
      <c r="H15037" s="1092"/>
      <c r="I15037" s="1092"/>
    </row>
    <row r="15038" spans="8:9">
      <c r="H15038" s="1092"/>
      <c r="I15038" s="1092"/>
    </row>
    <row r="15039" spans="8:9">
      <c r="H15039" s="1092"/>
      <c r="I15039" s="1092"/>
    </row>
    <row r="15040" spans="8:9">
      <c r="H15040" s="1092"/>
      <c r="I15040" s="1092"/>
    </row>
    <row r="15041" spans="8:9">
      <c r="H15041" s="1092"/>
      <c r="I15041" s="1092"/>
    </row>
    <row r="15042" spans="8:9">
      <c r="H15042" s="1092"/>
      <c r="I15042" s="1092"/>
    </row>
    <row r="15043" spans="8:9">
      <c r="H15043" s="1092"/>
      <c r="I15043" s="1092"/>
    </row>
    <row r="15044" spans="8:9">
      <c r="H15044" s="1092"/>
      <c r="I15044" s="1092"/>
    </row>
    <row r="15045" spans="8:9">
      <c r="H15045" s="1092"/>
      <c r="I15045" s="1092"/>
    </row>
    <row r="15046" spans="8:9">
      <c r="H15046" s="1092"/>
      <c r="I15046" s="1092"/>
    </row>
    <row r="15047" spans="8:9">
      <c r="H15047" s="1092"/>
      <c r="I15047" s="1092"/>
    </row>
    <row r="15048" spans="8:9">
      <c r="H15048" s="1092"/>
      <c r="I15048" s="1092"/>
    </row>
    <row r="15049" spans="8:9">
      <c r="H15049" s="1092"/>
      <c r="I15049" s="1092"/>
    </row>
    <row r="15050" spans="8:9">
      <c r="H15050" s="1092"/>
      <c r="I15050" s="1092"/>
    </row>
    <row r="15051" spans="8:9">
      <c r="H15051" s="1092"/>
      <c r="I15051" s="1092"/>
    </row>
    <row r="15052" spans="8:9">
      <c r="H15052" s="1092"/>
      <c r="I15052" s="1092"/>
    </row>
    <row r="15053" spans="8:9">
      <c r="H15053" s="1092"/>
      <c r="I15053" s="1092"/>
    </row>
    <row r="15054" spans="8:9">
      <c r="H15054" s="1092"/>
      <c r="I15054" s="1092"/>
    </row>
    <row r="15055" spans="8:9">
      <c r="H15055" s="1092"/>
      <c r="I15055" s="1092"/>
    </row>
    <row r="15056" spans="8:9">
      <c r="H15056" s="1092"/>
      <c r="I15056" s="1092"/>
    </row>
    <row r="15057" spans="8:9">
      <c r="H15057" s="1092"/>
      <c r="I15057" s="1092"/>
    </row>
    <row r="15058" spans="8:9">
      <c r="H15058" s="1092"/>
      <c r="I15058" s="1092"/>
    </row>
    <row r="15059" spans="8:9">
      <c r="H15059" s="1092"/>
      <c r="I15059" s="1092"/>
    </row>
    <row r="15060" spans="8:9">
      <c r="H15060" s="1092"/>
      <c r="I15060" s="1092"/>
    </row>
    <row r="15061" spans="8:9">
      <c r="H15061" s="1092"/>
      <c r="I15061" s="1092"/>
    </row>
    <row r="15062" spans="8:9">
      <c r="H15062" s="1092"/>
      <c r="I15062" s="1092"/>
    </row>
    <row r="15063" spans="8:9">
      <c r="H15063" s="1092"/>
      <c r="I15063" s="1092"/>
    </row>
    <row r="15064" spans="8:9">
      <c r="H15064" s="1092"/>
      <c r="I15064" s="1092"/>
    </row>
    <row r="15065" spans="8:9">
      <c r="H15065" s="1092"/>
      <c r="I15065" s="1092"/>
    </row>
    <row r="15066" spans="8:9">
      <c r="H15066" s="1092"/>
      <c r="I15066" s="1092"/>
    </row>
    <row r="15067" spans="8:9">
      <c r="H15067" s="1092"/>
      <c r="I15067" s="1092"/>
    </row>
    <row r="15068" spans="8:9">
      <c r="H15068" s="1092"/>
      <c r="I15068" s="1092"/>
    </row>
    <row r="15069" spans="8:9">
      <c r="H15069" s="1092"/>
      <c r="I15069" s="1092"/>
    </row>
    <row r="15070" spans="8:9">
      <c r="H15070" s="1092"/>
      <c r="I15070" s="1092"/>
    </row>
    <row r="15071" spans="8:9">
      <c r="H15071" s="1092"/>
      <c r="I15071" s="1092"/>
    </row>
    <row r="15072" spans="8:9">
      <c r="H15072" s="1092"/>
      <c r="I15072" s="1092"/>
    </row>
    <row r="15073" spans="8:9">
      <c r="H15073" s="1092"/>
      <c r="I15073" s="1092"/>
    </row>
    <row r="15074" spans="8:9">
      <c r="H15074" s="1092"/>
      <c r="I15074" s="1092"/>
    </row>
    <row r="15075" spans="8:9">
      <c r="H15075" s="1092"/>
      <c r="I15075" s="1092"/>
    </row>
    <row r="15076" spans="8:9">
      <c r="H15076" s="1092"/>
      <c r="I15076" s="1092"/>
    </row>
    <row r="15077" spans="8:9">
      <c r="H15077" s="1092"/>
      <c r="I15077" s="1092"/>
    </row>
    <row r="15078" spans="8:9">
      <c r="H15078" s="1092"/>
      <c r="I15078" s="1092"/>
    </row>
    <row r="15079" spans="8:9">
      <c r="H15079" s="1092"/>
      <c r="I15079" s="1092"/>
    </row>
    <row r="15080" spans="8:9">
      <c r="H15080" s="1092"/>
      <c r="I15080" s="1092"/>
    </row>
    <row r="15081" spans="8:9">
      <c r="H15081" s="1092"/>
      <c r="I15081" s="1092"/>
    </row>
    <row r="15082" spans="8:9">
      <c r="H15082" s="1092"/>
      <c r="I15082" s="1092"/>
    </row>
    <row r="15083" spans="8:9">
      <c r="H15083" s="1092"/>
      <c r="I15083" s="1092"/>
    </row>
    <row r="15084" spans="8:9">
      <c r="H15084" s="1092"/>
      <c r="I15084" s="1092"/>
    </row>
    <row r="15085" spans="8:9">
      <c r="H15085" s="1092"/>
      <c r="I15085" s="1092"/>
    </row>
    <row r="15086" spans="8:9">
      <c r="H15086" s="1092"/>
      <c r="I15086" s="1092"/>
    </row>
    <row r="15087" spans="8:9">
      <c r="H15087" s="1092"/>
      <c r="I15087" s="1092"/>
    </row>
    <row r="15088" spans="8:9">
      <c r="H15088" s="1092"/>
      <c r="I15088" s="1092"/>
    </row>
    <row r="15089" spans="8:9">
      <c r="H15089" s="1092"/>
      <c r="I15089" s="1092"/>
    </row>
    <row r="15090" spans="8:9">
      <c r="H15090" s="1092"/>
      <c r="I15090" s="1092"/>
    </row>
    <row r="15091" spans="8:9">
      <c r="H15091" s="1092"/>
      <c r="I15091" s="1092"/>
    </row>
    <row r="15092" spans="8:9">
      <c r="H15092" s="1092"/>
      <c r="I15092" s="1092"/>
    </row>
    <row r="15093" spans="8:9">
      <c r="H15093" s="1092"/>
      <c r="I15093" s="1092"/>
    </row>
    <row r="15094" spans="8:9">
      <c r="H15094" s="1092"/>
      <c r="I15094" s="1092"/>
    </row>
    <row r="15095" spans="8:9">
      <c r="H15095" s="1092"/>
      <c r="I15095" s="1092"/>
    </row>
    <row r="15096" spans="8:9">
      <c r="H15096" s="1092"/>
      <c r="I15096" s="1092"/>
    </row>
    <row r="15097" spans="8:9">
      <c r="H15097" s="1092"/>
      <c r="I15097" s="1092"/>
    </row>
    <row r="15098" spans="8:9">
      <c r="H15098" s="1092"/>
      <c r="I15098" s="1092"/>
    </row>
    <row r="15099" spans="8:9">
      <c r="H15099" s="1092"/>
      <c r="I15099" s="1092"/>
    </row>
    <row r="15100" spans="8:9">
      <c r="H15100" s="1092"/>
      <c r="I15100" s="1092"/>
    </row>
    <row r="15101" spans="8:9">
      <c r="H15101" s="1092"/>
      <c r="I15101" s="1092"/>
    </row>
    <row r="15102" spans="8:9">
      <c r="H15102" s="1092"/>
      <c r="I15102" s="1092"/>
    </row>
    <row r="15103" spans="8:9">
      <c r="H15103" s="1092"/>
      <c r="I15103" s="1092"/>
    </row>
    <row r="15104" spans="8:9">
      <c r="H15104" s="1092"/>
      <c r="I15104" s="1092"/>
    </row>
    <row r="15105" spans="8:9">
      <c r="H15105" s="1092"/>
      <c r="I15105" s="1092"/>
    </row>
    <row r="15106" spans="8:9">
      <c r="H15106" s="1092"/>
      <c r="I15106" s="1092"/>
    </row>
    <row r="15107" spans="8:9">
      <c r="H15107" s="1092"/>
      <c r="I15107" s="1092"/>
    </row>
    <row r="15108" spans="8:9">
      <c r="H15108" s="1092"/>
      <c r="I15108" s="1092"/>
    </row>
    <row r="15109" spans="8:9">
      <c r="H15109" s="1092"/>
      <c r="I15109" s="1092"/>
    </row>
    <row r="15110" spans="8:9">
      <c r="H15110" s="1092"/>
      <c r="I15110" s="1092"/>
    </row>
    <row r="15111" spans="8:9">
      <c r="H15111" s="1092"/>
      <c r="I15111" s="1092"/>
    </row>
    <row r="15112" spans="8:9">
      <c r="H15112" s="1092"/>
      <c r="I15112" s="1092"/>
    </row>
    <row r="15113" spans="8:9">
      <c r="H15113" s="1092"/>
      <c r="I15113" s="1092"/>
    </row>
    <row r="15114" spans="8:9">
      <c r="H15114" s="1092"/>
      <c r="I15114" s="1092"/>
    </row>
    <row r="15115" spans="8:9">
      <c r="H15115" s="1092"/>
      <c r="I15115" s="1092"/>
    </row>
    <row r="15116" spans="8:9">
      <c r="H15116" s="1092"/>
      <c r="I15116" s="1092"/>
    </row>
    <row r="15117" spans="8:9">
      <c r="H15117" s="1092"/>
      <c r="I15117" s="1092"/>
    </row>
    <row r="15118" spans="8:9">
      <c r="H15118" s="1092"/>
      <c r="I15118" s="1092"/>
    </row>
    <row r="15119" spans="8:9">
      <c r="H15119" s="1092"/>
      <c r="I15119" s="1092"/>
    </row>
    <row r="15120" spans="8:9">
      <c r="H15120" s="1092"/>
      <c r="I15120" s="1092"/>
    </row>
    <row r="15121" spans="8:9">
      <c r="H15121" s="1092"/>
      <c r="I15121" s="1092"/>
    </row>
    <row r="15122" spans="8:9">
      <c r="H15122" s="1092"/>
      <c r="I15122" s="1092"/>
    </row>
    <row r="15123" spans="8:9">
      <c r="H15123" s="1092"/>
      <c r="I15123" s="1092"/>
    </row>
    <row r="15124" spans="8:9">
      <c r="H15124" s="1092"/>
      <c r="I15124" s="1092"/>
    </row>
    <row r="15125" spans="8:9">
      <c r="H15125" s="1092"/>
      <c r="I15125" s="1092"/>
    </row>
    <row r="15126" spans="8:9">
      <c r="H15126" s="1092"/>
      <c r="I15126" s="1092"/>
    </row>
    <row r="15127" spans="8:9">
      <c r="H15127" s="1092"/>
      <c r="I15127" s="1092"/>
    </row>
    <row r="15128" spans="8:9">
      <c r="H15128" s="1092"/>
      <c r="I15128" s="1092"/>
    </row>
    <row r="15129" spans="8:9">
      <c r="H15129" s="1092"/>
      <c r="I15129" s="1092"/>
    </row>
    <row r="15130" spans="8:9">
      <c r="H15130" s="1092"/>
      <c r="I15130" s="1092"/>
    </row>
    <row r="15131" spans="8:9">
      <c r="H15131" s="1092"/>
      <c r="I15131" s="1092"/>
    </row>
    <row r="15132" spans="8:9">
      <c r="H15132" s="1092"/>
      <c r="I15132" s="1092"/>
    </row>
    <row r="15133" spans="8:9">
      <c r="H15133" s="1092"/>
      <c r="I15133" s="1092"/>
    </row>
    <row r="15134" spans="8:9">
      <c r="H15134" s="1092"/>
      <c r="I15134" s="1092"/>
    </row>
    <row r="15135" spans="8:9">
      <c r="H15135" s="1092"/>
      <c r="I15135" s="1092"/>
    </row>
    <row r="15136" spans="8:9">
      <c r="H15136" s="1092"/>
      <c r="I15136" s="1092"/>
    </row>
    <row r="15137" spans="8:9">
      <c r="H15137" s="1092"/>
      <c r="I15137" s="1092"/>
    </row>
    <row r="15138" spans="8:9">
      <c r="H15138" s="1092"/>
      <c r="I15138" s="1092"/>
    </row>
    <row r="15139" spans="8:9">
      <c r="H15139" s="1092"/>
      <c r="I15139" s="1092"/>
    </row>
    <row r="15140" spans="8:9">
      <c r="H15140" s="1092"/>
      <c r="I15140" s="1092"/>
    </row>
    <row r="15141" spans="8:9">
      <c r="H15141" s="1092"/>
      <c r="I15141" s="1092"/>
    </row>
    <row r="15142" spans="8:9">
      <c r="H15142" s="1092"/>
      <c r="I15142" s="1092"/>
    </row>
    <row r="15143" spans="8:9">
      <c r="H15143" s="1092"/>
      <c r="I15143" s="1092"/>
    </row>
    <row r="15144" spans="8:9">
      <c r="H15144" s="1092"/>
      <c r="I15144" s="1092"/>
    </row>
    <row r="15145" spans="8:9">
      <c r="H15145" s="1092"/>
      <c r="I15145" s="1092"/>
    </row>
    <row r="15146" spans="8:9">
      <c r="H15146" s="1092"/>
      <c r="I15146" s="1092"/>
    </row>
    <row r="15147" spans="8:9">
      <c r="H15147" s="1092"/>
      <c r="I15147" s="1092"/>
    </row>
    <row r="15148" spans="8:9">
      <c r="H15148" s="1092"/>
      <c r="I15148" s="1092"/>
    </row>
    <row r="15149" spans="8:9">
      <c r="H15149" s="1092"/>
      <c r="I15149" s="1092"/>
    </row>
    <row r="15150" spans="8:9">
      <c r="H15150" s="1092"/>
      <c r="I15150" s="1092"/>
    </row>
    <row r="15151" spans="8:9">
      <c r="H15151" s="1092"/>
      <c r="I15151" s="1092"/>
    </row>
    <row r="15152" spans="8:9">
      <c r="H15152" s="1092"/>
      <c r="I15152" s="1092"/>
    </row>
    <row r="15153" spans="8:9">
      <c r="H15153" s="1092"/>
      <c r="I15153" s="1092"/>
    </row>
    <row r="15154" spans="8:9">
      <c r="H15154" s="1092"/>
      <c r="I15154" s="1092"/>
    </row>
    <row r="15155" spans="8:9">
      <c r="H15155" s="1092"/>
      <c r="I15155" s="1092"/>
    </row>
    <row r="15156" spans="8:9">
      <c r="H15156" s="1092"/>
      <c r="I15156" s="1092"/>
    </row>
    <row r="15157" spans="8:9">
      <c r="H15157" s="1092"/>
      <c r="I15157" s="1092"/>
    </row>
    <row r="15158" spans="8:9">
      <c r="H15158" s="1092"/>
      <c r="I15158" s="1092"/>
    </row>
    <row r="15159" spans="8:9">
      <c r="H15159" s="1092"/>
      <c r="I15159" s="1092"/>
    </row>
    <row r="15160" spans="8:9">
      <c r="H15160" s="1092"/>
      <c r="I15160" s="1092"/>
    </row>
    <row r="15161" spans="8:9">
      <c r="H15161" s="1092"/>
      <c r="I15161" s="1092"/>
    </row>
    <row r="15162" spans="8:9">
      <c r="H15162" s="1092"/>
      <c r="I15162" s="1092"/>
    </row>
    <row r="15163" spans="8:9">
      <c r="H15163" s="1092"/>
      <c r="I15163" s="1092"/>
    </row>
    <row r="15164" spans="8:9">
      <c r="H15164" s="1092"/>
      <c r="I15164" s="1092"/>
    </row>
    <row r="15165" spans="8:9">
      <c r="H15165" s="1092"/>
      <c r="I15165" s="1092"/>
    </row>
    <row r="15166" spans="8:9">
      <c r="H15166" s="1092"/>
      <c r="I15166" s="1092"/>
    </row>
    <row r="15167" spans="8:9">
      <c r="H15167" s="1092"/>
      <c r="I15167" s="1092"/>
    </row>
    <row r="15168" spans="8:9">
      <c r="H15168" s="1092"/>
      <c r="I15168" s="1092"/>
    </row>
    <row r="15169" spans="8:9">
      <c r="H15169" s="1092"/>
      <c r="I15169" s="1092"/>
    </row>
    <row r="15170" spans="8:9">
      <c r="H15170" s="1092"/>
      <c r="I15170" s="1092"/>
    </row>
    <row r="15171" spans="8:9">
      <c r="H15171" s="1092"/>
      <c r="I15171" s="1092"/>
    </row>
    <row r="15172" spans="8:9">
      <c r="H15172" s="1092"/>
      <c r="I15172" s="1092"/>
    </row>
    <row r="15173" spans="8:9">
      <c r="H15173" s="1092"/>
      <c r="I15173" s="1092"/>
    </row>
    <row r="15174" spans="8:9">
      <c r="H15174" s="1092"/>
      <c r="I15174" s="1092"/>
    </row>
    <row r="15175" spans="8:9">
      <c r="H15175" s="1092"/>
      <c r="I15175" s="1092"/>
    </row>
    <row r="15176" spans="8:9">
      <c r="H15176" s="1092"/>
      <c r="I15176" s="1092"/>
    </row>
    <row r="15177" spans="8:9">
      <c r="H15177" s="1092"/>
      <c r="I15177" s="1092"/>
    </row>
    <row r="15178" spans="8:9">
      <c r="H15178" s="1092"/>
      <c r="I15178" s="1092"/>
    </row>
    <row r="15179" spans="8:9">
      <c r="H15179" s="1092"/>
      <c r="I15179" s="1092"/>
    </row>
    <row r="15180" spans="8:9">
      <c r="H15180" s="1092"/>
      <c r="I15180" s="1092"/>
    </row>
    <row r="15181" spans="8:9">
      <c r="H15181" s="1092"/>
      <c r="I15181" s="1092"/>
    </row>
    <row r="15182" spans="8:9">
      <c r="H15182" s="1092"/>
      <c r="I15182" s="1092"/>
    </row>
    <row r="15183" spans="8:9">
      <c r="H15183" s="1092"/>
      <c r="I15183" s="1092"/>
    </row>
    <row r="15184" spans="8:9">
      <c r="H15184" s="1092"/>
      <c r="I15184" s="1092"/>
    </row>
    <row r="15185" spans="8:9">
      <c r="H15185" s="1092"/>
      <c r="I15185" s="1092"/>
    </row>
    <row r="15186" spans="8:9">
      <c r="H15186" s="1092"/>
      <c r="I15186" s="1092"/>
    </row>
    <row r="15187" spans="8:9">
      <c r="H15187" s="1092"/>
      <c r="I15187" s="1092"/>
    </row>
    <row r="15188" spans="8:9">
      <c r="H15188" s="1092"/>
      <c r="I15188" s="1092"/>
    </row>
    <row r="15189" spans="8:9">
      <c r="H15189" s="1092"/>
      <c r="I15189" s="1092"/>
    </row>
    <row r="15190" spans="8:9">
      <c r="H15190" s="1092"/>
      <c r="I15190" s="1092"/>
    </row>
    <row r="15191" spans="8:9">
      <c r="H15191" s="1092"/>
      <c r="I15191" s="1092"/>
    </row>
    <row r="15192" spans="8:9">
      <c r="H15192" s="1092"/>
      <c r="I15192" s="1092"/>
    </row>
    <row r="15193" spans="8:9">
      <c r="H15193" s="1092"/>
      <c r="I15193" s="1092"/>
    </row>
    <row r="15194" spans="8:9">
      <c r="H15194" s="1092"/>
      <c r="I15194" s="1092"/>
    </row>
    <row r="15195" spans="8:9">
      <c r="H15195" s="1092"/>
      <c r="I15195" s="1092"/>
    </row>
    <row r="15196" spans="8:9">
      <c r="H15196" s="1092"/>
      <c r="I15196" s="1092"/>
    </row>
    <row r="15197" spans="8:9">
      <c r="H15197" s="1092"/>
      <c r="I15197" s="1092"/>
    </row>
    <row r="15198" spans="8:9">
      <c r="H15198" s="1092"/>
      <c r="I15198" s="1092"/>
    </row>
    <row r="15199" spans="8:9">
      <c r="H15199" s="1092"/>
      <c r="I15199" s="1092"/>
    </row>
    <row r="15200" spans="8:9">
      <c r="H15200" s="1092"/>
      <c r="I15200" s="1092"/>
    </row>
    <row r="15201" spans="8:9">
      <c r="H15201" s="1092"/>
      <c r="I15201" s="1092"/>
    </row>
    <row r="15202" spans="8:9">
      <c r="H15202" s="1092"/>
      <c r="I15202" s="1092"/>
    </row>
    <row r="15203" spans="8:9">
      <c r="H15203" s="1092"/>
      <c r="I15203" s="1092"/>
    </row>
    <row r="15204" spans="8:9">
      <c r="H15204" s="1092"/>
      <c r="I15204" s="1092"/>
    </row>
    <row r="15205" spans="8:9">
      <c r="H15205" s="1092"/>
      <c r="I15205" s="1092"/>
    </row>
    <row r="15206" spans="8:9">
      <c r="H15206" s="1092"/>
      <c r="I15206" s="1092"/>
    </row>
    <row r="15207" spans="8:9">
      <c r="H15207" s="1092"/>
      <c r="I15207" s="1092"/>
    </row>
    <row r="15208" spans="8:9">
      <c r="H15208" s="1092"/>
      <c r="I15208" s="1092"/>
    </row>
    <row r="15209" spans="8:9">
      <c r="H15209" s="1092"/>
      <c r="I15209" s="1092"/>
    </row>
    <row r="15210" spans="8:9">
      <c r="H15210" s="1092"/>
      <c r="I15210" s="1092"/>
    </row>
    <row r="15211" spans="8:9">
      <c r="H15211" s="1092"/>
      <c r="I15211" s="1092"/>
    </row>
    <row r="15212" spans="8:9">
      <c r="H15212" s="1092"/>
      <c r="I15212" s="1092"/>
    </row>
    <row r="15213" spans="8:9">
      <c r="H15213" s="1092"/>
      <c r="I15213" s="1092"/>
    </row>
    <row r="15214" spans="8:9">
      <c r="H15214" s="1092"/>
      <c r="I15214" s="1092"/>
    </row>
    <row r="15215" spans="8:9">
      <c r="H15215" s="1092"/>
      <c r="I15215" s="1092"/>
    </row>
    <row r="15216" spans="8:9">
      <c r="H15216" s="1092"/>
      <c r="I15216" s="1092"/>
    </row>
    <row r="15217" spans="8:9">
      <c r="H15217" s="1092"/>
      <c r="I15217" s="1092"/>
    </row>
    <row r="15218" spans="8:9">
      <c r="H15218" s="1092"/>
      <c r="I15218" s="1092"/>
    </row>
    <row r="15219" spans="8:9">
      <c r="H15219" s="1092"/>
      <c r="I15219" s="1092"/>
    </row>
    <row r="15220" spans="8:9">
      <c r="H15220" s="1092"/>
      <c r="I15220" s="1092"/>
    </row>
    <row r="15221" spans="8:9">
      <c r="H15221" s="1092"/>
      <c r="I15221" s="1092"/>
    </row>
    <row r="15222" spans="8:9">
      <c r="H15222" s="1092"/>
      <c r="I15222" s="1092"/>
    </row>
    <row r="15223" spans="8:9">
      <c r="H15223" s="1092"/>
      <c r="I15223" s="1092"/>
    </row>
    <row r="15224" spans="8:9">
      <c r="H15224" s="1092"/>
      <c r="I15224" s="1092"/>
    </row>
    <row r="15225" spans="8:9">
      <c r="H15225" s="1092"/>
      <c r="I15225" s="1092"/>
    </row>
    <row r="15226" spans="8:9">
      <c r="H15226" s="1092"/>
      <c r="I15226" s="1092"/>
    </row>
    <row r="15227" spans="8:9">
      <c r="H15227" s="1092"/>
      <c r="I15227" s="1092"/>
    </row>
    <row r="15228" spans="8:9">
      <c r="H15228" s="1092"/>
      <c r="I15228" s="1092"/>
    </row>
    <row r="15229" spans="8:9">
      <c r="H15229" s="1092"/>
      <c r="I15229" s="1092"/>
    </row>
    <row r="15230" spans="8:9">
      <c r="H15230" s="1092"/>
      <c r="I15230" s="1092"/>
    </row>
    <row r="15231" spans="8:9">
      <c r="H15231" s="1092"/>
      <c r="I15231" s="1092"/>
    </row>
    <row r="15232" spans="8:9">
      <c r="H15232" s="1092"/>
      <c r="I15232" s="1092"/>
    </row>
    <row r="15233" spans="8:9">
      <c r="H15233" s="1092"/>
      <c r="I15233" s="1092"/>
    </row>
    <row r="15234" spans="8:9">
      <c r="H15234" s="1092"/>
      <c r="I15234" s="1092"/>
    </row>
    <row r="15235" spans="8:9">
      <c r="H15235" s="1092"/>
      <c r="I15235" s="1092"/>
    </row>
    <row r="15236" spans="8:9">
      <c r="H15236" s="1092"/>
      <c r="I15236" s="1092"/>
    </row>
    <row r="15237" spans="8:9">
      <c r="H15237" s="1092"/>
      <c r="I15237" s="1092"/>
    </row>
    <row r="15238" spans="8:9">
      <c r="H15238" s="1092"/>
      <c r="I15238" s="1092"/>
    </row>
    <row r="15239" spans="8:9">
      <c r="H15239" s="1092"/>
      <c r="I15239" s="1092"/>
    </row>
    <row r="15240" spans="8:9">
      <c r="H15240" s="1092"/>
      <c r="I15240" s="1092"/>
    </row>
    <row r="15241" spans="8:9">
      <c r="H15241" s="1092"/>
      <c r="I15241" s="1092"/>
    </row>
    <row r="15242" spans="8:9">
      <c r="H15242" s="1092"/>
      <c r="I15242" s="1092"/>
    </row>
    <row r="15243" spans="8:9">
      <c r="H15243" s="1092"/>
      <c r="I15243" s="1092"/>
    </row>
    <row r="15244" spans="8:9">
      <c r="H15244" s="1092"/>
      <c r="I15244" s="1092"/>
    </row>
    <row r="15245" spans="8:9">
      <c r="H15245" s="1092"/>
      <c r="I15245" s="1092"/>
    </row>
    <row r="15246" spans="8:9">
      <c r="H15246" s="1092"/>
      <c r="I15246" s="1092"/>
    </row>
    <row r="15247" spans="8:9">
      <c r="H15247" s="1092"/>
      <c r="I15247" s="1092"/>
    </row>
    <row r="15248" spans="8:9">
      <c r="H15248" s="1092"/>
      <c r="I15248" s="1092"/>
    </row>
    <row r="15249" spans="8:9">
      <c r="H15249" s="1092"/>
      <c r="I15249" s="1092"/>
    </row>
    <row r="15250" spans="8:9">
      <c r="H15250" s="1092"/>
      <c r="I15250" s="1092"/>
    </row>
    <row r="15251" spans="8:9">
      <c r="H15251" s="1092"/>
      <c r="I15251" s="1092"/>
    </row>
    <row r="15252" spans="8:9">
      <c r="H15252" s="1092"/>
      <c r="I15252" s="1092"/>
    </row>
    <row r="15253" spans="8:9">
      <c r="H15253" s="1092"/>
      <c r="I15253" s="1092"/>
    </row>
    <row r="15254" spans="8:9">
      <c r="H15254" s="1092"/>
      <c r="I15254" s="1092"/>
    </row>
    <row r="15255" spans="8:9">
      <c r="H15255" s="1092"/>
      <c r="I15255" s="1092"/>
    </row>
    <row r="15256" spans="8:9">
      <c r="H15256" s="1092"/>
      <c r="I15256" s="1092"/>
    </row>
    <row r="15257" spans="8:9">
      <c r="H15257" s="1092"/>
      <c r="I15257" s="1092"/>
    </row>
    <row r="15258" spans="8:9">
      <c r="H15258" s="1092"/>
      <c r="I15258" s="1092"/>
    </row>
    <row r="15259" spans="8:9">
      <c r="H15259" s="1092"/>
      <c r="I15259" s="1092"/>
    </row>
    <row r="15260" spans="8:9">
      <c r="H15260" s="1092"/>
      <c r="I15260" s="1092"/>
    </row>
    <row r="15261" spans="8:9">
      <c r="H15261" s="1092"/>
      <c r="I15261" s="1092"/>
    </row>
    <row r="15262" spans="8:9">
      <c r="H15262" s="1092"/>
      <c r="I15262" s="1092"/>
    </row>
    <row r="15263" spans="8:9">
      <c r="H15263" s="1092"/>
      <c r="I15263" s="1092"/>
    </row>
    <row r="15264" spans="8:9">
      <c r="H15264" s="1092"/>
      <c r="I15264" s="1092"/>
    </row>
    <row r="15265" spans="8:9">
      <c r="H15265" s="1092"/>
      <c r="I15265" s="1092"/>
    </row>
    <row r="15266" spans="8:9">
      <c r="H15266" s="1092"/>
      <c r="I15266" s="1092"/>
    </row>
    <row r="15267" spans="8:9">
      <c r="H15267" s="1092"/>
      <c r="I15267" s="1092"/>
    </row>
    <row r="15268" spans="8:9">
      <c r="H15268" s="1092"/>
      <c r="I15268" s="1092"/>
    </row>
    <row r="15269" spans="8:9">
      <c r="H15269" s="1092"/>
      <c r="I15269" s="1092"/>
    </row>
    <row r="15270" spans="8:9">
      <c r="H15270" s="1092"/>
      <c r="I15270" s="1092"/>
    </row>
    <row r="15271" spans="8:9">
      <c r="H15271" s="1092"/>
      <c r="I15271" s="1092"/>
    </row>
    <row r="15272" spans="8:9">
      <c r="H15272" s="1092"/>
      <c r="I15272" s="1092"/>
    </row>
    <row r="15273" spans="8:9">
      <c r="H15273" s="1092"/>
      <c r="I15273" s="1092"/>
    </row>
    <row r="15274" spans="8:9">
      <c r="H15274" s="1092"/>
      <c r="I15274" s="1092"/>
    </row>
    <row r="15275" spans="8:9">
      <c r="H15275" s="1092"/>
      <c r="I15275" s="1092"/>
    </row>
    <row r="15276" spans="8:9">
      <c r="H15276" s="1092"/>
      <c r="I15276" s="1092"/>
    </row>
    <row r="15277" spans="8:9">
      <c r="H15277" s="1092"/>
      <c r="I15277" s="1092"/>
    </row>
    <row r="15278" spans="8:9">
      <c r="H15278" s="1092"/>
      <c r="I15278" s="1092"/>
    </row>
    <row r="15279" spans="8:9">
      <c r="H15279" s="1092"/>
      <c r="I15279" s="1092"/>
    </row>
    <row r="15280" spans="8:9">
      <c r="H15280" s="1092"/>
      <c r="I15280" s="1092"/>
    </row>
    <row r="15281" spans="8:9">
      <c r="H15281" s="1092"/>
      <c r="I15281" s="1092"/>
    </row>
    <row r="15282" spans="8:9">
      <c r="H15282" s="1092"/>
      <c r="I15282" s="1092"/>
    </row>
    <row r="15283" spans="8:9">
      <c r="H15283" s="1092"/>
      <c r="I15283" s="1092"/>
    </row>
    <row r="15284" spans="8:9">
      <c r="H15284" s="1092"/>
      <c r="I15284" s="1092"/>
    </row>
    <row r="15285" spans="8:9">
      <c r="H15285" s="1092"/>
      <c r="I15285" s="1092"/>
    </row>
    <row r="15286" spans="8:9">
      <c r="H15286" s="1092"/>
      <c r="I15286" s="1092"/>
    </row>
    <row r="15287" spans="8:9">
      <c r="H15287" s="1092"/>
      <c r="I15287" s="1092"/>
    </row>
    <row r="15288" spans="8:9">
      <c r="H15288" s="1092"/>
      <c r="I15288" s="1092"/>
    </row>
    <row r="15289" spans="8:9">
      <c r="H15289" s="1092"/>
      <c r="I15289" s="1092"/>
    </row>
    <row r="15290" spans="8:9">
      <c r="H15290" s="1092"/>
      <c r="I15290" s="1092"/>
    </row>
    <row r="15291" spans="8:9">
      <c r="H15291" s="1092"/>
      <c r="I15291" s="1092"/>
    </row>
    <row r="15292" spans="8:9">
      <c r="H15292" s="1092"/>
      <c r="I15292" s="1092"/>
    </row>
    <row r="15293" spans="8:9">
      <c r="H15293" s="1092"/>
      <c r="I15293" s="1092"/>
    </row>
    <row r="15294" spans="8:9">
      <c r="H15294" s="1092"/>
      <c r="I15294" s="1092"/>
    </row>
    <row r="15295" spans="8:9">
      <c r="H15295" s="1092"/>
      <c r="I15295" s="1092"/>
    </row>
    <row r="15296" spans="8:9">
      <c r="H15296" s="1092"/>
      <c r="I15296" s="1092"/>
    </row>
    <row r="15297" spans="8:9">
      <c r="H15297" s="1092"/>
      <c r="I15297" s="1092"/>
    </row>
    <row r="15298" spans="8:9">
      <c r="H15298" s="1092"/>
      <c r="I15298" s="1092"/>
    </row>
    <row r="15299" spans="8:9">
      <c r="H15299" s="1092"/>
      <c r="I15299" s="1092"/>
    </row>
    <row r="15300" spans="8:9">
      <c r="H15300" s="1092"/>
      <c r="I15300" s="1092"/>
    </row>
    <row r="15301" spans="8:9">
      <c r="H15301" s="1092"/>
      <c r="I15301" s="1092"/>
    </row>
    <row r="15302" spans="8:9">
      <c r="H15302" s="1092"/>
      <c r="I15302" s="1092"/>
    </row>
    <row r="15303" spans="8:9">
      <c r="H15303" s="1092"/>
      <c r="I15303" s="1092"/>
    </row>
    <row r="15304" spans="8:9">
      <c r="H15304" s="1092"/>
      <c r="I15304" s="1092"/>
    </row>
    <row r="15305" spans="8:9">
      <c r="H15305" s="1092"/>
      <c r="I15305" s="1092"/>
    </row>
    <row r="15306" spans="8:9">
      <c r="H15306" s="1092"/>
      <c r="I15306" s="1092"/>
    </row>
    <row r="15307" spans="8:9">
      <c r="H15307" s="1092"/>
      <c r="I15307" s="1092"/>
    </row>
    <row r="15308" spans="8:9">
      <c r="H15308" s="1092"/>
      <c r="I15308" s="1092"/>
    </row>
    <row r="15309" spans="8:9">
      <c r="H15309" s="1092"/>
      <c r="I15309" s="1092"/>
    </row>
    <row r="15310" spans="8:9">
      <c r="H15310" s="1092"/>
      <c r="I15310" s="1092"/>
    </row>
    <row r="15311" spans="8:9">
      <c r="H15311" s="1092"/>
      <c r="I15311" s="1092"/>
    </row>
    <row r="15312" spans="8:9">
      <c r="H15312" s="1092"/>
      <c r="I15312" s="1092"/>
    </row>
    <row r="15313" spans="8:9">
      <c r="H15313" s="1092"/>
      <c r="I15313" s="1092"/>
    </row>
    <row r="15314" spans="8:9">
      <c r="H15314" s="1092"/>
      <c r="I15314" s="1092"/>
    </row>
    <row r="15315" spans="8:9">
      <c r="H15315" s="1092"/>
      <c r="I15315" s="1092"/>
    </row>
    <row r="15316" spans="8:9">
      <c r="H15316" s="1092"/>
      <c r="I15316" s="1092"/>
    </row>
    <row r="15317" spans="8:9">
      <c r="H15317" s="1092"/>
      <c r="I15317" s="1092"/>
    </row>
    <row r="15318" spans="8:9">
      <c r="H15318" s="1092"/>
      <c r="I15318" s="1092"/>
    </row>
    <row r="15319" spans="8:9">
      <c r="H15319" s="1092"/>
      <c r="I15319" s="1092"/>
    </row>
    <row r="15320" spans="8:9">
      <c r="H15320" s="1092"/>
      <c r="I15320" s="1092"/>
    </row>
    <row r="15321" spans="8:9">
      <c r="H15321" s="1092"/>
      <c r="I15321" s="1092"/>
    </row>
    <row r="15322" spans="8:9">
      <c r="H15322" s="1092"/>
      <c r="I15322" s="1092"/>
    </row>
    <row r="15323" spans="8:9">
      <c r="H15323" s="1092"/>
      <c r="I15323" s="1092"/>
    </row>
    <row r="15324" spans="8:9">
      <c r="H15324" s="1092"/>
      <c r="I15324" s="1092"/>
    </row>
    <row r="15325" spans="8:9">
      <c r="H15325" s="1092"/>
      <c r="I15325" s="1092"/>
    </row>
    <row r="15326" spans="8:9">
      <c r="H15326" s="1092"/>
      <c r="I15326" s="1092"/>
    </row>
    <row r="15327" spans="8:9">
      <c r="H15327" s="1092"/>
      <c r="I15327" s="1092"/>
    </row>
    <row r="15328" spans="8:9">
      <c r="H15328" s="1092"/>
      <c r="I15328" s="1092"/>
    </row>
    <row r="15329" spans="8:9">
      <c r="H15329" s="1092"/>
      <c r="I15329" s="1092"/>
    </row>
    <row r="15330" spans="8:9">
      <c r="H15330" s="1092"/>
      <c r="I15330" s="1092"/>
    </row>
    <row r="15331" spans="8:9">
      <c r="H15331" s="1092"/>
      <c r="I15331" s="1092"/>
    </row>
    <row r="15332" spans="8:9">
      <c r="H15332" s="1092"/>
      <c r="I15332" s="1092"/>
    </row>
    <row r="15333" spans="8:9">
      <c r="H15333" s="1092"/>
      <c r="I15333" s="1092"/>
    </row>
    <row r="15334" spans="8:9">
      <c r="H15334" s="1092"/>
      <c r="I15334" s="1092"/>
    </row>
    <row r="15335" spans="8:9">
      <c r="H15335" s="1092"/>
      <c r="I15335" s="1092"/>
    </row>
    <row r="15336" spans="8:9">
      <c r="H15336" s="1092"/>
      <c r="I15336" s="1092"/>
    </row>
    <row r="15337" spans="8:9">
      <c r="H15337" s="1092"/>
      <c r="I15337" s="1092"/>
    </row>
    <row r="15338" spans="8:9">
      <c r="H15338" s="1092"/>
      <c r="I15338" s="1092"/>
    </row>
    <row r="15339" spans="8:9">
      <c r="H15339" s="1092"/>
      <c r="I15339" s="1092"/>
    </row>
    <row r="15340" spans="8:9">
      <c r="H15340" s="1092"/>
      <c r="I15340" s="1092"/>
    </row>
    <row r="15341" spans="8:9">
      <c r="H15341" s="1092"/>
      <c r="I15341" s="1092"/>
    </row>
    <row r="15342" spans="8:9">
      <c r="H15342" s="1092"/>
      <c r="I15342" s="1092"/>
    </row>
    <row r="15343" spans="8:9">
      <c r="H15343" s="1092"/>
      <c r="I15343" s="1092"/>
    </row>
    <row r="15344" spans="8:9">
      <c r="H15344" s="1092"/>
      <c r="I15344" s="1092"/>
    </row>
    <row r="15345" spans="8:9">
      <c r="H15345" s="1092"/>
      <c r="I15345" s="1092"/>
    </row>
    <row r="15346" spans="8:9">
      <c r="H15346" s="1092"/>
      <c r="I15346" s="1092"/>
    </row>
    <row r="15347" spans="8:9">
      <c r="H15347" s="1092"/>
      <c r="I15347" s="1092"/>
    </row>
    <row r="15348" spans="8:9">
      <c r="H15348" s="1092"/>
      <c r="I15348" s="1092"/>
    </row>
    <row r="15349" spans="8:9">
      <c r="H15349" s="1092"/>
      <c r="I15349" s="1092"/>
    </row>
    <row r="15350" spans="8:9">
      <c r="H15350" s="1092"/>
      <c r="I15350" s="1092"/>
    </row>
    <row r="15351" spans="8:9">
      <c r="H15351" s="1092"/>
      <c r="I15351" s="1092"/>
    </row>
    <row r="15352" spans="8:9">
      <c r="H15352" s="1092"/>
      <c r="I15352" s="1092"/>
    </row>
    <row r="15353" spans="8:9">
      <c r="H15353" s="1092"/>
      <c r="I15353" s="1092"/>
    </row>
    <row r="15354" spans="8:9">
      <c r="H15354" s="1092"/>
      <c r="I15354" s="1092"/>
    </row>
    <row r="15355" spans="8:9">
      <c r="H15355" s="1092"/>
      <c r="I15355" s="1092"/>
    </row>
    <row r="15356" spans="8:9">
      <c r="H15356" s="1092"/>
      <c r="I15356" s="1092"/>
    </row>
    <row r="15357" spans="8:9">
      <c r="H15357" s="1092"/>
      <c r="I15357" s="1092"/>
    </row>
    <row r="15358" spans="8:9">
      <c r="H15358" s="1092"/>
      <c r="I15358" s="1092"/>
    </row>
    <row r="15359" spans="8:9">
      <c r="H15359" s="1092"/>
      <c r="I15359" s="1092"/>
    </row>
    <row r="15360" spans="8:9">
      <c r="H15360" s="1092"/>
      <c r="I15360" s="1092"/>
    </row>
    <row r="15361" spans="8:9">
      <c r="H15361" s="1092"/>
      <c r="I15361" s="1092"/>
    </row>
    <row r="15362" spans="8:9">
      <c r="H15362" s="1092"/>
      <c r="I15362" s="1092"/>
    </row>
    <row r="15363" spans="8:9">
      <c r="H15363" s="1092"/>
      <c r="I15363" s="1092"/>
    </row>
    <row r="15364" spans="8:9">
      <c r="H15364" s="1092"/>
      <c r="I15364" s="1092"/>
    </row>
    <row r="15365" spans="8:9">
      <c r="H15365" s="1092"/>
      <c r="I15365" s="1092"/>
    </row>
    <row r="15366" spans="8:9">
      <c r="H15366" s="1092"/>
      <c r="I15366" s="1092"/>
    </row>
    <row r="15367" spans="8:9">
      <c r="H15367" s="1092"/>
      <c r="I15367" s="1092"/>
    </row>
    <row r="15368" spans="8:9">
      <c r="H15368" s="1092"/>
      <c r="I15368" s="1092"/>
    </row>
    <row r="15369" spans="8:9">
      <c r="H15369" s="1092"/>
      <c r="I15369" s="1092"/>
    </row>
    <row r="15370" spans="8:9">
      <c r="H15370" s="1092"/>
      <c r="I15370" s="1092"/>
    </row>
    <row r="15371" spans="8:9">
      <c r="H15371" s="1092"/>
      <c r="I15371" s="1092"/>
    </row>
    <row r="15372" spans="8:9">
      <c r="H15372" s="1092"/>
      <c r="I15372" s="1092"/>
    </row>
    <row r="15373" spans="8:9">
      <c r="H15373" s="1092"/>
      <c r="I15373" s="1092"/>
    </row>
    <row r="15374" spans="8:9">
      <c r="H15374" s="1092"/>
      <c r="I15374" s="1092"/>
    </row>
    <row r="15375" spans="8:9">
      <c r="H15375" s="1092"/>
      <c r="I15375" s="1092"/>
    </row>
    <row r="15376" spans="8:9">
      <c r="H15376" s="1092"/>
      <c r="I15376" s="1092"/>
    </row>
    <row r="15377" spans="8:9">
      <c r="H15377" s="1092"/>
      <c r="I15377" s="1092"/>
    </row>
    <row r="15378" spans="8:9">
      <c r="H15378" s="1092"/>
      <c r="I15378" s="1092"/>
    </row>
    <row r="15379" spans="8:9">
      <c r="H15379" s="1092"/>
      <c r="I15379" s="1092"/>
    </row>
    <row r="15380" spans="8:9">
      <c r="H15380" s="1092"/>
      <c r="I15380" s="1092"/>
    </row>
    <row r="15381" spans="8:9">
      <c r="H15381" s="1092"/>
      <c r="I15381" s="1092"/>
    </row>
    <row r="15382" spans="8:9">
      <c r="H15382" s="1092"/>
      <c r="I15382" s="1092"/>
    </row>
    <row r="15383" spans="8:9">
      <c r="H15383" s="1092"/>
      <c r="I15383" s="1092"/>
    </row>
    <row r="15384" spans="8:9">
      <c r="H15384" s="1092"/>
      <c r="I15384" s="1092"/>
    </row>
    <row r="15385" spans="8:9">
      <c r="H15385" s="1092"/>
      <c r="I15385" s="1092"/>
    </row>
    <row r="15386" spans="8:9">
      <c r="H15386" s="1092"/>
      <c r="I15386" s="1092"/>
    </row>
    <row r="15387" spans="8:9">
      <c r="H15387" s="1092"/>
      <c r="I15387" s="1092"/>
    </row>
    <row r="15388" spans="8:9">
      <c r="H15388" s="1092"/>
      <c r="I15388" s="1092"/>
    </row>
    <row r="15389" spans="8:9">
      <c r="H15389" s="1092"/>
      <c r="I15389" s="1092"/>
    </row>
    <row r="15390" spans="8:9">
      <c r="H15390" s="1092"/>
      <c r="I15390" s="1092"/>
    </row>
    <row r="15391" spans="8:9">
      <c r="H15391" s="1092"/>
      <c r="I15391" s="1092"/>
    </row>
    <row r="15392" spans="8:9">
      <c r="H15392" s="1092"/>
      <c r="I15392" s="1092"/>
    </row>
    <row r="15393" spans="8:9">
      <c r="H15393" s="1092"/>
      <c r="I15393" s="1092"/>
    </row>
    <row r="15394" spans="8:9">
      <c r="H15394" s="1092"/>
      <c r="I15394" s="1092"/>
    </row>
    <row r="15395" spans="8:9">
      <c r="H15395" s="1092"/>
      <c r="I15395" s="1092"/>
    </row>
    <row r="15396" spans="8:9">
      <c r="H15396" s="1092"/>
      <c r="I15396" s="1092"/>
    </row>
    <row r="15397" spans="8:9">
      <c r="H15397" s="1092"/>
      <c r="I15397" s="1092"/>
    </row>
    <row r="15398" spans="8:9">
      <c r="H15398" s="1092"/>
      <c r="I15398" s="1092"/>
    </row>
    <row r="15399" spans="8:9">
      <c r="H15399" s="1092"/>
      <c r="I15399" s="1092"/>
    </row>
    <row r="15400" spans="8:9">
      <c r="H15400" s="1092"/>
      <c r="I15400" s="1092"/>
    </row>
    <row r="15401" spans="8:9">
      <c r="H15401" s="1092"/>
      <c r="I15401" s="1092"/>
    </row>
    <row r="15402" spans="8:9">
      <c r="H15402" s="1092"/>
      <c r="I15402" s="1092"/>
    </row>
    <row r="15403" spans="8:9">
      <c r="H15403" s="1092"/>
      <c r="I15403" s="1092"/>
    </row>
    <row r="15404" spans="8:9">
      <c r="H15404" s="1092"/>
      <c r="I15404" s="1092"/>
    </row>
    <row r="15405" spans="8:9">
      <c r="H15405" s="1092"/>
      <c r="I15405" s="1092"/>
    </row>
    <row r="15406" spans="8:9">
      <c r="H15406" s="1092"/>
      <c r="I15406" s="1092"/>
    </row>
    <row r="15407" spans="8:9">
      <c r="H15407" s="1092"/>
      <c r="I15407" s="1092"/>
    </row>
    <row r="15408" spans="8:9">
      <c r="H15408" s="1092"/>
      <c r="I15408" s="1092"/>
    </row>
    <row r="15409" spans="8:9">
      <c r="H15409" s="1092"/>
      <c r="I15409" s="1092"/>
    </row>
    <row r="15410" spans="8:9">
      <c r="H15410" s="1092"/>
      <c r="I15410" s="1092"/>
    </row>
    <row r="15411" spans="8:9">
      <c r="H15411" s="1092"/>
      <c r="I15411" s="1092"/>
    </row>
    <row r="15412" spans="8:9">
      <c r="H15412" s="1092"/>
      <c r="I15412" s="1092"/>
    </row>
    <row r="15413" spans="8:9">
      <c r="H15413" s="1092"/>
      <c r="I15413" s="1092"/>
    </row>
    <row r="15414" spans="8:9">
      <c r="H15414" s="1092"/>
      <c r="I15414" s="1092"/>
    </row>
    <row r="15415" spans="8:9">
      <c r="H15415" s="1092"/>
      <c r="I15415" s="1092"/>
    </row>
    <row r="15416" spans="8:9">
      <c r="H15416" s="1092"/>
      <c r="I15416" s="1092"/>
    </row>
    <row r="15417" spans="8:9">
      <c r="H15417" s="1092"/>
      <c r="I15417" s="1092"/>
    </row>
    <row r="15418" spans="8:9">
      <c r="H15418" s="1092"/>
      <c r="I15418" s="1092"/>
    </row>
    <row r="15419" spans="8:9">
      <c r="H15419" s="1092"/>
      <c r="I15419" s="1092"/>
    </row>
    <row r="15420" spans="8:9">
      <c r="H15420" s="1092"/>
      <c r="I15420" s="1092"/>
    </row>
    <row r="15421" spans="8:9">
      <c r="H15421" s="1092"/>
      <c r="I15421" s="1092"/>
    </row>
    <row r="15422" spans="8:9">
      <c r="H15422" s="1092"/>
      <c r="I15422" s="1092"/>
    </row>
    <row r="15423" spans="8:9">
      <c r="H15423" s="1092"/>
      <c r="I15423" s="1092"/>
    </row>
    <row r="15424" spans="8:9">
      <c r="H15424" s="1092"/>
      <c r="I15424" s="1092"/>
    </row>
    <row r="15425" spans="8:9">
      <c r="H15425" s="1092"/>
      <c r="I15425" s="1092"/>
    </row>
    <row r="15426" spans="8:9">
      <c r="H15426" s="1092"/>
      <c r="I15426" s="1092"/>
    </row>
    <row r="15427" spans="8:9">
      <c r="H15427" s="1092"/>
      <c r="I15427" s="1092"/>
    </row>
    <row r="15428" spans="8:9">
      <c r="H15428" s="1092"/>
      <c r="I15428" s="1092"/>
    </row>
    <row r="15429" spans="8:9">
      <c r="H15429" s="1092"/>
      <c r="I15429" s="1092"/>
    </row>
    <row r="15430" spans="8:9">
      <c r="H15430" s="1092"/>
      <c r="I15430" s="1092"/>
    </row>
    <row r="15431" spans="8:9">
      <c r="H15431" s="1092"/>
      <c r="I15431" s="1092"/>
    </row>
    <row r="15432" spans="8:9">
      <c r="H15432" s="1092"/>
      <c r="I15432" s="1092"/>
    </row>
    <row r="15433" spans="8:9">
      <c r="H15433" s="1092"/>
      <c r="I15433" s="1092"/>
    </row>
    <row r="15434" spans="8:9">
      <c r="H15434" s="1092"/>
      <c r="I15434" s="1092"/>
    </row>
    <row r="15435" spans="8:9">
      <c r="H15435" s="1092"/>
      <c r="I15435" s="1092"/>
    </row>
    <row r="15436" spans="8:9">
      <c r="H15436" s="1092"/>
      <c r="I15436" s="1092"/>
    </row>
    <row r="15437" spans="8:9">
      <c r="H15437" s="1092"/>
      <c r="I15437" s="1092"/>
    </row>
    <row r="15438" spans="8:9">
      <c r="H15438" s="1092"/>
      <c r="I15438" s="1092"/>
    </row>
    <row r="15439" spans="8:9">
      <c r="H15439" s="1092"/>
      <c r="I15439" s="1092"/>
    </row>
    <row r="15440" spans="8:9">
      <c r="H15440" s="1092"/>
      <c r="I15440" s="1092"/>
    </row>
    <row r="15441" spans="8:9">
      <c r="H15441" s="1092"/>
      <c r="I15441" s="1092"/>
    </row>
    <row r="15442" spans="8:9">
      <c r="H15442" s="1092"/>
      <c r="I15442" s="1092"/>
    </row>
    <row r="15443" spans="8:9">
      <c r="H15443" s="1092"/>
      <c r="I15443" s="1092"/>
    </row>
    <row r="15444" spans="8:9">
      <c r="H15444" s="1092"/>
      <c r="I15444" s="1092"/>
    </row>
    <row r="15445" spans="8:9">
      <c r="H15445" s="1092"/>
      <c r="I15445" s="1092"/>
    </row>
    <row r="15446" spans="8:9">
      <c r="H15446" s="1092"/>
      <c r="I15446" s="1092"/>
    </row>
    <row r="15447" spans="8:9">
      <c r="H15447" s="1092"/>
      <c r="I15447" s="1092"/>
    </row>
    <row r="15448" spans="8:9">
      <c r="H15448" s="1092"/>
      <c r="I15448" s="1092"/>
    </row>
    <row r="15449" spans="8:9">
      <c r="H15449" s="1092"/>
      <c r="I15449" s="1092"/>
    </row>
    <row r="15450" spans="8:9">
      <c r="H15450" s="1092"/>
      <c r="I15450" s="1092"/>
    </row>
    <row r="15451" spans="8:9">
      <c r="H15451" s="1092"/>
      <c r="I15451" s="1092"/>
    </row>
    <row r="15452" spans="8:9">
      <c r="H15452" s="1092"/>
      <c r="I15452" s="1092"/>
    </row>
    <row r="15453" spans="8:9">
      <c r="H15453" s="1092"/>
      <c r="I15453" s="1092"/>
    </row>
    <row r="15454" spans="8:9">
      <c r="H15454" s="1092"/>
      <c r="I15454" s="1092"/>
    </row>
    <row r="15455" spans="8:9">
      <c r="H15455" s="1092"/>
      <c r="I15455" s="1092"/>
    </row>
    <row r="15456" spans="8:9">
      <c r="H15456" s="1092"/>
      <c r="I15456" s="1092"/>
    </row>
    <row r="15457" spans="8:9">
      <c r="H15457" s="1092"/>
      <c r="I15457" s="1092"/>
    </row>
    <row r="15458" spans="8:9">
      <c r="H15458" s="1092"/>
      <c r="I15458" s="1092"/>
    </row>
    <row r="15459" spans="8:9">
      <c r="H15459" s="1092"/>
      <c r="I15459" s="1092"/>
    </row>
    <row r="15460" spans="8:9">
      <c r="H15460" s="1092"/>
      <c r="I15460" s="1092"/>
    </row>
    <row r="15461" spans="8:9">
      <c r="H15461" s="1092"/>
      <c r="I15461" s="1092"/>
    </row>
    <row r="15462" spans="8:9">
      <c r="H15462" s="1092"/>
      <c r="I15462" s="1092"/>
    </row>
    <row r="15463" spans="8:9">
      <c r="H15463" s="1092"/>
      <c r="I15463" s="1092"/>
    </row>
    <row r="15464" spans="8:9">
      <c r="H15464" s="1092"/>
      <c r="I15464" s="1092"/>
    </row>
    <row r="15465" spans="8:9">
      <c r="H15465" s="1092"/>
      <c r="I15465" s="1092"/>
    </row>
    <row r="15466" spans="8:9">
      <c r="H15466" s="1092"/>
      <c r="I15466" s="1092"/>
    </row>
    <row r="15467" spans="8:9">
      <c r="H15467" s="1092"/>
      <c r="I15467" s="1092"/>
    </row>
    <row r="15468" spans="8:9">
      <c r="H15468" s="1092"/>
      <c r="I15468" s="1092"/>
    </row>
    <row r="15469" spans="8:9">
      <c r="H15469" s="1092"/>
      <c r="I15469" s="1092"/>
    </row>
    <row r="15470" spans="8:9">
      <c r="H15470" s="1092"/>
      <c r="I15470" s="1092"/>
    </row>
    <row r="15471" spans="8:9">
      <c r="H15471" s="1092"/>
      <c r="I15471" s="1092"/>
    </row>
    <row r="15472" spans="8:9">
      <c r="H15472" s="1092"/>
      <c r="I15472" s="1092"/>
    </row>
    <row r="15473" spans="8:9">
      <c r="H15473" s="1092"/>
      <c r="I15473" s="1092"/>
    </row>
    <row r="15474" spans="8:9">
      <c r="H15474" s="1092"/>
      <c r="I15474" s="1092"/>
    </row>
    <row r="15475" spans="8:9">
      <c r="H15475" s="1092"/>
      <c r="I15475" s="1092"/>
    </row>
    <row r="15476" spans="8:9">
      <c r="H15476" s="1092"/>
      <c r="I15476" s="1092"/>
    </row>
    <row r="15477" spans="8:9">
      <c r="H15477" s="1092"/>
      <c r="I15477" s="1092"/>
    </row>
    <row r="15478" spans="8:9">
      <c r="H15478" s="1092"/>
      <c r="I15478" s="1092"/>
    </row>
    <row r="15479" spans="8:9">
      <c r="H15479" s="1092"/>
      <c r="I15479" s="1092"/>
    </row>
    <row r="15480" spans="8:9">
      <c r="H15480" s="1092"/>
      <c r="I15480" s="1092"/>
    </row>
    <row r="15481" spans="8:9">
      <c r="H15481" s="1092"/>
      <c r="I15481" s="1092"/>
    </row>
    <row r="15482" spans="8:9">
      <c r="H15482" s="1092"/>
      <c r="I15482" s="1092"/>
    </row>
    <row r="15483" spans="8:9">
      <c r="H15483" s="1092"/>
      <c r="I15483" s="1092"/>
    </row>
    <row r="15484" spans="8:9">
      <c r="H15484" s="1092"/>
      <c r="I15484" s="1092"/>
    </row>
    <row r="15485" spans="8:9">
      <c r="H15485" s="1092"/>
      <c r="I15485" s="1092"/>
    </row>
    <row r="15486" spans="8:9">
      <c r="H15486" s="1092"/>
      <c r="I15486" s="1092"/>
    </row>
    <row r="15487" spans="8:9">
      <c r="H15487" s="1092"/>
      <c r="I15487" s="1092"/>
    </row>
    <row r="15488" spans="8:9">
      <c r="H15488" s="1092"/>
      <c r="I15488" s="1092"/>
    </row>
    <row r="15489" spans="8:9">
      <c r="H15489" s="1092"/>
      <c r="I15489" s="1092"/>
    </row>
    <row r="15490" spans="8:9">
      <c r="H15490" s="1092"/>
      <c r="I15490" s="1092"/>
    </row>
    <row r="15491" spans="8:9">
      <c r="H15491" s="1092"/>
      <c r="I15491" s="1092"/>
    </row>
    <row r="15492" spans="8:9">
      <c r="H15492" s="1092"/>
      <c r="I15492" s="1092"/>
    </row>
    <row r="15493" spans="8:9">
      <c r="H15493" s="1092"/>
      <c r="I15493" s="1092"/>
    </row>
    <row r="15494" spans="8:9">
      <c r="H15494" s="1092"/>
      <c r="I15494" s="1092"/>
    </row>
    <row r="15495" spans="8:9">
      <c r="H15495" s="1092"/>
      <c r="I15495" s="1092"/>
    </row>
    <row r="15496" spans="8:9">
      <c r="H15496" s="1092"/>
      <c r="I15496" s="1092"/>
    </row>
    <row r="15497" spans="8:9">
      <c r="H15497" s="1092"/>
      <c r="I15497" s="1092"/>
    </row>
    <row r="15498" spans="8:9">
      <c r="H15498" s="1092"/>
      <c r="I15498" s="1092"/>
    </row>
    <row r="15499" spans="8:9">
      <c r="H15499" s="1092"/>
      <c r="I15499" s="1092"/>
    </row>
    <row r="15500" spans="8:9">
      <c r="H15500" s="1092"/>
      <c r="I15500" s="1092"/>
    </row>
    <row r="15501" spans="8:9">
      <c r="H15501" s="1092"/>
      <c r="I15501" s="1092"/>
    </row>
    <row r="15502" spans="8:9">
      <c r="H15502" s="1092"/>
      <c r="I15502" s="1092"/>
    </row>
    <row r="15503" spans="8:9">
      <c r="H15503" s="1092"/>
      <c r="I15503" s="1092"/>
    </row>
    <row r="15504" spans="8:9">
      <c r="H15504" s="1092"/>
      <c r="I15504" s="1092"/>
    </row>
    <row r="15505" spans="8:9">
      <c r="H15505" s="1092"/>
      <c r="I15505" s="1092"/>
    </row>
    <row r="15506" spans="8:9">
      <c r="H15506" s="1092"/>
      <c r="I15506" s="1092"/>
    </row>
    <row r="15507" spans="8:9">
      <c r="H15507" s="1092"/>
      <c r="I15507" s="1092"/>
    </row>
    <row r="15508" spans="8:9">
      <c r="H15508" s="1092"/>
      <c r="I15508" s="1092"/>
    </row>
    <row r="15509" spans="8:9">
      <c r="H15509" s="1092"/>
      <c r="I15509" s="1092"/>
    </row>
    <row r="15510" spans="8:9">
      <c r="H15510" s="1092"/>
      <c r="I15510" s="1092"/>
    </row>
    <row r="15511" spans="8:9">
      <c r="H15511" s="1092"/>
      <c r="I15511" s="1092"/>
    </row>
    <row r="15512" spans="8:9">
      <c r="H15512" s="1092"/>
      <c r="I15512" s="1092"/>
    </row>
    <row r="15513" spans="8:9">
      <c r="H15513" s="1092"/>
      <c r="I15513" s="1092"/>
    </row>
    <row r="15514" spans="8:9">
      <c r="H15514" s="1092"/>
      <c r="I15514" s="1092"/>
    </row>
    <row r="15515" spans="8:9">
      <c r="H15515" s="1092"/>
      <c r="I15515" s="1092"/>
    </row>
    <row r="15516" spans="8:9">
      <c r="H15516" s="1092"/>
      <c r="I15516" s="1092"/>
    </row>
    <row r="15517" spans="8:9">
      <c r="H15517" s="1092"/>
      <c r="I15517" s="1092"/>
    </row>
    <row r="15518" spans="8:9">
      <c r="H15518" s="1092"/>
      <c r="I15518" s="1092"/>
    </row>
    <row r="15519" spans="8:9">
      <c r="H15519" s="1092"/>
      <c r="I15519" s="1092"/>
    </row>
    <row r="15520" spans="8:9">
      <c r="H15520" s="1092"/>
      <c r="I15520" s="1092"/>
    </row>
    <row r="15521" spans="8:9">
      <c r="H15521" s="1092"/>
      <c r="I15521" s="1092"/>
    </row>
    <row r="15522" spans="8:9">
      <c r="H15522" s="1092"/>
      <c r="I15522" s="1092"/>
    </row>
    <row r="15523" spans="8:9">
      <c r="H15523" s="1092"/>
      <c r="I15523" s="1092"/>
    </row>
    <row r="15524" spans="8:9">
      <c r="H15524" s="1092"/>
      <c r="I15524" s="1092"/>
    </row>
    <row r="15525" spans="8:9">
      <c r="H15525" s="1092"/>
      <c r="I15525" s="1092"/>
    </row>
    <row r="15526" spans="8:9">
      <c r="H15526" s="1092"/>
      <c r="I15526" s="1092"/>
    </row>
    <row r="15527" spans="8:9">
      <c r="H15527" s="1092"/>
      <c r="I15527" s="1092"/>
    </row>
    <row r="15528" spans="8:9">
      <c r="H15528" s="1092"/>
      <c r="I15528" s="1092"/>
    </row>
    <row r="15529" spans="8:9">
      <c r="H15529" s="1092"/>
      <c r="I15529" s="1092"/>
    </row>
    <row r="15530" spans="8:9">
      <c r="H15530" s="1092"/>
      <c r="I15530" s="1092"/>
    </row>
    <row r="15531" spans="8:9">
      <c r="H15531" s="1092"/>
      <c r="I15531" s="1092"/>
    </row>
    <row r="15532" spans="8:9">
      <c r="H15532" s="1092"/>
      <c r="I15532" s="1092"/>
    </row>
    <row r="15533" spans="8:9">
      <c r="H15533" s="1092"/>
      <c r="I15533" s="1092"/>
    </row>
    <row r="15534" spans="8:9">
      <c r="H15534" s="1092"/>
      <c r="I15534" s="1092"/>
    </row>
    <row r="15535" spans="8:9">
      <c r="H15535" s="1092"/>
      <c r="I15535" s="1092"/>
    </row>
    <row r="15536" spans="8:9">
      <c r="H15536" s="1092"/>
      <c r="I15536" s="1092"/>
    </row>
    <row r="15537" spans="8:9">
      <c r="H15537" s="1092"/>
      <c r="I15537" s="1092"/>
    </row>
    <row r="15538" spans="8:9">
      <c r="H15538" s="1092"/>
      <c r="I15538" s="1092"/>
    </row>
    <row r="15539" spans="8:9">
      <c r="H15539" s="1092"/>
      <c r="I15539" s="1092"/>
    </row>
    <row r="15540" spans="8:9">
      <c r="H15540" s="1092"/>
      <c r="I15540" s="1092"/>
    </row>
    <row r="15541" spans="8:9">
      <c r="H15541" s="1092"/>
      <c r="I15541" s="1092"/>
    </row>
    <row r="15542" spans="8:9">
      <c r="H15542" s="1092"/>
      <c r="I15542" s="1092"/>
    </row>
    <row r="15543" spans="8:9">
      <c r="H15543" s="1092"/>
      <c r="I15543" s="1092"/>
    </row>
    <row r="15544" spans="8:9">
      <c r="H15544" s="1092"/>
      <c r="I15544" s="1092"/>
    </row>
    <row r="15545" spans="8:9">
      <c r="H15545" s="1092"/>
      <c r="I15545" s="1092"/>
    </row>
    <row r="15546" spans="8:9">
      <c r="H15546" s="1092"/>
      <c r="I15546" s="1092"/>
    </row>
    <row r="15547" spans="8:9">
      <c r="H15547" s="1092"/>
      <c r="I15547" s="1092"/>
    </row>
    <row r="15548" spans="8:9">
      <c r="H15548" s="1092"/>
      <c r="I15548" s="1092"/>
    </row>
    <row r="15549" spans="8:9">
      <c r="H15549" s="1092"/>
      <c r="I15549" s="1092"/>
    </row>
    <row r="15550" spans="8:9">
      <c r="H15550" s="1092"/>
      <c r="I15550" s="1092"/>
    </row>
    <row r="15551" spans="8:9">
      <c r="H15551" s="1092"/>
      <c r="I15551" s="1092"/>
    </row>
    <row r="15552" spans="8:9">
      <c r="H15552" s="1092"/>
      <c r="I15552" s="1092"/>
    </row>
    <row r="15553" spans="8:9">
      <c r="H15553" s="1092"/>
      <c r="I15553" s="1092"/>
    </row>
    <row r="15554" spans="8:9">
      <c r="H15554" s="1092"/>
      <c r="I15554" s="1092"/>
    </row>
    <row r="15555" spans="8:9">
      <c r="H15555" s="1092"/>
      <c r="I15555" s="1092"/>
    </row>
    <row r="15556" spans="8:9">
      <c r="H15556" s="1092"/>
      <c r="I15556" s="1092"/>
    </row>
    <row r="15557" spans="8:9">
      <c r="H15557" s="1092"/>
      <c r="I15557" s="1092"/>
    </row>
    <row r="15558" spans="8:9">
      <c r="H15558" s="1092"/>
      <c r="I15558" s="1092"/>
    </row>
    <row r="15559" spans="8:9">
      <c r="H15559" s="1092"/>
      <c r="I15559" s="1092"/>
    </row>
    <row r="15560" spans="8:9">
      <c r="H15560" s="1092"/>
      <c r="I15560" s="1092"/>
    </row>
    <row r="15561" spans="8:9">
      <c r="H15561" s="1092"/>
      <c r="I15561" s="1092"/>
    </row>
    <row r="15562" spans="8:9">
      <c r="H15562" s="1092"/>
      <c r="I15562" s="1092"/>
    </row>
    <row r="15563" spans="8:9">
      <c r="H15563" s="1092"/>
      <c r="I15563" s="1092"/>
    </row>
    <row r="15564" spans="8:9">
      <c r="H15564" s="1092"/>
      <c r="I15564" s="1092"/>
    </row>
    <row r="15565" spans="8:9">
      <c r="H15565" s="1092"/>
      <c r="I15565" s="1092"/>
    </row>
    <row r="15566" spans="8:9">
      <c r="H15566" s="1092"/>
      <c r="I15566" s="1092"/>
    </row>
    <row r="15567" spans="8:9">
      <c r="H15567" s="1092"/>
      <c r="I15567" s="1092"/>
    </row>
    <row r="15568" spans="8:9">
      <c r="H15568" s="1092"/>
      <c r="I15568" s="1092"/>
    </row>
    <row r="15569" spans="8:9">
      <c r="H15569" s="1092"/>
      <c r="I15569" s="1092"/>
    </row>
    <row r="15570" spans="8:9">
      <c r="H15570" s="1092"/>
      <c r="I15570" s="1092"/>
    </row>
    <row r="15571" spans="8:9">
      <c r="H15571" s="1092"/>
      <c r="I15571" s="1092"/>
    </row>
    <row r="15572" spans="8:9">
      <c r="H15572" s="1092"/>
      <c r="I15572" s="1092"/>
    </row>
    <row r="15573" spans="8:9">
      <c r="H15573" s="1092"/>
      <c r="I15573" s="1092"/>
    </row>
    <row r="15574" spans="8:9">
      <c r="H15574" s="1092"/>
      <c r="I15574" s="1092"/>
    </row>
    <row r="15575" spans="8:9">
      <c r="H15575" s="1092"/>
      <c r="I15575" s="1092"/>
    </row>
    <row r="15576" spans="8:9">
      <c r="H15576" s="1092"/>
      <c r="I15576" s="1092"/>
    </row>
    <row r="15577" spans="8:9">
      <c r="H15577" s="1092"/>
      <c r="I15577" s="1092"/>
    </row>
    <row r="15578" spans="8:9">
      <c r="H15578" s="1092"/>
      <c r="I15578" s="1092"/>
    </row>
    <row r="15579" spans="8:9">
      <c r="H15579" s="1092"/>
      <c r="I15579" s="1092"/>
    </row>
    <row r="15580" spans="8:9">
      <c r="H15580" s="1092"/>
      <c r="I15580" s="1092"/>
    </row>
    <row r="15581" spans="8:9">
      <c r="H15581" s="1092"/>
      <c r="I15581" s="1092"/>
    </row>
    <row r="15582" spans="8:9">
      <c r="H15582" s="1092"/>
      <c r="I15582" s="1092"/>
    </row>
    <row r="15583" spans="8:9">
      <c r="H15583" s="1092"/>
      <c r="I15583" s="1092"/>
    </row>
    <row r="15584" spans="8:9">
      <c r="H15584" s="1092"/>
      <c r="I15584" s="1092"/>
    </row>
    <row r="15585" spans="8:9">
      <c r="H15585" s="1092"/>
      <c r="I15585" s="1092"/>
    </row>
    <row r="15586" spans="8:9">
      <c r="H15586" s="1092"/>
      <c r="I15586" s="1092"/>
    </row>
    <row r="15587" spans="8:9">
      <c r="H15587" s="1092"/>
      <c r="I15587" s="1092"/>
    </row>
    <row r="15588" spans="8:9">
      <c r="H15588" s="1092"/>
      <c r="I15588" s="1092"/>
    </row>
    <row r="15589" spans="8:9">
      <c r="H15589" s="1092"/>
      <c r="I15589" s="1092"/>
    </row>
    <row r="15590" spans="8:9">
      <c r="H15590" s="1092"/>
      <c r="I15590" s="1092"/>
    </row>
    <row r="15591" spans="8:9">
      <c r="H15591" s="1092"/>
      <c r="I15591" s="1092"/>
    </row>
    <row r="15592" spans="8:9">
      <c r="H15592" s="1092"/>
      <c r="I15592" s="1092"/>
    </row>
    <row r="15593" spans="8:9">
      <c r="H15593" s="1092"/>
      <c r="I15593" s="1092"/>
    </row>
    <row r="15594" spans="8:9">
      <c r="H15594" s="1092"/>
      <c r="I15594" s="1092"/>
    </row>
    <row r="15595" spans="8:9">
      <c r="H15595" s="1092"/>
      <c r="I15595" s="1092"/>
    </row>
    <row r="15596" spans="8:9">
      <c r="H15596" s="1092"/>
      <c r="I15596" s="1092"/>
    </row>
    <row r="15597" spans="8:9">
      <c r="H15597" s="1092"/>
      <c r="I15597" s="1092"/>
    </row>
    <row r="15598" spans="8:9">
      <c r="H15598" s="1092"/>
      <c r="I15598" s="1092"/>
    </row>
    <row r="15599" spans="8:9">
      <c r="H15599" s="1092"/>
      <c r="I15599" s="1092"/>
    </row>
    <row r="15600" spans="8:9">
      <c r="H15600" s="1092"/>
      <c r="I15600" s="1092"/>
    </row>
    <row r="15601" spans="8:9">
      <c r="H15601" s="1092"/>
      <c r="I15601" s="1092"/>
    </row>
    <row r="15602" spans="8:9">
      <c r="H15602" s="1092"/>
      <c r="I15602" s="1092"/>
    </row>
    <row r="15603" spans="8:9">
      <c r="H15603" s="1092"/>
      <c r="I15603" s="1092"/>
    </row>
    <row r="15604" spans="8:9">
      <c r="H15604" s="1092"/>
      <c r="I15604" s="1092"/>
    </row>
    <row r="15605" spans="8:9">
      <c r="H15605" s="1092"/>
      <c r="I15605" s="1092"/>
    </row>
    <row r="15606" spans="8:9">
      <c r="H15606" s="1092"/>
      <c r="I15606" s="1092"/>
    </row>
    <row r="15607" spans="8:9">
      <c r="H15607" s="1092"/>
      <c r="I15607" s="1092"/>
    </row>
    <row r="15608" spans="8:9">
      <c r="H15608" s="1092"/>
      <c r="I15608" s="1092"/>
    </row>
    <row r="15609" spans="8:9">
      <c r="H15609" s="1092"/>
      <c r="I15609" s="1092"/>
    </row>
    <row r="15610" spans="8:9">
      <c r="H15610" s="1092"/>
      <c r="I15610" s="1092"/>
    </row>
    <row r="15611" spans="8:9">
      <c r="H15611" s="1092"/>
      <c r="I15611" s="1092"/>
    </row>
    <row r="15612" spans="8:9">
      <c r="H15612" s="1092"/>
      <c r="I15612" s="1092"/>
    </row>
    <row r="15613" spans="8:9">
      <c r="H15613" s="1092"/>
      <c r="I15613" s="1092"/>
    </row>
    <row r="15614" spans="8:9">
      <c r="H15614" s="1092"/>
      <c r="I15614" s="1092"/>
    </row>
    <row r="15615" spans="8:9">
      <c r="H15615" s="1092"/>
      <c r="I15615" s="1092"/>
    </row>
    <row r="15616" spans="8:9">
      <c r="H15616" s="1092"/>
      <c r="I15616" s="1092"/>
    </row>
    <row r="15617" spans="8:9">
      <c r="H15617" s="1092"/>
      <c r="I15617" s="1092"/>
    </row>
    <row r="15618" spans="8:9">
      <c r="H15618" s="1092"/>
      <c r="I15618" s="1092"/>
    </row>
    <row r="15619" spans="8:9">
      <c r="H15619" s="1092"/>
      <c r="I15619" s="1092"/>
    </row>
    <row r="15620" spans="8:9">
      <c r="H15620" s="1092"/>
      <c r="I15620" s="1092"/>
    </row>
    <row r="15621" spans="8:9">
      <c r="H15621" s="1092"/>
      <c r="I15621" s="1092"/>
    </row>
    <row r="15622" spans="8:9">
      <c r="H15622" s="1092"/>
      <c r="I15622" s="1092"/>
    </row>
    <row r="15623" spans="8:9">
      <c r="H15623" s="1092"/>
      <c r="I15623" s="1092"/>
    </row>
    <row r="15624" spans="8:9">
      <c r="H15624" s="1092"/>
      <c r="I15624" s="1092"/>
    </row>
    <row r="15625" spans="8:9">
      <c r="H15625" s="1092"/>
      <c r="I15625" s="1092"/>
    </row>
    <row r="15626" spans="8:9">
      <c r="H15626" s="1092"/>
      <c r="I15626" s="1092"/>
    </row>
    <row r="15627" spans="8:9">
      <c r="H15627" s="1092"/>
      <c r="I15627" s="1092"/>
    </row>
    <row r="15628" spans="8:9">
      <c r="H15628" s="1092"/>
      <c r="I15628" s="1092"/>
    </row>
    <row r="15629" spans="8:9">
      <c r="H15629" s="1092"/>
      <c r="I15629" s="1092"/>
    </row>
    <row r="15630" spans="8:9">
      <c r="H15630" s="1092"/>
      <c r="I15630" s="1092"/>
    </row>
    <row r="15631" spans="8:9">
      <c r="H15631" s="1092"/>
      <c r="I15631" s="1092"/>
    </row>
    <row r="15632" spans="8:9">
      <c r="H15632" s="1092"/>
      <c r="I15632" s="1092"/>
    </row>
    <row r="15633" spans="8:9">
      <c r="H15633" s="1092"/>
      <c r="I15633" s="1092"/>
    </row>
    <row r="15634" spans="8:9">
      <c r="H15634" s="1092"/>
      <c r="I15634" s="1092"/>
    </row>
    <row r="15635" spans="8:9">
      <c r="H15635" s="1092"/>
      <c r="I15635" s="1092"/>
    </row>
    <row r="15636" spans="8:9">
      <c r="H15636" s="1092"/>
      <c r="I15636" s="1092"/>
    </row>
    <row r="15637" spans="8:9">
      <c r="H15637" s="1092"/>
      <c r="I15637" s="1092"/>
    </row>
    <row r="15638" spans="8:9">
      <c r="H15638" s="1092"/>
      <c r="I15638" s="1092"/>
    </row>
    <row r="15639" spans="8:9">
      <c r="H15639" s="1092"/>
      <c r="I15639" s="1092"/>
    </row>
    <row r="15640" spans="8:9">
      <c r="H15640" s="1092"/>
      <c r="I15640" s="1092"/>
    </row>
    <row r="15641" spans="8:9">
      <c r="H15641" s="1092"/>
      <c r="I15641" s="1092"/>
    </row>
    <row r="15642" spans="8:9">
      <c r="H15642" s="1092"/>
      <c r="I15642" s="1092"/>
    </row>
    <row r="15643" spans="8:9">
      <c r="H15643" s="1092"/>
      <c r="I15643" s="1092"/>
    </row>
    <row r="15644" spans="8:9">
      <c r="H15644" s="1092"/>
      <c r="I15644" s="1092"/>
    </row>
    <row r="15645" spans="8:9">
      <c r="H15645" s="1092"/>
      <c r="I15645" s="1092"/>
    </row>
    <row r="15646" spans="8:9">
      <c r="H15646" s="1092"/>
      <c r="I15646" s="1092"/>
    </row>
    <row r="15647" spans="8:9">
      <c r="H15647" s="1092"/>
      <c r="I15647" s="1092"/>
    </row>
    <row r="15648" spans="8:9">
      <c r="H15648" s="1092"/>
      <c r="I15648" s="1092"/>
    </row>
    <row r="15649" spans="8:9">
      <c r="H15649" s="1092"/>
      <c r="I15649" s="1092"/>
    </row>
    <row r="15650" spans="8:9">
      <c r="H15650" s="1092"/>
      <c r="I15650" s="1092"/>
    </row>
    <row r="15651" spans="8:9">
      <c r="H15651" s="1092"/>
      <c r="I15651" s="1092"/>
    </row>
    <row r="15652" spans="8:9">
      <c r="H15652" s="1092"/>
      <c r="I15652" s="1092"/>
    </row>
    <row r="15653" spans="8:9">
      <c r="H15653" s="1092"/>
      <c r="I15653" s="1092"/>
    </row>
    <row r="15654" spans="8:9">
      <c r="H15654" s="1092"/>
      <c r="I15654" s="1092"/>
    </row>
    <row r="15655" spans="8:9">
      <c r="H15655" s="1092"/>
      <c r="I15655" s="1092"/>
    </row>
    <row r="15656" spans="8:9">
      <c r="H15656" s="1092"/>
      <c r="I15656" s="1092"/>
    </row>
    <row r="15657" spans="8:9">
      <c r="H15657" s="1092"/>
      <c r="I15657" s="1092"/>
    </row>
    <row r="15658" spans="8:9">
      <c r="H15658" s="1092"/>
      <c r="I15658" s="1092"/>
    </row>
    <row r="15659" spans="8:9">
      <c r="H15659" s="1092"/>
      <c r="I15659" s="1092"/>
    </row>
    <row r="15660" spans="8:9">
      <c r="H15660" s="1092"/>
      <c r="I15660" s="1092"/>
    </row>
    <row r="15661" spans="8:9">
      <c r="H15661" s="1092"/>
      <c r="I15661" s="1092"/>
    </row>
    <row r="15662" spans="8:9">
      <c r="H15662" s="1092"/>
      <c r="I15662" s="1092"/>
    </row>
    <row r="15663" spans="8:9">
      <c r="H15663" s="1092"/>
      <c r="I15663" s="1092"/>
    </row>
    <row r="15664" spans="8:9">
      <c r="H15664" s="1092"/>
      <c r="I15664" s="1092"/>
    </row>
    <row r="15665" spans="8:9">
      <c r="H15665" s="1092"/>
      <c r="I15665" s="1092"/>
    </row>
    <row r="15666" spans="8:9">
      <c r="H15666" s="1092"/>
      <c r="I15666" s="1092"/>
    </row>
    <row r="15667" spans="8:9">
      <c r="H15667" s="1092"/>
      <c r="I15667" s="1092"/>
    </row>
    <row r="15668" spans="8:9">
      <c r="H15668" s="1092"/>
      <c r="I15668" s="1092"/>
    </row>
    <row r="15669" spans="8:9">
      <c r="H15669" s="1092"/>
      <c r="I15669" s="1092"/>
    </row>
    <row r="15670" spans="8:9">
      <c r="H15670" s="1092"/>
      <c r="I15670" s="1092"/>
    </row>
    <row r="15671" spans="8:9">
      <c r="H15671" s="1092"/>
      <c r="I15671" s="1092"/>
    </row>
    <row r="15672" spans="8:9">
      <c r="H15672" s="1092"/>
      <c r="I15672" s="1092"/>
    </row>
    <row r="15673" spans="8:9">
      <c r="H15673" s="1092"/>
      <c r="I15673" s="1092"/>
    </row>
    <row r="15674" spans="8:9">
      <c r="H15674" s="1092"/>
      <c r="I15674" s="1092"/>
    </row>
    <row r="15675" spans="8:9">
      <c r="H15675" s="1092"/>
      <c r="I15675" s="1092"/>
    </row>
    <row r="15676" spans="8:9">
      <c r="H15676" s="1092"/>
      <c r="I15676" s="1092"/>
    </row>
    <row r="15677" spans="8:9">
      <c r="H15677" s="1092"/>
      <c r="I15677" s="1092"/>
    </row>
    <row r="15678" spans="8:9">
      <c r="H15678" s="1092"/>
      <c r="I15678" s="1092"/>
    </row>
    <row r="15679" spans="8:9">
      <c r="H15679" s="1092"/>
      <c r="I15679" s="1092"/>
    </row>
    <row r="15680" spans="8:9">
      <c r="H15680" s="1092"/>
      <c r="I15680" s="1092"/>
    </row>
    <row r="15681" spans="8:9">
      <c r="H15681" s="1092"/>
      <c r="I15681" s="1092"/>
    </row>
    <row r="15682" spans="8:9">
      <c r="H15682" s="1092"/>
      <c r="I15682" s="1092"/>
    </row>
    <row r="15683" spans="8:9">
      <c r="H15683" s="1092"/>
      <c r="I15683" s="1092"/>
    </row>
    <row r="15684" spans="8:9">
      <c r="H15684" s="1092"/>
      <c r="I15684" s="1092"/>
    </row>
    <row r="15685" spans="8:9">
      <c r="H15685" s="1092"/>
      <c r="I15685" s="1092"/>
    </row>
    <row r="15686" spans="8:9">
      <c r="H15686" s="1092"/>
      <c r="I15686" s="1092"/>
    </row>
    <row r="15687" spans="8:9">
      <c r="H15687" s="1092"/>
      <c r="I15687" s="1092"/>
    </row>
    <row r="15688" spans="8:9">
      <c r="H15688" s="1092"/>
      <c r="I15688" s="1092"/>
    </row>
    <row r="15689" spans="8:9">
      <c r="H15689" s="1092"/>
      <c r="I15689" s="1092"/>
    </row>
    <row r="15690" spans="8:9">
      <c r="H15690" s="1092"/>
      <c r="I15690" s="1092"/>
    </row>
    <row r="15691" spans="8:9">
      <c r="H15691" s="1092"/>
      <c r="I15691" s="1092"/>
    </row>
    <row r="15692" spans="8:9">
      <c r="H15692" s="1092"/>
      <c r="I15692" s="1092"/>
    </row>
    <row r="15693" spans="8:9">
      <c r="H15693" s="1092"/>
      <c r="I15693" s="1092"/>
    </row>
    <row r="15694" spans="8:9">
      <c r="H15694" s="1092"/>
      <c r="I15694" s="1092"/>
    </row>
    <row r="15695" spans="8:9">
      <c r="H15695" s="1092"/>
      <c r="I15695" s="1092"/>
    </row>
    <row r="15696" spans="8:9">
      <c r="H15696" s="1092"/>
      <c r="I15696" s="1092"/>
    </row>
    <row r="15697" spans="8:9">
      <c r="H15697" s="1092"/>
      <c r="I15697" s="1092"/>
    </row>
    <row r="15698" spans="8:9">
      <c r="H15698" s="1092"/>
      <c r="I15698" s="1092"/>
    </row>
    <row r="15699" spans="8:9">
      <c r="H15699" s="1092"/>
      <c r="I15699" s="1092"/>
    </row>
    <row r="15700" spans="8:9">
      <c r="H15700" s="1092"/>
      <c r="I15700" s="1092"/>
    </row>
    <row r="15701" spans="8:9">
      <c r="H15701" s="1092"/>
      <c r="I15701" s="1092"/>
    </row>
    <row r="15702" spans="8:9">
      <c r="H15702" s="1092"/>
      <c r="I15702" s="1092"/>
    </row>
    <row r="15703" spans="8:9">
      <c r="H15703" s="1092"/>
      <c r="I15703" s="1092"/>
    </row>
    <row r="15704" spans="8:9">
      <c r="H15704" s="1092"/>
      <c r="I15704" s="1092"/>
    </row>
    <row r="15705" spans="8:9">
      <c r="H15705" s="1092"/>
      <c r="I15705" s="1092"/>
    </row>
    <row r="15706" spans="8:9">
      <c r="H15706" s="1092"/>
      <c r="I15706" s="1092"/>
    </row>
    <row r="15707" spans="8:9">
      <c r="H15707" s="1092"/>
      <c r="I15707" s="1092"/>
    </row>
    <row r="15708" spans="8:9">
      <c r="H15708" s="1092"/>
      <c r="I15708" s="1092"/>
    </row>
    <row r="15709" spans="8:9">
      <c r="H15709" s="1092"/>
      <c r="I15709" s="1092"/>
    </row>
    <row r="15710" spans="8:9">
      <c r="H15710" s="1092"/>
      <c r="I15710" s="1092"/>
    </row>
    <row r="15711" spans="8:9">
      <c r="H15711" s="1092"/>
      <c r="I15711" s="1092"/>
    </row>
    <row r="15712" spans="8:9">
      <c r="H15712" s="1092"/>
      <c r="I15712" s="1092"/>
    </row>
    <row r="15713" spans="8:9">
      <c r="H15713" s="1092"/>
      <c r="I15713" s="1092"/>
    </row>
    <row r="15714" spans="8:9">
      <c r="H15714" s="1092"/>
      <c r="I15714" s="1092"/>
    </row>
    <row r="15715" spans="8:9">
      <c r="H15715" s="1092"/>
      <c r="I15715" s="1092"/>
    </row>
    <row r="15716" spans="8:9">
      <c r="H15716" s="1092"/>
      <c r="I15716" s="1092"/>
    </row>
    <row r="15717" spans="8:9">
      <c r="H15717" s="1092"/>
      <c r="I15717" s="1092"/>
    </row>
    <row r="15718" spans="8:9">
      <c r="H15718" s="1092"/>
      <c r="I15718" s="1092"/>
    </row>
    <row r="15719" spans="8:9">
      <c r="H15719" s="1092"/>
      <c r="I15719" s="1092"/>
    </row>
    <row r="15720" spans="8:9">
      <c r="H15720" s="1092"/>
      <c r="I15720" s="1092"/>
    </row>
    <row r="15721" spans="8:9">
      <c r="H15721" s="1092"/>
      <c r="I15721" s="1092"/>
    </row>
    <row r="15722" spans="8:9">
      <c r="H15722" s="1092"/>
      <c r="I15722" s="1092"/>
    </row>
    <row r="15723" spans="8:9">
      <c r="H15723" s="1092"/>
      <c r="I15723" s="1092"/>
    </row>
    <row r="15724" spans="8:9">
      <c r="H15724" s="1092"/>
      <c r="I15724" s="1092"/>
    </row>
    <row r="15725" spans="8:9">
      <c r="H15725" s="1092"/>
      <c r="I15725" s="1092"/>
    </row>
    <row r="15726" spans="8:9">
      <c r="H15726" s="1092"/>
      <c r="I15726" s="1092"/>
    </row>
    <row r="15727" spans="8:9">
      <c r="H15727" s="1092"/>
      <c r="I15727" s="1092"/>
    </row>
    <row r="15728" spans="8:9">
      <c r="H15728" s="1092"/>
      <c r="I15728" s="1092"/>
    </row>
    <row r="15729" spans="8:9">
      <c r="H15729" s="1092"/>
      <c r="I15729" s="1092"/>
    </row>
    <row r="15730" spans="8:9">
      <c r="H15730" s="1092"/>
      <c r="I15730" s="1092"/>
    </row>
    <row r="15731" spans="8:9">
      <c r="H15731" s="1092"/>
      <c r="I15731" s="1092"/>
    </row>
    <row r="15732" spans="8:9">
      <c r="H15732" s="1092"/>
      <c r="I15732" s="1092"/>
    </row>
    <row r="15733" spans="8:9">
      <c r="H15733" s="1092"/>
      <c r="I15733" s="1092"/>
    </row>
    <row r="15734" spans="8:9">
      <c r="H15734" s="1092"/>
      <c r="I15734" s="1092"/>
    </row>
    <row r="15735" spans="8:9">
      <c r="H15735" s="1092"/>
      <c r="I15735" s="1092"/>
    </row>
    <row r="15736" spans="8:9">
      <c r="H15736" s="1092"/>
      <c r="I15736" s="1092"/>
    </row>
    <row r="15737" spans="8:9">
      <c r="H15737" s="1092"/>
      <c r="I15737" s="1092"/>
    </row>
    <row r="15738" spans="8:9">
      <c r="H15738" s="1092"/>
      <c r="I15738" s="1092"/>
    </row>
    <row r="15739" spans="8:9">
      <c r="H15739" s="1092"/>
      <c r="I15739" s="1092"/>
    </row>
    <row r="15740" spans="8:9">
      <c r="H15740" s="1092"/>
      <c r="I15740" s="1092"/>
    </row>
    <row r="15741" spans="8:9">
      <c r="H15741" s="1092"/>
      <c r="I15741" s="1092"/>
    </row>
    <row r="15742" spans="8:9">
      <c r="H15742" s="1092"/>
      <c r="I15742" s="1092"/>
    </row>
    <row r="15743" spans="8:9">
      <c r="H15743" s="1092"/>
      <c r="I15743" s="1092"/>
    </row>
    <row r="15744" spans="8:9">
      <c r="H15744" s="1092"/>
      <c r="I15744" s="1092"/>
    </row>
    <row r="15745" spans="8:9">
      <c r="H15745" s="1092"/>
      <c r="I15745" s="1092"/>
    </row>
    <row r="15746" spans="8:9">
      <c r="H15746" s="1092"/>
      <c r="I15746" s="1092"/>
    </row>
    <row r="15747" spans="8:9">
      <c r="H15747" s="1092"/>
      <c r="I15747" s="1092"/>
    </row>
    <row r="15748" spans="8:9">
      <c r="H15748" s="1092"/>
      <c r="I15748" s="1092"/>
    </row>
    <row r="15749" spans="8:9">
      <c r="H15749" s="1092"/>
      <c r="I15749" s="1092"/>
    </row>
    <row r="15750" spans="8:9">
      <c r="H15750" s="1092"/>
      <c r="I15750" s="1092"/>
    </row>
    <row r="15751" spans="8:9">
      <c r="H15751" s="1092"/>
      <c r="I15751" s="1092"/>
    </row>
    <row r="15752" spans="8:9">
      <c r="H15752" s="1092"/>
      <c r="I15752" s="1092"/>
    </row>
    <row r="15753" spans="8:9">
      <c r="H15753" s="1092"/>
      <c r="I15753" s="1092"/>
    </row>
    <row r="15754" spans="8:9">
      <c r="H15754" s="1092"/>
      <c r="I15754" s="1092"/>
    </row>
    <row r="15755" spans="8:9">
      <c r="H15755" s="1092"/>
      <c r="I15755" s="1092"/>
    </row>
    <row r="15756" spans="8:9">
      <c r="H15756" s="1092"/>
      <c r="I15756" s="1092"/>
    </row>
    <row r="15757" spans="8:9">
      <c r="H15757" s="1092"/>
      <c r="I15757" s="1092"/>
    </row>
    <row r="15758" spans="8:9">
      <c r="H15758" s="1092"/>
      <c r="I15758" s="1092"/>
    </row>
    <row r="15759" spans="8:9">
      <c r="H15759" s="1092"/>
      <c r="I15759" s="1092"/>
    </row>
    <row r="15760" spans="8:9">
      <c r="H15760" s="1092"/>
      <c r="I15760" s="1092"/>
    </row>
    <row r="15761" spans="8:9">
      <c r="H15761" s="1092"/>
      <c r="I15761" s="1092"/>
    </row>
    <row r="15762" spans="8:9">
      <c r="H15762" s="1092"/>
      <c r="I15762" s="1092"/>
    </row>
    <row r="15763" spans="8:9">
      <c r="H15763" s="1092"/>
      <c r="I15763" s="1092"/>
    </row>
    <row r="15764" spans="8:9">
      <c r="H15764" s="1092"/>
      <c r="I15764" s="1092"/>
    </row>
    <row r="15765" spans="8:9">
      <c r="H15765" s="1092"/>
      <c r="I15765" s="1092"/>
    </row>
    <row r="15766" spans="8:9">
      <c r="H15766" s="1092"/>
      <c r="I15766" s="1092"/>
    </row>
    <row r="15767" spans="8:9">
      <c r="H15767" s="1092"/>
      <c r="I15767" s="1092"/>
    </row>
    <row r="15768" spans="8:9">
      <c r="H15768" s="1092"/>
      <c r="I15768" s="1092"/>
    </row>
    <row r="15769" spans="8:9">
      <c r="H15769" s="1092"/>
      <c r="I15769" s="1092"/>
    </row>
    <row r="15770" spans="8:9">
      <c r="H15770" s="1092"/>
      <c r="I15770" s="1092"/>
    </row>
    <row r="15771" spans="8:9">
      <c r="H15771" s="1092"/>
      <c r="I15771" s="1092"/>
    </row>
    <row r="15772" spans="8:9">
      <c r="H15772" s="1092"/>
      <c r="I15772" s="1092"/>
    </row>
    <row r="15773" spans="8:9">
      <c r="H15773" s="1092"/>
      <c r="I15773" s="1092"/>
    </row>
    <row r="15774" spans="8:9">
      <c r="H15774" s="1092"/>
      <c r="I15774" s="1092"/>
    </row>
    <row r="15775" spans="8:9">
      <c r="H15775" s="1092"/>
      <c r="I15775" s="1092"/>
    </row>
    <row r="15776" spans="8:9">
      <c r="H15776" s="1092"/>
      <c r="I15776" s="1092"/>
    </row>
    <row r="15777" spans="8:9">
      <c r="H15777" s="1092"/>
      <c r="I15777" s="1092"/>
    </row>
    <row r="15778" spans="8:9">
      <c r="H15778" s="1092"/>
      <c r="I15778" s="1092"/>
    </row>
    <row r="15779" spans="8:9">
      <c r="H15779" s="1092"/>
      <c r="I15779" s="1092"/>
    </row>
    <row r="15780" spans="8:9">
      <c r="H15780" s="1092"/>
      <c r="I15780" s="1092"/>
    </row>
    <row r="15781" spans="8:9">
      <c r="H15781" s="1092"/>
      <c r="I15781" s="1092"/>
    </row>
    <row r="15782" spans="8:9">
      <c r="H15782" s="1092"/>
      <c r="I15782" s="1092"/>
    </row>
    <row r="15783" spans="8:9">
      <c r="H15783" s="1092"/>
      <c r="I15783" s="1092"/>
    </row>
    <row r="15784" spans="8:9">
      <c r="H15784" s="1092"/>
      <c r="I15784" s="1092"/>
    </row>
    <row r="15785" spans="8:9">
      <c r="H15785" s="1092"/>
      <c r="I15785" s="1092"/>
    </row>
    <row r="15786" spans="8:9">
      <c r="H15786" s="1092"/>
      <c r="I15786" s="1092"/>
    </row>
    <row r="15787" spans="8:9">
      <c r="H15787" s="1092"/>
      <c r="I15787" s="1092"/>
    </row>
    <row r="15788" spans="8:9">
      <c r="H15788" s="1092"/>
      <c r="I15788" s="1092"/>
    </row>
    <row r="15789" spans="8:9">
      <c r="H15789" s="1092"/>
      <c r="I15789" s="1092"/>
    </row>
    <row r="15790" spans="8:9">
      <c r="H15790" s="1092"/>
      <c r="I15790" s="1092"/>
    </row>
    <row r="15791" spans="8:9">
      <c r="H15791" s="1092"/>
      <c r="I15791" s="1092"/>
    </row>
    <row r="15792" spans="8:9">
      <c r="H15792" s="1092"/>
      <c r="I15792" s="1092"/>
    </row>
    <row r="15793" spans="8:9">
      <c r="H15793" s="1092"/>
      <c r="I15793" s="1092"/>
    </row>
    <row r="15794" spans="8:9">
      <c r="H15794" s="1092"/>
      <c r="I15794" s="1092"/>
    </row>
    <row r="15795" spans="8:9">
      <c r="H15795" s="1092"/>
      <c r="I15795" s="1092"/>
    </row>
    <row r="15796" spans="8:9">
      <c r="H15796" s="1092"/>
      <c r="I15796" s="1092"/>
    </row>
    <row r="15797" spans="8:9">
      <c r="H15797" s="1092"/>
      <c r="I15797" s="1092"/>
    </row>
    <row r="15798" spans="8:9">
      <c r="H15798" s="1092"/>
      <c r="I15798" s="1092"/>
    </row>
    <row r="15799" spans="8:9">
      <c r="H15799" s="1092"/>
      <c r="I15799" s="1092"/>
    </row>
    <row r="15800" spans="8:9">
      <c r="H15800" s="1092"/>
      <c r="I15800" s="1092"/>
    </row>
    <row r="15801" spans="8:9">
      <c r="H15801" s="1092"/>
      <c r="I15801" s="1092"/>
    </row>
    <row r="15802" spans="8:9">
      <c r="H15802" s="1092"/>
      <c r="I15802" s="1092"/>
    </row>
    <row r="15803" spans="8:9">
      <c r="H15803" s="1092"/>
      <c r="I15803" s="1092"/>
    </row>
    <row r="15804" spans="8:9">
      <c r="H15804" s="1092"/>
      <c r="I15804" s="1092"/>
    </row>
    <row r="15805" spans="8:9">
      <c r="H15805" s="1092"/>
      <c r="I15805" s="1092"/>
    </row>
    <row r="15806" spans="8:9">
      <c r="H15806" s="1092"/>
      <c r="I15806" s="1092"/>
    </row>
    <row r="15807" spans="8:9">
      <c r="H15807" s="1092"/>
      <c r="I15807" s="1092"/>
    </row>
    <row r="15808" spans="8:9">
      <c r="H15808" s="1092"/>
      <c r="I15808" s="1092"/>
    </row>
    <row r="15809" spans="8:9">
      <c r="H15809" s="1092"/>
      <c r="I15809" s="1092"/>
    </row>
    <row r="15810" spans="8:9">
      <c r="H15810" s="1092"/>
      <c r="I15810" s="1092"/>
    </row>
    <row r="15811" spans="8:9">
      <c r="H15811" s="1092"/>
      <c r="I15811" s="1092"/>
    </row>
    <row r="15812" spans="8:9">
      <c r="H15812" s="1092"/>
      <c r="I15812" s="1092"/>
    </row>
    <row r="15813" spans="8:9">
      <c r="H15813" s="1092"/>
      <c r="I15813" s="1092"/>
    </row>
    <row r="15814" spans="8:9">
      <c r="H15814" s="1092"/>
      <c r="I15814" s="1092"/>
    </row>
    <row r="15815" spans="8:9">
      <c r="H15815" s="1092"/>
      <c r="I15815" s="1092"/>
    </row>
    <row r="15816" spans="8:9">
      <c r="H15816" s="1092"/>
      <c r="I15816" s="1092"/>
    </row>
    <row r="15817" spans="8:9">
      <c r="H15817" s="1092"/>
      <c r="I15817" s="1092"/>
    </row>
    <row r="15818" spans="8:9">
      <c r="H15818" s="1092"/>
      <c r="I15818" s="1092"/>
    </row>
    <row r="15819" spans="8:9">
      <c r="H15819" s="1092"/>
      <c r="I15819" s="1092"/>
    </row>
    <row r="15820" spans="8:9">
      <c r="H15820" s="1092"/>
      <c r="I15820" s="1092"/>
    </row>
    <row r="15821" spans="8:9">
      <c r="H15821" s="1092"/>
      <c r="I15821" s="1092"/>
    </row>
    <row r="15822" spans="8:9">
      <c r="H15822" s="1092"/>
      <c r="I15822" s="1092"/>
    </row>
    <row r="15823" spans="8:9">
      <c r="H15823" s="1092"/>
      <c r="I15823" s="1092"/>
    </row>
    <row r="15824" spans="8:9">
      <c r="H15824" s="1092"/>
      <c r="I15824" s="1092"/>
    </row>
    <row r="15825" spans="8:9">
      <c r="H15825" s="1092"/>
      <c r="I15825" s="1092"/>
    </row>
    <row r="15826" spans="8:9">
      <c r="H15826" s="1092"/>
      <c r="I15826" s="1092"/>
    </row>
    <row r="15827" spans="8:9">
      <c r="H15827" s="1092"/>
      <c r="I15827" s="1092"/>
    </row>
    <row r="15828" spans="8:9">
      <c r="H15828" s="1092"/>
      <c r="I15828" s="1092"/>
    </row>
    <row r="15829" spans="8:9">
      <c r="H15829" s="1092"/>
      <c r="I15829" s="1092"/>
    </row>
    <row r="15830" spans="8:9">
      <c r="H15830" s="1092"/>
      <c r="I15830" s="1092"/>
    </row>
    <row r="15831" spans="8:9">
      <c r="H15831" s="1092"/>
      <c r="I15831" s="1092"/>
    </row>
    <row r="15832" spans="8:9">
      <c r="H15832" s="1092"/>
      <c r="I15832" s="1092"/>
    </row>
    <row r="15833" spans="8:9">
      <c r="H15833" s="1092"/>
      <c r="I15833" s="1092"/>
    </row>
    <row r="15834" spans="8:9">
      <c r="H15834" s="1092"/>
      <c r="I15834" s="1092"/>
    </row>
    <row r="15835" spans="8:9">
      <c r="H15835" s="1092"/>
      <c r="I15835" s="1092"/>
    </row>
    <row r="15836" spans="8:9">
      <c r="H15836" s="1092"/>
      <c r="I15836" s="1092"/>
    </row>
    <row r="15837" spans="8:9">
      <c r="H15837" s="1092"/>
      <c r="I15837" s="1092"/>
    </row>
    <row r="15838" spans="8:9">
      <c r="H15838" s="1092"/>
      <c r="I15838" s="1092"/>
    </row>
    <row r="15839" spans="8:9">
      <c r="H15839" s="1092"/>
      <c r="I15839" s="1092"/>
    </row>
    <row r="15840" spans="8:9">
      <c r="H15840" s="1092"/>
      <c r="I15840" s="1092"/>
    </row>
    <row r="15841" spans="8:9">
      <c r="H15841" s="1092"/>
      <c r="I15841" s="1092"/>
    </row>
    <row r="15842" spans="8:9">
      <c r="H15842" s="1092"/>
      <c r="I15842" s="1092"/>
    </row>
    <row r="15843" spans="8:9">
      <c r="H15843" s="1092"/>
      <c r="I15843" s="1092"/>
    </row>
    <row r="15844" spans="8:9">
      <c r="H15844" s="1092"/>
      <c r="I15844" s="1092"/>
    </row>
    <row r="15845" spans="8:9">
      <c r="H15845" s="1092"/>
      <c r="I15845" s="1092"/>
    </row>
    <row r="15846" spans="8:9">
      <c r="H15846" s="1092"/>
      <c r="I15846" s="1092"/>
    </row>
    <row r="15847" spans="8:9">
      <c r="H15847" s="1092"/>
      <c r="I15847" s="1092"/>
    </row>
    <row r="15848" spans="8:9">
      <c r="H15848" s="1092"/>
      <c r="I15848" s="1092"/>
    </row>
    <row r="15849" spans="8:9">
      <c r="H15849" s="1092"/>
      <c r="I15849" s="1092"/>
    </row>
    <row r="15850" spans="8:9">
      <c r="H15850" s="1092"/>
      <c r="I15850" s="1092"/>
    </row>
    <row r="15851" spans="8:9">
      <c r="H15851" s="1092"/>
      <c r="I15851" s="1092"/>
    </row>
    <row r="15852" spans="8:9">
      <c r="H15852" s="1092"/>
      <c r="I15852" s="1092"/>
    </row>
    <row r="15853" spans="8:9">
      <c r="H15853" s="1092"/>
      <c r="I15853" s="1092"/>
    </row>
    <row r="15854" spans="8:9">
      <c r="H15854" s="1092"/>
      <c r="I15854" s="1092"/>
    </row>
    <row r="15855" spans="8:9">
      <c r="H15855" s="1092"/>
      <c r="I15855" s="1092"/>
    </row>
    <row r="15856" spans="8:9">
      <c r="H15856" s="1092"/>
      <c r="I15856" s="1092"/>
    </row>
    <row r="15857" spans="8:9">
      <c r="H15857" s="1092"/>
      <c r="I15857" s="1092"/>
    </row>
    <row r="15858" spans="8:9">
      <c r="H15858" s="1092"/>
      <c r="I15858" s="1092"/>
    </row>
    <row r="15859" spans="8:9">
      <c r="H15859" s="1092"/>
      <c r="I15859" s="1092"/>
    </row>
    <row r="15860" spans="8:9">
      <c r="H15860" s="1092"/>
      <c r="I15860" s="1092"/>
    </row>
    <row r="15861" spans="8:9">
      <c r="H15861" s="1092"/>
      <c r="I15861" s="1092"/>
    </row>
    <row r="15862" spans="8:9">
      <c r="H15862" s="1092"/>
      <c r="I15862" s="1092"/>
    </row>
    <row r="15863" spans="8:9">
      <c r="H15863" s="1092"/>
      <c r="I15863" s="1092"/>
    </row>
    <row r="15864" spans="8:9">
      <c r="H15864" s="1092"/>
      <c r="I15864" s="1092"/>
    </row>
    <row r="15865" spans="8:9">
      <c r="H15865" s="1092"/>
      <c r="I15865" s="1092"/>
    </row>
    <row r="15866" spans="8:9">
      <c r="H15866" s="1092"/>
      <c r="I15866" s="1092"/>
    </row>
    <row r="15867" spans="8:9">
      <c r="H15867" s="1092"/>
      <c r="I15867" s="1092"/>
    </row>
    <row r="15868" spans="8:9">
      <c r="H15868" s="1092"/>
      <c r="I15868" s="1092"/>
    </row>
    <row r="15869" spans="8:9">
      <c r="H15869" s="1092"/>
      <c r="I15869" s="1092"/>
    </row>
    <row r="15870" spans="8:9">
      <c r="H15870" s="1092"/>
      <c r="I15870" s="1092"/>
    </row>
    <row r="15871" spans="8:9">
      <c r="H15871" s="1092"/>
      <c r="I15871" s="1092"/>
    </row>
    <row r="15872" spans="8:9">
      <c r="H15872" s="1092"/>
      <c r="I15872" s="1092"/>
    </row>
    <row r="15873" spans="8:9">
      <c r="H15873" s="1092"/>
      <c r="I15873" s="1092"/>
    </row>
    <row r="15874" spans="8:9">
      <c r="H15874" s="1092"/>
      <c r="I15874" s="1092"/>
    </row>
    <row r="15875" spans="8:9">
      <c r="H15875" s="1092"/>
      <c r="I15875" s="1092"/>
    </row>
    <row r="15876" spans="8:9">
      <c r="H15876" s="1092"/>
      <c r="I15876" s="1092"/>
    </row>
    <row r="15877" spans="8:9">
      <c r="H15877" s="1092"/>
      <c r="I15877" s="1092"/>
    </row>
    <row r="15878" spans="8:9">
      <c r="H15878" s="1092"/>
      <c r="I15878" s="1092"/>
    </row>
    <row r="15879" spans="8:9">
      <c r="H15879" s="1092"/>
      <c r="I15879" s="1092"/>
    </row>
    <row r="15880" spans="8:9">
      <c r="H15880" s="1092"/>
      <c r="I15880" s="1092"/>
    </row>
    <row r="15881" spans="8:9">
      <c r="H15881" s="1092"/>
      <c r="I15881" s="1092"/>
    </row>
    <row r="15882" spans="8:9">
      <c r="H15882" s="1092"/>
      <c r="I15882" s="1092"/>
    </row>
    <row r="15883" spans="8:9">
      <c r="H15883" s="1092"/>
      <c r="I15883" s="1092"/>
    </row>
    <row r="15884" spans="8:9">
      <c r="H15884" s="1092"/>
      <c r="I15884" s="1092"/>
    </row>
    <row r="15885" spans="8:9">
      <c r="H15885" s="1092"/>
      <c r="I15885" s="1092"/>
    </row>
    <row r="15886" spans="8:9">
      <c r="H15886" s="1092"/>
      <c r="I15886" s="1092"/>
    </row>
    <row r="15887" spans="8:9">
      <c r="H15887" s="1092"/>
      <c r="I15887" s="1092"/>
    </row>
    <row r="15888" spans="8:9">
      <c r="H15888" s="1092"/>
      <c r="I15888" s="1092"/>
    </row>
    <row r="15889" spans="8:9">
      <c r="H15889" s="1092"/>
      <c r="I15889" s="1092"/>
    </row>
    <row r="15890" spans="8:9">
      <c r="H15890" s="1092"/>
      <c r="I15890" s="1092"/>
    </row>
    <row r="15891" spans="8:9">
      <c r="H15891" s="1092"/>
      <c r="I15891" s="1092"/>
    </row>
    <row r="15892" spans="8:9">
      <c r="H15892" s="1092"/>
      <c r="I15892" s="1092"/>
    </row>
    <row r="15893" spans="8:9">
      <c r="H15893" s="1092"/>
      <c r="I15893" s="1092"/>
    </row>
    <row r="15894" spans="8:9">
      <c r="H15894" s="1092"/>
      <c r="I15894" s="1092"/>
    </row>
    <row r="15895" spans="8:9">
      <c r="H15895" s="1092"/>
      <c r="I15895" s="1092"/>
    </row>
    <row r="15896" spans="8:9">
      <c r="H15896" s="1092"/>
      <c r="I15896" s="1092"/>
    </row>
    <row r="15897" spans="8:9">
      <c r="H15897" s="1092"/>
      <c r="I15897" s="1092"/>
    </row>
    <row r="15898" spans="8:9">
      <c r="H15898" s="1092"/>
      <c r="I15898" s="1092"/>
    </row>
    <row r="15899" spans="8:9">
      <c r="H15899" s="1092"/>
      <c r="I15899" s="1092"/>
    </row>
    <row r="15900" spans="8:9">
      <c r="H15900" s="1092"/>
      <c r="I15900" s="1092"/>
    </row>
    <row r="15901" spans="8:9">
      <c r="H15901" s="1092"/>
      <c r="I15901" s="1092"/>
    </row>
    <row r="15902" spans="8:9">
      <c r="H15902" s="1092"/>
      <c r="I15902" s="1092"/>
    </row>
    <row r="15903" spans="8:9">
      <c r="H15903" s="1092"/>
      <c r="I15903" s="1092"/>
    </row>
    <row r="15904" spans="8:9">
      <c r="H15904" s="1092"/>
      <c r="I15904" s="1092"/>
    </row>
    <row r="15905" spans="8:9">
      <c r="H15905" s="1092"/>
      <c r="I15905" s="1092"/>
    </row>
    <row r="15906" spans="8:9">
      <c r="H15906" s="1092"/>
      <c r="I15906" s="1092"/>
    </row>
    <row r="15907" spans="8:9">
      <c r="H15907" s="1092"/>
      <c r="I15907" s="1092"/>
    </row>
    <row r="15908" spans="8:9">
      <c r="H15908" s="1092"/>
      <c r="I15908" s="1092"/>
    </row>
    <row r="15909" spans="8:9">
      <c r="H15909" s="1092"/>
      <c r="I15909" s="1092"/>
    </row>
    <row r="15910" spans="8:9">
      <c r="H15910" s="1092"/>
      <c r="I15910" s="1092"/>
    </row>
    <row r="15911" spans="8:9">
      <c r="H15911" s="1092"/>
      <c r="I15911" s="1092"/>
    </row>
    <row r="15912" spans="8:9">
      <c r="H15912" s="1092"/>
      <c r="I15912" s="1092"/>
    </row>
    <row r="15913" spans="8:9">
      <c r="H15913" s="1092"/>
      <c r="I15913" s="1092"/>
    </row>
    <row r="15914" spans="8:9">
      <c r="H15914" s="1092"/>
      <c r="I15914" s="1092"/>
    </row>
    <row r="15915" spans="8:9">
      <c r="H15915" s="1092"/>
      <c r="I15915" s="1092"/>
    </row>
    <row r="15916" spans="8:9">
      <c r="H15916" s="1092"/>
      <c r="I15916" s="1092"/>
    </row>
    <row r="15917" spans="8:9">
      <c r="H15917" s="1092"/>
      <c r="I15917" s="1092"/>
    </row>
    <row r="15918" spans="8:9">
      <c r="H15918" s="1092"/>
      <c r="I15918" s="1092"/>
    </row>
    <row r="15919" spans="8:9">
      <c r="H15919" s="1092"/>
      <c r="I15919" s="1092"/>
    </row>
    <row r="15920" spans="8:9">
      <c r="H15920" s="1092"/>
      <c r="I15920" s="1092"/>
    </row>
    <row r="15921" spans="8:9">
      <c r="H15921" s="1092"/>
      <c r="I15921" s="1092"/>
    </row>
    <row r="15922" spans="8:9">
      <c r="H15922" s="1092"/>
      <c r="I15922" s="1092"/>
    </row>
    <row r="15923" spans="8:9">
      <c r="H15923" s="1092"/>
      <c r="I15923" s="1092"/>
    </row>
    <row r="15924" spans="8:9">
      <c r="H15924" s="1092"/>
      <c r="I15924" s="1092"/>
    </row>
    <row r="15925" spans="8:9">
      <c r="H15925" s="1092"/>
      <c r="I15925" s="1092"/>
    </row>
    <row r="15926" spans="8:9">
      <c r="H15926" s="1092"/>
      <c r="I15926" s="1092"/>
    </row>
    <row r="15927" spans="8:9">
      <c r="H15927" s="1092"/>
      <c r="I15927" s="1092"/>
    </row>
    <row r="15928" spans="8:9">
      <c r="H15928" s="1092"/>
      <c r="I15928" s="1092"/>
    </row>
    <row r="15929" spans="8:9">
      <c r="H15929" s="1092"/>
      <c r="I15929" s="1092"/>
    </row>
    <row r="15930" spans="8:9">
      <c r="H15930" s="1092"/>
      <c r="I15930" s="1092"/>
    </row>
    <row r="15931" spans="8:9">
      <c r="H15931" s="1092"/>
      <c r="I15931" s="1092"/>
    </row>
    <row r="15932" spans="8:9">
      <c r="H15932" s="1092"/>
      <c r="I15932" s="1092"/>
    </row>
    <row r="15933" spans="8:9">
      <c r="H15933" s="1092"/>
      <c r="I15933" s="1092"/>
    </row>
    <row r="15934" spans="8:9">
      <c r="H15934" s="1092"/>
      <c r="I15934" s="1092"/>
    </row>
    <row r="15935" spans="8:9">
      <c r="H15935" s="1092"/>
      <c r="I15935" s="1092"/>
    </row>
    <row r="15936" spans="8:9">
      <c r="H15936" s="1092"/>
      <c r="I15936" s="1092"/>
    </row>
    <row r="15937" spans="8:9">
      <c r="H15937" s="1092"/>
      <c r="I15937" s="1092"/>
    </row>
    <row r="15938" spans="8:9">
      <c r="H15938" s="1092"/>
      <c r="I15938" s="1092"/>
    </row>
    <row r="15939" spans="8:9">
      <c r="H15939" s="1092"/>
      <c r="I15939" s="1092"/>
    </row>
    <row r="15940" spans="8:9">
      <c r="H15940" s="1092"/>
      <c r="I15940" s="1092"/>
    </row>
    <row r="15941" spans="8:9">
      <c r="H15941" s="1092"/>
      <c r="I15941" s="1092"/>
    </row>
    <row r="15942" spans="8:9">
      <c r="H15942" s="1092"/>
      <c r="I15942" s="1092"/>
    </row>
    <row r="15943" spans="8:9">
      <c r="H15943" s="1092"/>
      <c r="I15943" s="1092"/>
    </row>
    <row r="15944" spans="8:9">
      <c r="H15944" s="1092"/>
      <c r="I15944" s="1092"/>
    </row>
    <row r="15945" spans="8:9">
      <c r="H15945" s="1092"/>
      <c r="I15945" s="1092"/>
    </row>
    <row r="15946" spans="8:9">
      <c r="H15946" s="1092"/>
      <c r="I15946" s="1092"/>
    </row>
    <row r="15947" spans="8:9">
      <c r="H15947" s="1092"/>
      <c r="I15947" s="1092"/>
    </row>
    <row r="15948" spans="8:9">
      <c r="H15948" s="1092"/>
      <c r="I15948" s="1092"/>
    </row>
    <row r="15949" spans="8:9">
      <c r="H15949" s="1092"/>
      <c r="I15949" s="1092"/>
    </row>
    <row r="15950" spans="8:9">
      <c r="H15950" s="1092"/>
      <c r="I15950" s="1092"/>
    </row>
    <row r="15951" spans="8:9">
      <c r="H15951" s="1092"/>
      <c r="I15951" s="1092"/>
    </row>
    <row r="15952" spans="8:9">
      <c r="H15952" s="1092"/>
      <c r="I15952" s="1092"/>
    </row>
    <row r="15953" spans="8:9">
      <c r="H15953" s="1092"/>
      <c r="I15953" s="1092"/>
    </row>
    <row r="15954" spans="8:9">
      <c r="H15954" s="1092"/>
      <c r="I15954" s="1092"/>
    </row>
    <row r="15955" spans="8:9">
      <c r="H15955" s="1092"/>
      <c r="I15955" s="1092"/>
    </row>
    <row r="15956" spans="8:9">
      <c r="H15956" s="1092"/>
      <c r="I15956" s="1092"/>
    </row>
    <row r="15957" spans="8:9">
      <c r="H15957" s="1092"/>
      <c r="I15957" s="1092"/>
    </row>
    <row r="15958" spans="8:9">
      <c r="H15958" s="1092"/>
      <c r="I15958" s="1092"/>
    </row>
    <row r="15959" spans="8:9">
      <c r="H15959" s="1092"/>
      <c r="I15959" s="1092"/>
    </row>
    <row r="15960" spans="8:9">
      <c r="H15960" s="1092"/>
      <c r="I15960" s="1092"/>
    </row>
    <row r="15961" spans="8:9">
      <c r="H15961" s="1092"/>
      <c r="I15961" s="1092"/>
    </row>
    <row r="15962" spans="8:9">
      <c r="H15962" s="1092"/>
      <c r="I15962" s="1092"/>
    </row>
    <row r="15963" spans="8:9">
      <c r="H15963" s="1092"/>
      <c r="I15963" s="1092"/>
    </row>
    <row r="15964" spans="8:9">
      <c r="H15964" s="1092"/>
      <c r="I15964" s="1092"/>
    </row>
    <row r="15965" spans="8:9">
      <c r="H15965" s="1092"/>
      <c r="I15965" s="1092"/>
    </row>
    <row r="15966" spans="8:9">
      <c r="H15966" s="1092"/>
      <c r="I15966" s="1092"/>
    </row>
    <row r="15967" spans="8:9">
      <c r="H15967" s="1092"/>
      <c r="I15967" s="1092"/>
    </row>
    <row r="15968" spans="8:9">
      <c r="H15968" s="1092"/>
      <c r="I15968" s="1092"/>
    </row>
    <row r="15969" spans="8:9">
      <c r="H15969" s="1092"/>
      <c r="I15969" s="1092"/>
    </row>
    <row r="15970" spans="8:9">
      <c r="H15970" s="1092"/>
      <c r="I15970" s="1092"/>
    </row>
    <row r="15971" spans="8:9">
      <c r="H15971" s="1092"/>
      <c r="I15971" s="1092"/>
    </row>
    <row r="15972" spans="8:9">
      <c r="H15972" s="1092"/>
      <c r="I15972" s="1092"/>
    </row>
    <row r="15973" spans="8:9">
      <c r="H15973" s="1092"/>
      <c r="I15973" s="1092"/>
    </row>
    <row r="15974" spans="8:9">
      <c r="H15974" s="1092"/>
      <c r="I15974" s="1092"/>
    </row>
    <row r="15975" spans="8:9">
      <c r="H15975" s="1092"/>
      <c r="I15975" s="1092"/>
    </row>
    <row r="15976" spans="8:9">
      <c r="H15976" s="1092"/>
      <c r="I15976" s="1092"/>
    </row>
    <row r="15977" spans="8:9">
      <c r="H15977" s="1092"/>
      <c r="I15977" s="1092"/>
    </row>
    <row r="15978" spans="8:9">
      <c r="H15978" s="1092"/>
      <c r="I15978" s="1092"/>
    </row>
    <row r="15979" spans="8:9">
      <c r="H15979" s="1092"/>
      <c r="I15979" s="1092"/>
    </row>
    <row r="15980" spans="8:9">
      <c r="H15980" s="1092"/>
      <c r="I15980" s="1092"/>
    </row>
    <row r="15981" spans="8:9">
      <c r="H15981" s="1092"/>
      <c r="I15981" s="1092"/>
    </row>
    <row r="15982" spans="8:9">
      <c r="H15982" s="1092"/>
      <c r="I15982" s="1092"/>
    </row>
    <row r="15983" spans="8:9">
      <c r="H15983" s="1092"/>
      <c r="I15983" s="1092"/>
    </row>
    <row r="15984" spans="8:9">
      <c r="H15984" s="1092"/>
      <c r="I15984" s="1092"/>
    </row>
    <row r="15985" spans="8:9">
      <c r="H15985" s="1092"/>
      <c r="I15985" s="1092"/>
    </row>
    <row r="15986" spans="8:9">
      <c r="H15986" s="1092"/>
      <c r="I15986" s="1092"/>
    </row>
    <row r="15987" spans="8:9">
      <c r="H15987" s="1092"/>
      <c r="I15987" s="1092"/>
    </row>
    <row r="15988" spans="8:9">
      <c r="H15988" s="1092"/>
      <c r="I15988" s="1092"/>
    </row>
    <row r="15989" spans="8:9">
      <c r="H15989" s="1092"/>
      <c r="I15989" s="1092"/>
    </row>
    <row r="15990" spans="8:9">
      <c r="H15990" s="1092"/>
      <c r="I15990" s="1092"/>
    </row>
    <row r="15991" spans="8:9">
      <c r="H15991" s="1092"/>
      <c r="I15991" s="1092"/>
    </row>
    <row r="15992" spans="8:9">
      <c r="H15992" s="1092"/>
      <c r="I15992" s="1092"/>
    </row>
    <row r="15993" spans="8:9">
      <c r="H15993" s="1092"/>
      <c r="I15993" s="1092"/>
    </row>
    <row r="15994" spans="8:9">
      <c r="H15994" s="1092"/>
      <c r="I15994" s="1092"/>
    </row>
    <row r="15995" spans="8:9">
      <c r="H15995" s="1092"/>
      <c r="I15995" s="1092"/>
    </row>
    <row r="15996" spans="8:9">
      <c r="H15996" s="1092"/>
      <c r="I15996" s="1092"/>
    </row>
    <row r="15997" spans="8:9">
      <c r="H15997" s="1092"/>
      <c r="I15997" s="1092"/>
    </row>
    <row r="15998" spans="8:9">
      <c r="H15998" s="1092"/>
      <c r="I15998" s="1092"/>
    </row>
    <row r="15999" spans="8:9">
      <c r="H15999" s="1092"/>
      <c r="I15999" s="1092"/>
    </row>
    <row r="16000" spans="8:9">
      <c r="H16000" s="1092"/>
      <c r="I16000" s="1092"/>
    </row>
    <row r="16001" spans="8:9">
      <c r="H16001" s="1092"/>
      <c r="I16001" s="1092"/>
    </row>
    <row r="16002" spans="8:9">
      <c r="H16002" s="1092"/>
      <c r="I16002" s="1092"/>
    </row>
    <row r="16003" spans="8:9">
      <c r="H16003" s="1092"/>
      <c r="I16003" s="1092"/>
    </row>
    <row r="16004" spans="8:9">
      <c r="H16004" s="1092"/>
      <c r="I16004" s="1092"/>
    </row>
    <row r="16005" spans="8:9">
      <c r="H16005" s="1092"/>
      <c r="I16005" s="1092"/>
    </row>
    <row r="16006" spans="8:9">
      <c r="H16006" s="1092"/>
      <c r="I16006" s="1092"/>
    </row>
    <row r="16007" spans="8:9">
      <c r="H16007" s="1092"/>
      <c r="I16007" s="1092"/>
    </row>
    <row r="16008" spans="8:9">
      <c r="H16008" s="1092"/>
      <c r="I16008" s="1092"/>
    </row>
    <row r="16009" spans="8:9">
      <c r="H16009" s="1092"/>
      <c r="I16009" s="1092"/>
    </row>
    <row r="16010" spans="8:9">
      <c r="H16010" s="1092"/>
      <c r="I16010" s="1092"/>
    </row>
    <row r="16011" spans="8:9">
      <c r="H16011" s="1092"/>
      <c r="I16011" s="1092"/>
    </row>
    <row r="16012" spans="8:9">
      <c r="H16012" s="1092"/>
      <c r="I16012" s="1092"/>
    </row>
    <row r="16013" spans="8:9">
      <c r="H16013" s="1092"/>
      <c r="I16013" s="1092"/>
    </row>
    <row r="16014" spans="8:9">
      <c r="H16014" s="1092"/>
      <c r="I16014" s="1092"/>
    </row>
    <row r="16015" spans="8:9">
      <c r="H16015" s="1092"/>
      <c r="I16015" s="1092"/>
    </row>
    <row r="16016" spans="8:9">
      <c r="H16016" s="1092"/>
      <c r="I16016" s="1092"/>
    </row>
    <row r="16017" spans="8:9">
      <c r="H16017" s="1092"/>
      <c r="I16017" s="1092"/>
    </row>
    <row r="16018" spans="8:9">
      <c r="H16018" s="1092"/>
      <c r="I16018" s="1092"/>
    </row>
    <row r="16019" spans="8:9">
      <c r="H16019" s="1092"/>
      <c r="I16019" s="1092"/>
    </row>
    <row r="16020" spans="8:9">
      <c r="H16020" s="1092"/>
      <c r="I16020" s="1092"/>
    </row>
    <row r="16021" spans="8:9">
      <c r="H16021" s="1092"/>
      <c r="I16021" s="1092"/>
    </row>
    <row r="16022" spans="8:9">
      <c r="H16022" s="1092"/>
      <c r="I16022" s="1092"/>
    </row>
    <row r="16023" spans="8:9">
      <c r="H16023" s="1092"/>
      <c r="I16023" s="1092"/>
    </row>
    <row r="16024" spans="8:9">
      <c r="H16024" s="1092"/>
      <c r="I16024" s="1092"/>
    </row>
    <row r="16025" spans="8:9">
      <c r="H16025" s="1092"/>
      <c r="I16025" s="1092"/>
    </row>
    <row r="16026" spans="8:9">
      <c r="H16026" s="1092"/>
      <c r="I16026" s="1092"/>
    </row>
    <row r="16027" spans="8:9">
      <c r="H16027" s="1092"/>
      <c r="I16027" s="1092"/>
    </row>
    <row r="16028" spans="8:9">
      <c r="H16028" s="1092"/>
      <c r="I16028" s="1092"/>
    </row>
    <row r="16029" spans="8:9">
      <c r="H16029" s="1092"/>
      <c r="I16029" s="1092"/>
    </row>
    <row r="16030" spans="8:9">
      <c r="H16030" s="1092"/>
      <c r="I16030" s="1092"/>
    </row>
    <row r="16031" spans="8:9">
      <c r="H16031" s="1092"/>
      <c r="I16031" s="1092"/>
    </row>
    <row r="16032" spans="8:9">
      <c r="H16032" s="1092"/>
      <c r="I16032" s="1092"/>
    </row>
    <row r="16033" spans="8:9">
      <c r="H16033" s="1092"/>
      <c r="I16033" s="1092"/>
    </row>
    <row r="16034" spans="8:9">
      <c r="H16034" s="1092"/>
      <c r="I16034" s="1092"/>
    </row>
    <row r="16035" spans="8:9">
      <c r="H16035" s="1092"/>
      <c r="I16035" s="1092"/>
    </row>
    <row r="16036" spans="8:9">
      <c r="H16036" s="1092"/>
      <c r="I16036" s="1092"/>
    </row>
    <row r="16037" spans="8:9">
      <c r="H16037" s="1092"/>
      <c r="I16037" s="1092"/>
    </row>
    <row r="16038" spans="8:9">
      <c r="H16038" s="1092"/>
      <c r="I16038" s="1092"/>
    </row>
    <row r="16039" spans="8:9">
      <c r="H16039" s="1092"/>
      <c r="I16039" s="1092"/>
    </row>
    <row r="16040" spans="8:9">
      <c r="H16040" s="1092"/>
      <c r="I16040" s="1092"/>
    </row>
    <row r="16041" spans="8:9">
      <c r="H16041" s="1092"/>
      <c r="I16041" s="1092"/>
    </row>
    <row r="16042" spans="8:9">
      <c r="H16042" s="1092"/>
      <c r="I16042" s="1092"/>
    </row>
    <row r="16043" spans="8:9">
      <c r="H16043" s="1092"/>
      <c r="I16043" s="1092"/>
    </row>
    <row r="16044" spans="8:9">
      <c r="H16044" s="1092"/>
      <c r="I16044" s="1092"/>
    </row>
    <row r="16045" spans="8:9">
      <c r="H16045" s="1092"/>
      <c r="I16045" s="1092"/>
    </row>
    <row r="16046" spans="8:9">
      <c r="H16046" s="1092"/>
      <c r="I16046" s="1092"/>
    </row>
    <row r="16047" spans="8:9">
      <c r="H16047" s="1092"/>
      <c r="I16047" s="1092"/>
    </row>
    <row r="16048" spans="8:9">
      <c r="H16048" s="1092"/>
      <c r="I16048" s="1092"/>
    </row>
    <row r="16049" spans="8:9">
      <c r="H16049" s="1092"/>
      <c r="I16049" s="1092"/>
    </row>
    <row r="16050" spans="8:9">
      <c r="H16050" s="1092"/>
      <c r="I16050" s="1092"/>
    </row>
    <row r="16051" spans="8:9">
      <c r="H16051" s="1092"/>
      <c r="I16051" s="1092"/>
    </row>
    <row r="16052" spans="8:9">
      <c r="H16052" s="1092"/>
      <c r="I16052" s="1092"/>
    </row>
    <row r="16053" spans="8:9">
      <c r="H16053" s="1092"/>
      <c r="I16053" s="1092"/>
    </row>
    <row r="16054" spans="8:9">
      <c r="H16054" s="1092"/>
      <c r="I16054" s="1092"/>
    </row>
    <row r="16055" spans="8:9">
      <c r="H16055" s="1092"/>
      <c r="I16055" s="1092"/>
    </row>
    <row r="16056" spans="8:9">
      <c r="H16056" s="1092"/>
      <c r="I16056" s="1092"/>
    </row>
    <row r="16057" spans="8:9">
      <c r="H16057" s="1092"/>
      <c r="I16057" s="1092"/>
    </row>
    <row r="16058" spans="8:9">
      <c r="H16058" s="1092"/>
      <c r="I16058" s="1092"/>
    </row>
    <row r="16059" spans="8:9">
      <c r="H16059" s="1092"/>
      <c r="I16059" s="1092"/>
    </row>
    <row r="16060" spans="8:9">
      <c r="H16060" s="1092"/>
      <c r="I16060" s="1092"/>
    </row>
    <row r="16061" spans="8:9">
      <c r="H16061" s="1092"/>
      <c r="I16061" s="1092"/>
    </row>
    <row r="16062" spans="8:9">
      <c r="H16062" s="1092"/>
      <c r="I16062" s="1092"/>
    </row>
    <row r="16063" spans="8:9">
      <c r="H16063" s="1092"/>
      <c r="I16063" s="1092"/>
    </row>
    <row r="16064" spans="8:9">
      <c r="H16064" s="1092"/>
      <c r="I16064" s="1092"/>
    </row>
    <row r="16065" spans="8:9">
      <c r="H16065" s="1092"/>
      <c r="I16065" s="1092"/>
    </row>
    <row r="16066" spans="8:9">
      <c r="H16066" s="1092"/>
      <c r="I16066" s="1092"/>
    </row>
    <row r="16067" spans="8:9">
      <c r="H16067" s="1092"/>
      <c r="I16067" s="1092"/>
    </row>
    <row r="16068" spans="8:9">
      <c r="H16068" s="1092"/>
      <c r="I16068" s="1092"/>
    </row>
    <row r="16069" spans="8:9">
      <c r="H16069" s="1092"/>
      <c r="I16069" s="1092"/>
    </row>
    <row r="16070" spans="8:9">
      <c r="H16070" s="1092"/>
      <c r="I16070" s="1092"/>
    </row>
    <row r="16071" spans="8:9">
      <c r="H16071" s="1092"/>
      <c r="I16071" s="1092"/>
    </row>
    <row r="16072" spans="8:9">
      <c r="H16072" s="1092"/>
      <c r="I16072" s="1092"/>
    </row>
    <row r="16073" spans="8:9">
      <c r="H16073" s="1092"/>
      <c r="I16073" s="1092"/>
    </row>
    <row r="16074" spans="8:9">
      <c r="H16074" s="1092"/>
      <c r="I16074" s="1092"/>
    </row>
    <row r="16075" spans="8:9">
      <c r="H16075" s="1092"/>
      <c r="I16075" s="1092"/>
    </row>
    <row r="16076" spans="8:9">
      <c r="H16076" s="1092"/>
      <c r="I16076" s="1092"/>
    </row>
    <row r="16077" spans="8:9">
      <c r="H16077" s="1092"/>
      <c r="I16077" s="1092"/>
    </row>
    <row r="16078" spans="8:9">
      <c r="H16078" s="1092"/>
      <c r="I16078" s="1092"/>
    </row>
    <row r="16079" spans="8:9">
      <c r="H16079" s="1092"/>
      <c r="I16079" s="1092"/>
    </row>
    <row r="16080" spans="8:9">
      <c r="H16080" s="1092"/>
      <c r="I16080" s="1092"/>
    </row>
    <row r="16081" spans="8:9">
      <c r="H16081" s="1092"/>
      <c r="I16081" s="1092"/>
    </row>
    <row r="16082" spans="8:9">
      <c r="H16082" s="1092"/>
      <c r="I16082" s="1092"/>
    </row>
    <row r="16083" spans="8:9">
      <c r="H16083" s="1092"/>
      <c r="I16083" s="1092"/>
    </row>
    <row r="16084" spans="8:9">
      <c r="H16084" s="1092"/>
      <c r="I16084" s="1092"/>
    </row>
    <row r="16085" spans="8:9">
      <c r="H16085" s="1092"/>
      <c r="I16085" s="1092"/>
    </row>
    <row r="16086" spans="8:9">
      <c r="H16086" s="1092"/>
      <c r="I16086" s="1092"/>
    </row>
    <row r="16087" spans="8:9">
      <c r="H16087" s="1092"/>
      <c r="I16087" s="1092"/>
    </row>
    <row r="16088" spans="8:9">
      <c r="H16088" s="1092"/>
      <c r="I16088" s="1092"/>
    </row>
    <row r="16089" spans="8:9">
      <c r="H16089" s="1092"/>
      <c r="I16089" s="1092"/>
    </row>
    <row r="16090" spans="8:9">
      <c r="H16090" s="1092"/>
      <c r="I16090" s="1092"/>
    </row>
    <row r="16091" spans="8:9">
      <c r="H16091" s="1092"/>
      <c r="I16091" s="1092"/>
    </row>
    <row r="16092" spans="8:9">
      <c r="H16092" s="1092"/>
      <c r="I16092" s="1092"/>
    </row>
    <row r="16093" spans="8:9">
      <c r="H16093" s="1092"/>
      <c r="I16093" s="1092"/>
    </row>
    <row r="16094" spans="8:9">
      <c r="H16094" s="1092"/>
      <c r="I16094" s="1092"/>
    </row>
    <row r="16095" spans="8:9">
      <c r="H16095" s="1092"/>
      <c r="I16095" s="1092"/>
    </row>
    <row r="16096" spans="8:9">
      <c r="H16096" s="1092"/>
      <c r="I16096" s="1092"/>
    </row>
    <row r="16097" spans="8:9">
      <c r="H16097" s="1092"/>
      <c r="I16097" s="1092"/>
    </row>
    <row r="16098" spans="8:9">
      <c r="H16098" s="1092"/>
      <c r="I16098" s="1092"/>
    </row>
    <row r="16099" spans="8:9">
      <c r="H16099" s="1092"/>
      <c r="I16099" s="1092"/>
    </row>
    <row r="16100" spans="8:9">
      <c r="H16100" s="1092"/>
      <c r="I16100" s="1092"/>
    </row>
    <row r="16101" spans="8:9">
      <c r="H16101" s="1092"/>
      <c r="I16101" s="1092"/>
    </row>
    <row r="16102" spans="8:9">
      <c r="H16102" s="1092"/>
      <c r="I16102" s="1092"/>
    </row>
    <row r="16103" spans="8:9">
      <c r="H16103" s="1092"/>
      <c r="I16103" s="1092"/>
    </row>
    <row r="16104" spans="8:9">
      <c r="H16104" s="1092"/>
      <c r="I16104" s="1092"/>
    </row>
    <row r="16105" spans="8:9">
      <c r="H16105" s="1092"/>
      <c r="I16105" s="1092"/>
    </row>
    <row r="16106" spans="8:9">
      <c r="H16106" s="1092"/>
      <c r="I16106" s="1092"/>
    </row>
    <row r="16107" spans="8:9">
      <c r="H16107" s="1092"/>
      <c r="I16107" s="1092"/>
    </row>
    <row r="16108" spans="8:9">
      <c r="H16108" s="1092"/>
      <c r="I16108" s="1092"/>
    </row>
    <row r="16109" spans="8:9">
      <c r="H16109" s="1092"/>
      <c r="I16109" s="1092"/>
    </row>
    <row r="16110" spans="8:9">
      <c r="H16110" s="1092"/>
      <c r="I16110" s="1092"/>
    </row>
    <row r="16111" spans="8:9">
      <c r="H16111" s="1092"/>
      <c r="I16111" s="1092"/>
    </row>
    <row r="16112" spans="8:9">
      <c r="H16112" s="1092"/>
      <c r="I16112" s="1092"/>
    </row>
    <row r="16113" spans="8:9">
      <c r="H16113" s="1092"/>
      <c r="I16113" s="1092"/>
    </row>
    <row r="16114" spans="8:9">
      <c r="H16114" s="1092"/>
      <c r="I16114" s="1092"/>
    </row>
    <row r="16115" spans="8:9">
      <c r="H16115" s="1092"/>
      <c r="I16115" s="1092"/>
    </row>
    <row r="16116" spans="8:9">
      <c r="H16116" s="1092"/>
      <c r="I16116" s="1092"/>
    </row>
    <row r="16117" spans="8:9">
      <c r="H16117" s="1092"/>
      <c r="I16117" s="1092"/>
    </row>
    <row r="16118" spans="8:9">
      <c r="H16118" s="1092"/>
      <c r="I16118" s="1092"/>
    </row>
    <row r="16119" spans="8:9">
      <c r="H16119" s="1092"/>
      <c r="I16119" s="1092"/>
    </row>
    <row r="16120" spans="8:9">
      <c r="H16120" s="1092"/>
      <c r="I16120" s="1092"/>
    </row>
    <row r="16121" spans="8:9">
      <c r="H16121" s="1092"/>
      <c r="I16121" s="1092"/>
    </row>
    <row r="16122" spans="8:9">
      <c r="H16122" s="1092"/>
      <c r="I16122" s="1092"/>
    </row>
    <row r="16123" spans="8:9">
      <c r="H16123" s="1092"/>
      <c r="I16123" s="1092"/>
    </row>
    <row r="16124" spans="8:9">
      <c r="H16124" s="1092"/>
      <c r="I16124" s="1092"/>
    </row>
    <row r="16125" spans="8:9">
      <c r="H16125" s="1092"/>
      <c r="I16125" s="1092"/>
    </row>
    <row r="16126" spans="8:9">
      <c r="H16126" s="1092"/>
      <c r="I16126" s="1092"/>
    </row>
    <row r="16127" spans="8:9">
      <c r="H16127" s="1092"/>
      <c r="I16127" s="1092"/>
    </row>
    <row r="16128" spans="8:9">
      <c r="H16128" s="1092"/>
      <c r="I16128" s="1092"/>
    </row>
    <row r="16129" spans="8:9">
      <c r="H16129" s="1092"/>
      <c r="I16129" s="1092"/>
    </row>
    <row r="16130" spans="8:9">
      <c r="H16130" s="1092"/>
      <c r="I16130" s="1092"/>
    </row>
    <row r="16131" spans="8:9">
      <c r="H16131" s="1092"/>
      <c r="I16131" s="1092"/>
    </row>
    <row r="16132" spans="8:9">
      <c r="H16132" s="1092"/>
      <c r="I16132" s="1092"/>
    </row>
    <row r="16133" spans="8:9">
      <c r="H16133" s="1092"/>
      <c r="I16133" s="1092"/>
    </row>
    <row r="16134" spans="8:9">
      <c r="H16134" s="1092"/>
      <c r="I16134" s="1092"/>
    </row>
    <row r="16135" spans="8:9">
      <c r="H16135" s="1092"/>
      <c r="I16135" s="1092"/>
    </row>
    <row r="16136" spans="8:9">
      <c r="H16136" s="1092"/>
      <c r="I16136" s="1092"/>
    </row>
    <row r="16137" spans="8:9">
      <c r="H16137" s="1092"/>
      <c r="I16137" s="1092"/>
    </row>
    <row r="16138" spans="8:9">
      <c r="H16138" s="1092"/>
      <c r="I16138" s="1092"/>
    </row>
    <row r="16139" spans="8:9">
      <c r="H16139" s="1092"/>
      <c r="I16139" s="1092"/>
    </row>
    <row r="16140" spans="8:9">
      <c r="H16140" s="1092"/>
      <c r="I16140" s="1092"/>
    </row>
    <row r="16141" spans="8:9">
      <c r="H16141" s="1092"/>
      <c r="I16141" s="1092"/>
    </row>
    <row r="16142" spans="8:9">
      <c r="H16142" s="1092"/>
      <c r="I16142" s="1092"/>
    </row>
    <row r="16143" spans="8:9">
      <c r="H16143" s="1092"/>
      <c r="I16143" s="1092"/>
    </row>
    <row r="16144" spans="8:9">
      <c r="H16144" s="1092"/>
      <c r="I16144" s="1092"/>
    </row>
    <row r="16145" spans="8:9">
      <c r="H16145" s="1092"/>
      <c r="I16145" s="1092"/>
    </row>
    <row r="16146" spans="8:9">
      <c r="H16146" s="1092"/>
      <c r="I16146" s="1092"/>
    </row>
    <row r="16147" spans="8:9">
      <c r="H16147" s="1092"/>
      <c r="I16147" s="1092"/>
    </row>
    <row r="16148" spans="8:9">
      <c r="H16148" s="1092"/>
      <c r="I16148" s="1092"/>
    </row>
    <row r="16149" spans="8:9">
      <c r="H16149" s="1092"/>
      <c r="I16149" s="1092"/>
    </row>
    <row r="16150" spans="8:9">
      <c r="H16150" s="1092"/>
      <c r="I16150" s="1092"/>
    </row>
    <row r="16151" spans="8:9">
      <c r="H16151" s="1092"/>
      <c r="I16151" s="1092"/>
    </row>
    <row r="16152" spans="8:9">
      <c r="H16152" s="1092"/>
      <c r="I16152" s="1092"/>
    </row>
    <row r="16153" spans="8:9">
      <c r="H16153" s="1092"/>
      <c r="I16153" s="1092"/>
    </row>
    <row r="16154" spans="8:9">
      <c r="H16154" s="1092"/>
      <c r="I16154" s="1092"/>
    </row>
    <row r="16155" spans="8:9">
      <c r="H16155" s="1092"/>
      <c r="I16155" s="1092"/>
    </row>
    <row r="16156" spans="8:9">
      <c r="H16156" s="1092"/>
      <c r="I16156" s="1092"/>
    </row>
    <row r="16157" spans="8:9">
      <c r="H16157" s="1092"/>
      <c r="I16157" s="1092"/>
    </row>
    <row r="16158" spans="8:9">
      <c r="H16158" s="1092"/>
      <c r="I16158" s="1092"/>
    </row>
    <row r="16159" spans="8:9">
      <c r="H16159" s="1092"/>
      <c r="I16159" s="1092"/>
    </row>
    <row r="16160" spans="8:9">
      <c r="H16160" s="1092"/>
      <c r="I16160" s="1092"/>
    </row>
    <row r="16161" spans="8:9">
      <c r="H16161" s="1092"/>
      <c r="I16161" s="1092"/>
    </row>
    <row r="16162" spans="8:9">
      <c r="H16162" s="1092"/>
      <c r="I16162" s="1092"/>
    </row>
    <row r="16163" spans="8:9">
      <c r="H16163" s="1092"/>
      <c r="I16163" s="1092"/>
    </row>
    <row r="16164" spans="8:9">
      <c r="H16164" s="1092"/>
      <c r="I16164" s="1092"/>
    </row>
    <row r="16165" spans="8:9">
      <c r="H16165" s="1092"/>
      <c r="I16165" s="1092"/>
    </row>
    <row r="16166" spans="8:9">
      <c r="H16166" s="1092"/>
      <c r="I16166" s="1092"/>
    </row>
    <row r="16167" spans="8:9">
      <c r="H16167" s="1092"/>
      <c r="I16167" s="1092"/>
    </row>
    <row r="16168" spans="8:9">
      <c r="H16168" s="1092"/>
      <c r="I16168" s="1092"/>
    </row>
    <row r="16169" spans="8:9">
      <c r="H16169" s="1092"/>
      <c r="I16169" s="1092"/>
    </row>
    <row r="16170" spans="8:9">
      <c r="H16170" s="1092"/>
      <c r="I16170" s="1092"/>
    </row>
    <row r="16171" spans="8:9">
      <c r="H16171" s="1092"/>
      <c r="I16171" s="1092"/>
    </row>
    <row r="16172" spans="8:9">
      <c r="H16172" s="1092"/>
      <c r="I16172" s="1092"/>
    </row>
    <row r="16173" spans="8:9">
      <c r="H16173" s="1092"/>
      <c r="I16173" s="1092"/>
    </row>
    <row r="16174" spans="8:9">
      <c r="H16174" s="1092"/>
      <c r="I16174" s="1092"/>
    </row>
    <row r="16175" spans="8:9">
      <c r="H16175" s="1092"/>
      <c r="I16175" s="1092"/>
    </row>
    <row r="16176" spans="8:9">
      <c r="H16176" s="1092"/>
      <c r="I16176" s="1092"/>
    </row>
    <row r="16177" spans="8:9">
      <c r="H16177" s="1092"/>
      <c r="I16177" s="1092"/>
    </row>
    <row r="16178" spans="8:9">
      <c r="H16178" s="1092"/>
      <c r="I16178" s="1092"/>
    </row>
    <row r="16179" spans="8:9">
      <c r="H16179" s="1092"/>
      <c r="I16179" s="1092"/>
    </row>
    <row r="16180" spans="8:9">
      <c r="H16180" s="1092"/>
      <c r="I16180" s="1092"/>
    </row>
    <row r="16181" spans="8:9">
      <c r="H16181" s="1092"/>
      <c r="I16181" s="1092"/>
    </row>
    <row r="16182" spans="8:9">
      <c r="H16182" s="1092"/>
      <c r="I16182" s="1092"/>
    </row>
    <row r="16183" spans="8:9">
      <c r="H16183" s="1092"/>
      <c r="I16183" s="1092"/>
    </row>
    <row r="16184" spans="8:9">
      <c r="H16184" s="1092"/>
      <c r="I16184" s="1092"/>
    </row>
    <row r="16185" spans="8:9">
      <c r="H16185" s="1092"/>
      <c r="I16185" s="1092"/>
    </row>
    <row r="16186" spans="8:9">
      <c r="H16186" s="1092"/>
      <c r="I16186" s="1092"/>
    </row>
    <row r="16187" spans="8:9">
      <c r="H16187" s="1092"/>
      <c r="I16187" s="1092"/>
    </row>
    <row r="16188" spans="8:9">
      <c r="H16188" s="1092"/>
      <c r="I16188" s="1092"/>
    </row>
    <row r="16189" spans="8:9">
      <c r="H16189" s="1092"/>
      <c r="I16189" s="1092"/>
    </row>
    <row r="16190" spans="8:9">
      <c r="H16190" s="1092"/>
      <c r="I16190" s="1092"/>
    </row>
    <row r="16191" spans="8:9">
      <c r="H16191" s="1092"/>
      <c r="I16191" s="1092"/>
    </row>
    <row r="16192" spans="8:9">
      <c r="H16192" s="1092"/>
      <c r="I16192" s="1092"/>
    </row>
    <row r="16193" spans="8:9">
      <c r="H16193" s="1092"/>
      <c r="I16193" s="1092"/>
    </row>
    <row r="16194" spans="8:9">
      <c r="H16194" s="1092"/>
      <c r="I16194" s="1092"/>
    </row>
    <row r="16195" spans="8:9">
      <c r="H16195" s="1092"/>
      <c r="I16195" s="1092"/>
    </row>
    <row r="16196" spans="8:9">
      <c r="H16196" s="1092"/>
      <c r="I16196" s="1092"/>
    </row>
    <row r="16197" spans="8:9">
      <c r="H16197" s="1092"/>
      <c r="I16197" s="1092"/>
    </row>
    <row r="16198" spans="8:9">
      <c r="H16198" s="1092"/>
      <c r="I16198" s="1092"/>
    </row>
    <row r="16199" spans="8:9">
      <c r="H16199" s="1092"/>
      <c r="I16199" s="1092"/>
    </row>
    <row r="16200" spans="8:9">
      <c r="H16200" s="1092"/>
      <c r="I16200" s="1092"/>
    </row>
    <row r="16201" spans="8:9">
      <c r="H16201" s="1092"/>
      <c r="I16201" s="1092"/>
    </row>
    <row r="16202" spans="8:9">
      <c r="H16202" s="1092"/>
      <c r="I16202" s="1092"/>
    </row>
    <row r="16203" spans="8:9">
      <c r="H16203" s="1092"/>
      <c r="I16203" s="1092"/>
    </row>
    <row r="16204" spans="8:9">
      <c r="H16204" s="1092"/>
      <c r="I16204" s="1092"/>
    </row>
    <row r="16205" spans="8:9">
      <c r="H16205" s="1092"/>
      <c r="I16205" s="1092"/>
    </row>
    <row r="16206" spans="8:9">
      <c r="H16206" s="1092"/>
      <c r="I16206" s="1092"/>
    </row>
    <row r="16207" spans="8:9">
      <c r="H16207" s="1092"/>
      <c r="I16207" s="1092"/>
    </row>
    <row r="16208" spans="8:9">
      <c r="H16208" s="1092"/>
      <c r="I16208" s="1092"/>
    </row>
    <row r="16209" spans="8:9">
      <c r="H16209" s="1092"/>
      <c r="I16209" s="1092"/>
    </row>
    <row r="16210" spans="8:9">
      <c r="H16210" s="1092"/>
      <c r="I16210" s="1092"/>
    </row>
    <row r="16211" spans="8:9">
      <c r="H16211" s="1092"/>
      <c r="I16211" s="1092"/>
    </row>
    <row r="16212" spans="8:9">
      <c r="H16212" s="1092"/>
      <c r="I16212" s="1092"/>
    </row>
    <row r="16213" spans="8:9">
      <c r="H16213" s="1092"/>
      <c r="I16213" s="1092"/>
    </row>
    <row r="16214" spans="8:9">
      <c r="H16214" s="1092"/>
      <c r="I16214" s="1092"/>
    </row>
    <row r="16215" spans="8:9">
      <c r="H16215" s="1092"/>
      <c r="I16215" s="1092"/>
    </row>
    <row r="16216" spans="8:9">
      <c r="H16216" s="1092"/>
      <c r="I16216" s="1092"/>
    </row>
    <row r="16217" spans="8:9">
      <c r="H16217" s="1092"/>
      <c r="I16217" s="1092"/>
    </row>
    <row r="16218" spans="8:9">
      <c r="H16218" s="1092"/>
      <c r="I16218" s="1092"/>
    </row>
    <row r="16219" spans="8:9">
      <c r="H16219" s="1092"/>
      <c r="I16219" s="1092"/>
    </row>
    <row r="16220" spans="8:9">
      <c r="H16220" s="1092"/>
      <c r="I16220" s="1092"/>
    </row>
    <row r="16221" spans="8:9">
      <c r="H16221" s="1092"/>
      <c r="I16221" s="1092"/>
    </row>
    <row r="16222" spans="8:9">
      <c r="H16222" s="1092"/>
      <c r="I16222" s="1092"/>
    </row>
    <row r="16223" spans="8:9">
      <c r="H16223" s="1092"/>
      <c r="I16223" s="1092"/>
    </row>
    <row r="16224" spans="8:9">
      <c r="H16224" s="1092"/>
      <c r="I16224" s="1092"/>
    </row>
    <row r="16225" spans="8:9">
      <c r="H16225" s="1092"/>
      <c r="I16225" s="1092"/>
    </row>
    <row r="16226" spans="8:9">
      <c r="H16226" s="1092"/>
      <c r="I16226" s="1092"/>
    </row>
    <row r="16227" spans="8:9">
      <c r="H16227" s="1092"/>
      <c r="I16227" s="1092"/>
    </row>
    <row r="16228" spans="8:9">
      <c r="H16228" s="1092"/>
      <c r="I16228" s="1092"/>
    </row>
    <row r="16229" spans="8:9">
      <c r="H16229" s="1092"/>
      <c r="I16229" s="1092"/>
    </row>
    <row r="16230" spans="8:9">
      <c r="H16230" s="1092"/>
      <c r="I16230" s="1092"/>
    </row>
    <row r="16231" spans="8:9">
      <c r="H16231" s="1092"/>
      <c r="I16231" s="1092"/>
    </row>
    <row r="16232" spans="8:9">
      <c r="H16232" s="1092"/>
      <c r="I16232" s="1092"/>
    </row>
    <row r="16233" spans="8:9">
      <c r="H16233" s="1092"/>
      <c r="I16233" s="1092"/>
    </row>
    <row r="16234" spans="8:9">
      <c r="H16234" s="1092"/>
      <c r="I16234" s="1092"/>
    </row>
    <row r="16235" spans="8:9">
      <c r="H16235" s="1092"/>
      <c r="I16235" s="1092"/>
    </row>
    <row r="16236" spans="8:9">
      <c r="H16236" s="1092"/>
      <c r="I16236" s="1092"/>
    </row>
    <row r="16237" spans="8:9">
      <c r="H16237" s="1092"/>
      <c r="I16237" s="1092"/>
    </row>
    <row r="16238" spans="8:9">
      <c r="H16238" s="1092"/>
      <c r="I16238" s="1092"/>
    </row>
    <row r="16239" spans="8:9">
      <c r="H16239" s="1092"/>
      <c r="I16239" s="1092"/>
    </row>
    <row r="16240" spans="8:9">
      <c r="H16240" s="1092"/>
      <c r="I16240" s="1092"/>
    </row>
    <row r="16241" spans="8:9">
      <c r="H16241" s="1092"/>
      <c r="I16241" s="1092"/>
    </row>
    <row r="16242" spans="8:9">
      <c r="H16242" s="1092"/>
      <c r="I16242" s="1092"/>
    </row>
    <row r="16243" spans="8:9">
      <c r="H16243" s="1092"/>
      <c r="I16243" s="1092"/>
    </row>
    <row r="16244" spans="8:9">
      <c r="H16244" s="1092"/>
      <c r="I16244" s="1092"/>
    </row>
    <row r="16245" spans="8:9">
      <c r="H16245" s="1092"/>
      <c r="I16245" s="1092"/>
    </row>
    <row r="16246" spans="8:9">
      <c r="H16246" s="1092"/>
      <c r="I16246" s="1092"/>
    </row>
    <row r="16247" spans="8:9">
      <c r="H16247" s="1092"/>
      <c r="I16247" s="1092"/>
    </row>
    <row r="16248" spans="8:9">
      <c r="H16248" s="1092"/>
      <c r="I16248" s="1092"/>
    </row>
    <row r="16249" spans="8:9">
      <c r="H16249" s="1092"/>
      <c r="I16249" s="1092"/>
    </row>
    <row r="16250" spans="8:9">
      <c r="H16250" s="1092"/>
      <c r="I16250" s="1092"/>
    </row>
    <row r="16251" spans="8:9">
      <c r="H16251" s="1092"/>
      <c r="I16251" s="1092"/>
    </row>
    <row r="16252" spans="8:9">
      <c r="H16252" s="1092"/>
      <c r="I16252" s="1092"/>
    </row>
    <row r="16253" spans="8:9">
      <c r="H16253" s="1092"/>
      <c r="I16253" s="1092"/>
    </row>
    <row r="16254" spans="8:9">
      <c r="H16254" s="1092"/>
      <c r="I16254" s="1092"/>
    </row>
    <row r="16255" spans="8:9">
      <c r="H16255" s="1092"/>
      <c r="I16255" s="1092"/>
    </row>
    <row r="16256" spans="8:9">
      <c r="H16256" s="1092"/>
      <c r="I16256" s="1092"/>
    </row>
    <row r="16257" spans="8:9">
      <c r="H16257" s="1092"/>
      <c r="I16257" s="1092"/>
    </row>
    <row r="16258" spans="8:9">
      <c r="H16258" s="1092"/>
      <c r="I16258" s="1092"/>
    </row>
    <row r="16259" spans="8:9">
      <c r="H16259" s="1092"/>
      <c r="I16259" s="1092"/>
    </row>
    <row r="16260" spans="8:9">
      <c r="H16260" s="1092"/>
      <c r="I16260" s="1092"/>
    </row>
    <row r="16261" spans="8:9">
      <c r="H16261" s="1092"/>
      <c r="I16261" s="1092"/>
    </row>
    <row r="16262" spans="8:9">
      <c r="H16262" s="1092"/>
      <c r="I16262" s="1092"/>
    </row>
    <row r="16263" spans="8:9">
      <c r="H16263" s="1092"/>
      <c r="I16263" s="1092"/>
    </row>
    <row r="16264" spans="8:9">
      <c r="H16264" s="1092"/>
      <c r="I16264" s="1092"/>
    </row>
    <row r="16265" spans="8:9">
      <c r="H16265" s="1092"/>
      <c r="I16265" s="1092"/>
    </row>
    <row r="16266" spans="8:9">
      <c r="H16266" s="1092"/>
      <c r="I16266" s="1092"/>
    </row>
    <row r="16267" spans="8:9">
      <c r="H16267" s="1092"/>
      <c r="I16267" s="1092"/>
    </row>
    <row r="16268" spans="8:9">
      <c r="H16268" s="1092"/>
      <c r="I16268" s="1092"/>
    </row>
    <row r="16269" spans="8:9">
      <c r="H16269" s="1092"/>
      <c r="I16269" s="1092"/>
    </row>
    <row r="16270" spans="8:9">
      <c r="H16270" s="1092"/>
      <c r="I16270" s="1092"/>
    </row>
    <row r="16271" spans="8:9">
      <c r="H16271" s="1092"/>
      <c r="I16271" s="1092"/>
    </row>
    <row r="16272" spans="8:9">
      <c r="H16272" s="1092"/>
      <c r="I16272" s="1092"/>
    </row>
    <row r="16273" spans="8:9">
      <c r="H16273" s="1092"/>
      <c r="I16273" s="1092"/>
    </row>
    <row r="16274" spans="8:9">
      <c r="H16274" s="1092"/>
      <c r="I16274" s="1092"/>
    </row>
    <row r="16275" spans="8:9">
      <c r="H16275" s="1092"/>
      <c r="I16275" s="1092"/>
    </row>
    <row r="16276" spans="8:9">
      <c r="H16276" s="1092"/>
      <c r="I16276" s="1092"/>
    </row>
    <row r="16277" spans="8:9">
      <c r="H16277" s="1092"/>
      <c r="I16277" s="1092"/>
    </row>
    <row r="16278" spans="8:9">
      <c r="H16278" s="1092"/>
      <c r="I16278" s="1092"/>
    </row>
    <row r="16279" spans="8:9">
      <c r="H16279" s="1092"/>
      <c r="I16279" s="1092"/>
    </row>
    <row r="16280" spans="8:9">
      <c r="H16280" s="1092"/>
      <c r="I16280" s="1092"/>
    </row>
    <row r="16281" spans="8:9">
      <c r="H16281" s="1092"/>
      <c r="I16281" s="1092"/>
    </row>
    <row r="16282" spans="8:9">
      <c r="H16282" s="1092"/>
      <c r="I16282" s="1092"/>
    </row>
    <row r="16283" spans="8:9">
      <c r="H16283" s="1092"/>
      <c r="I16283" s="1092"/>
    </row>
    <row r="16284" spans="8:9">
      <c r="H16284" s="1092"/>
      <c r="I16284" s="1092"/>
    </row>
    <row r="16285" spans="8:9">
      <c r="H16285" s="1092"/>
      <c r="I16285" s="1092"/>
    </row>
    <row r="16286" spans="8:9">
      <c r="H16286" s="1092"/>
      <c r="I16286" s="1092"/>
    </row>
    <row r="16287" spans="8:9">
      <c r="H16287" s="1092"/>
      <c r="I16287" s="1092"/>
    </row>
    <row r="16288" spans="8:9">
      <c r="H16288" s="1092"/>
      <c r="I16288" s="1092"/>
    </row>
    <row r="16289" spans="8:9">
      <c r="H16289" s="1092"/>
      <c r="I16289" s="1092"/>
    </row>
    <row r="16290" spans="8:9">
      <c r="H16290" s="1092"/>
      <c r="I16290" s="1092"/>
    </row>
    <row r="16291" spans="8:9">
      <c r="H16291" s="1092"/>
      <c r="I16291" s="1092"/>
    </row>
    <row r="16292" spans="8:9">
      <c r="H16292" s="1092"/>
      <c r="I16292" s="1092"/>
    </row>
    <row r="16293" spans="8:9">
      <c r="H16293" s="1092"/>
      <c r="I16293" s="1092"/>
    </row>
    <row r="16294" spans="8:9">
      <c r="H16294" s="1092"/>
      <c r="I16294" s="1092"/>
    </row>
    <row r="16295" spans="8:9">
      <c r="H16295" s="1092"/>
      <c r="I16295" s="1092"/>
    </row>
    <row r="16296" spans="8:9">
      <c r="H16296" s="1092"/>
      <c r="I16296" s="1092"/>
    </row>
    <row r="16297" spans="8:9">
      <c r="H16297" s="1092"/>
      <c r="I16297" s="1092"/>
    </row>
    <row r="16298" spans="8:9">
      <c r="H16298" s="1092"/>
      <c r="I16298" s="1092"/>
    </row>
    <row r="16299" spans="8:9">
      <c r="H16299" s="1092"/>
      <c r="I16299" s="1092"/>
    </row>
    <row r="16300" spans="8:9">
      <c r="H16300" s="1092"/>
      <c r="I16300" s="1092"/>
    </row>
    <row r="16301" spans="8:9">
      <c r="H16301" s="1092"/>
      <c r="I16301" s="1092"/>
    </row>
    <row r="16302" spans="8:9">
      <c r="H16302" s="1092"/>
      <c r="I16302" s="1092"/>
    </row>
    <row r="16303" spans="8:9">
      <c r="H16303" s="1092"/>
      <c r="I16303" s="1092"/>
    </row>
    <row r="16304" spans="8:9">
      <c r="H16304" s="1092"/>
      <c r="I16304" s="1092"/>
    </row>
    <row r="16305" spans="8:9">
      <c r="H16305" s="1092"/>
      <c r="I16305" s="1092"/>
    </row>
    <row r="16306" spans="8:9">
      <c r="H16306" s="1092"/>
      <c r="I16306" s="1092"/>
    </row>
    <row r="16307" spans="8:9">
      <c r="H16307" s="1092"/>
      <c r="I16307" s="1092"/>
    </row>
    <row r="16308" spans="8:9">
      <c r="H16308" s="1092"/>
      <c r="I16308" s="1092"/>
    </row>
    <row r="16309" spans="8:9">
      <c r="H16309" s="1092"/>
      <c r="I16309" s="1092"/>
    </row>
    <row r="16310" spans="8:9">
      <c r="H16310" s="1092"/>
      <c r="I16310" s="1092"/>
    </row>
    <row r="16311" spans="8:9">
      <c r="H16311" s="1092"/>
      <c r="I16311" s="1092"/>
    </row>
    <row r="16312" spans="8:9">
      <c r="H16312" s="1092"/>
      <c r="I16312" s="1092"/>
    </row>
    <row r="16313" spans="8:9">
      <c r="H16313" s="1092"/>
      <c r="I16313" s="1092"/>
    </row>
    <row r="16314" spans="8:9">
      <c r="H16314" s="1092"/>
      <c r="I16314" s="1092"/>
    </row>
    <row r="16315" spans="8:9">
      <c r="H16315" s="1092"/>
      <c r="I16315" s="1092"/>
    </row>
    <row r="16316" spans="8:9">
      <c r="H16316" s="1092"/>
      <c r="I16316" s="1092"/>
    </row>
    <row r="16317" spans="8:9">
      <c r="H16317" s="1092"/>
      <c r="I16317" s="1092"/>
    </row>
    <row r="16318" spans="8:9">
      <c r="H16318" s="1092"/>
      <c r="I16318" s="1092"/>
    </row>
    <row r="16319" spans="8:9">
      <c r="H16319" s="1092"/>
      <c r="I16319" s="1092"/>
    </row>
    <row r="16320" spans="8:9">
      <c r="H16320" s="1092"/>
      <c r="I16320" s="1092"/>
    </row>
    <row r="16321" spans="8:9">
      <c r="H16321" s="1092"/>
      <c r="I16321" s="1092"/>
    </row>
    <row r="16322" spans="8:9">
      <c r="H16322" s="1092"/>
      <c r="I16322" s="1092"/>
    </row>
    <row r="16323" spans="8:9">
      <c r="H16323" s="1092"/>
      <c r="I16323" s="1092"/>
    </row>
    <row r="16324" spans="8:9">
      <c r="H16324" s="1092"/>
      <c r="I16324" s="1092"/>
    </row>
    <row r="16325" spans="8:9">
      <c r="H16325" s="1092"/>
      <c r="I16325" s="1092"/>
    </row>
    <row r="16326" spans="8:9">
      <c r="H16326" s="1092"/>
      <c r="I16326" s="1092"/>
    </row>
    <row r="16327" spans="8:9">
      <c r="H16327" s="1092"/>
      <c r="I16327" s="1092"/>
    </row>
    <row r="16328" spans="8:9">
      <c r="H16328" s="1092"/>
      <c r="I16328" s="1092"/>
    </row>
    <row r="16329" spans="8:9">
      <c r="H16329" s="1092"/>
      <c r="I16329" s="1092"/>
    </row>
    <row r="16330" spans="8:9">
      <c r="H16330" s="1092"/>
      <c r="I16330" s="1092"/>
    </row>
    <row r="16331" spans="8:9">
      <c r="H16331" s="1092"/>
      <c r="I16331" s="1092"/>
    </row>
    <row r="16332" spans="8:9">
      <c r="H16332" s="1092"/>
      <c r="I16332" s="1092"/>
    </row>
    <row r="16333" spans="8:9">
      <c r="H16333" s="1092"/>
      <c r="I16333" s="1092"/>
    </row>
    <row r="16334" spans="8:9">
      <c r="H16334" s="1092"/>
      <c r="I16334" s="1092"/>
    </row>
    <row r="16335" spans="8:9">
      <c r="H16335" s="1092"/>
      <c r="I16335" s="1092"/>
    </row>
    <row r="16336" spans="8:9">
      <c r="H16336" s="1092"/>
      <c r="I16336" s="1092"/>
    </row>
    <row r="16337" spans="8:9">
      <c r="H16337" s="1092"/>
      <c r="I16337" s="1092"/>
    </row>
    <row r="16338" spans="8:9">
      <c r="H16338" s="1092"/>
      <c r="I16338" s="1092"/>
    </row>
    <row r="16339" spans="8:9">
      <c r="H16339" s="1092"/>
      <c r="I16339" s="1092"/>
    </row>
    <row r="16340" spans="8:9">
      <c r="H16340" s="1092"/>
      <c r="I16340" s="1092"/>
    </row>
    <row r="16341" spans="8:9">
      <c r="H16341" s="1092"/>
      <c r="I16341" s="1092"/>
    </row>
    <row r="16342" spans="8:9">
      <c r="H16342" s="1092"/>
      <c r="I16342" s="1092"/>
    </row>
    <row r="16343" spans="8:9">
      <c r="H16343" s="1092"/>
      <c r="I16343" s="1092"/>
    </row>
    <row r="16344" spans="8:9">
      <c r="H16344" s="1092"/>
      <c r="I16344" s="1092"/>
    </row>
    <row r="16345" spans="8:9">
      <c r="H16345" s="1092"/>
      <c r="I16345" s="1092"/>
    </row>
    <row r="16346" spans="8:9">
      <c r="H16346" s="1092"/>
      <c r="I16346" s="1092"/>
    </row>
    <row r="16347" spans="8:9">
      <c r="H16347" s="1092"/>
      <c r="I16347" s="1092"/>
    </row>
    <row r="16348" spans="8:9">
      <c r="H16348" s="1092"/>
      <c r="I16348" s="1092"/>
    </row>
    <row r="16349" spans="8:9">
      <c r="H16349" s="1092"/>
      <c r="I16349" s="1092"/>
    </row>
    <row r="16350" spans="8:9">
      <c r="H16350" s="1092"/>
      <c r="I16350" s="1092"/>
    </row>
    <row r="16351" spans="8:9">
      <c r="H16351" s="1092"/>
      <c r="I16351" s="1092"/>
    </row>
    <row r="16352" spans="8:9">
      <c r="H16352" s="1092"/>
      <c r="I16352" s="1092"/>
    </row>
    <row r="16353" spans="8:9">
      <c r="H16353" s="1092"/>
      <c r="I16353" s="1092"/>
    </row>
    <row r="16354" spans="8:9">
      <c r="H16354" s="1092"/>
      <c r="I16354" s="1092"/>
    </row>
    <row r="16355" spans="8:9">
      <c r="H16355" s="1092"/>
      <c r="I16355" s="1092"/>
    </row>
    <row r="16356" spans="8:9">
      <c r="H16356" s="1092"/>
      <c r="I16356" s="1092"/>
    </row>
    <row r="16357" spans="8:9">
      <c r="H16357" s="1092"/>
      <c r="I16357" s="1092"/>
    </row>
    <row r="16358" spans="8:9">
      <c r="H16358" s="1092"/>
      <c r="I16358" s="1092"/>
    </row>
    <row r="16359" spans="8:9">
      <c r="H16359" s="1092"/>
      <c r="I16359" s="1092"/>
    </row>
    <row r="16360" spans="8:9">
      <c r="H16360" s="1092"/>
      <c r="I16360" s="1092"/>
    </row>
    <row r="16361" spans="8:9">
      <c r="H16361" s="1092"/>
      <c r="I16361" s="1092"/>
    </row>
    <row r="16362" spans="8:9">
      <c r="H16362" s="1092"/>
      <c r="I16362" s="1092"/>
    </row>
    <row r="16363" spans="8:9">
      <c r="H16363" s="1092"/>
      <c r="I16363" s="1092"/>
    </row>
    <row r="16364" spans="8:9">
      <c r="H16364" s="1092"/>
      <c r="I16364" s="1092"/>
    </row>
    <row r="16365" spans="8:9">
      <c r="H16365" s="1092"/>
      <c r="I16365" s="1092"/>
    </row>
    <row r="16366" spans="8:9">
      <c r="H16366" s="1092"/>
      <c r="I16366" s="1092"/>
    </row>
    <row r="16367" spans="8:9">
      <c r="H16367" s="1092"/>
      <c r="I16367" s="1092"/>
    </row>
    <row r="16368" spans="8:9">
      <c r="H16368" s="1092"/>
      <c r="I16368" s="1092"/>
    </row>
    <row r="16369" spans="8:9">
      <c r="H16369" s="1092"/>
      <c r="I16369" s="1092"/>
    </row>
    <row r="16370" spans="8:9">
      <c r="H16370" s="1092"/>
      <c r="I16370" s="1092"/>
    </row>
    <row r="16371" spans="8:9">
      <c r="H16371" s="1092"/>
      <c r="I16371" s="1092"/>
    </row>
    <row r="16372" spans="8:9">
      <c r="H16372" s="1092"/>
      <c r="I16372" s="1092"/>
    </row>
    <row r="16373" spans="8:9">
      <c r="H16373" s="1092"/>
      <c r="I16373" s="1092"/>
    </row>
    <row r="16374" spans="8:9">
      <c r="H16374" s="1092"/>
      <c r="I16374" s="1092"/>
    </row>
    <row r="16375" spans="8:9">
      <c r="H16375" s="1092"/>
      <c r="I16375" s="1092"/>
    </row>
    <row r="16376" spans="8:9">
      <c r="H16376" s="1092"/>
      <c r="I16376" s="1092"/>
    </row>
    <row r="16377" spans="8:9">
      <c r="H16377" s="1092"/>
      <c r="I16377" s="1092"/>
    </row>
    <row r="16378" spans="8:9">
      <c r="H16378" s="1092"/>
      <c r="I16378" s="1092"/>
    </row>
    <row r="16379" spans="8:9">
      <c r="H16379" s="1092"/>
      <c r="I16379" s="1092"/>
    </row>
    <row r="16380" spans="8:9">
      <c r="H16380" s="1092"/>
      <c r="I16380" s="1092"/>
    </row>
    <row r="16381" spans="8:9">
      <c r="H16381" s="1092"/>
      <c r="I16381" s="1092"/>
    </row>
    <row r="16382" spans="8:9">
      <c r="H16382" s="1092"/>
      <c r="I16382" s="1092"/>
    </row>
    <row r="16383" spans="8:9">
      <c r="H16383" s="1092"/>
      <c r="I16383" s="1092"/>
    </row>
    <row r="16384" spans="8:9">
      <c r="H16384" s="1092"/>
      <c r="I16384" s="1092"/>
    </row>
    <row r="16385" spans="8:9">
      <c r="H16385" s="1092"/>
      <c r="I16385" s="1092"/>
    </row>
    <row r="16386" spans="8:9">
      <c r="H16386" s="1092"/>
      <c r="I16386" s="1092"/>
    </row>
    <row r="16387" spans="8:9">
      <c r="H16387" s="1092"/>
      <c r="I16387" s="1092"/>
    </row>
    <row r="16388" spans="8:9">
      <c r="H16388" s="1092"/>
      <c r="I16388" s="1092"/>
    </row>
    <row r="16389" spans="8:9">
      <c r="H16389" s="1092"/>
      <c r="I16389" s="1092"/>
    </row>
    <row r="16390" spans="8:9">
      <c r="H16390" s="1092"/>
      <c r="I16390" s="1092"/>
    </row>
    <row r="16391" spans="8:9">
      <c r="H16391" s="1092"/>
      <c r="I16391" s="1092"/>
    </row>
    <row r="16392" spans="8:9">
      <c r="H16392" s="1092"/>
      <c r="I16392" s="1092"/>
    </row>
    <row r="16393" spans="8:9">
      <c r="H16393" s="1092"/>
      <c r="I16393" s="1092"/>
    </row>
    <row r="16394" spans="8:9">
      <c r="H16394" s="1092"/>
      <c r="I16394" s="1092"/>
    </row>
    <row r="16395" spans="8:9">
      <c r="H16395" s="1092"/>
      <c r="I16395" s="1092"/>
    </row>
    <row r="16396" spans="8:9">
      <c r="H16396" s="1092"/>
      <c r="I16396" s="1092"/>
    </row>
    <row r="16397" spans="8:9">
      <c r="H16397" s="1092"/>
      <c r="I16397" s="1092"/>
    </row>
    <row r="16398" spans="8:9">
      <c r="H16398" s="1092"/>
      <c r="I16398" s="1092"/>
    </row>
    <row r="16399" spans="8:9">
      <c r="H16399" s="1092"/>
      <c r="I16399" s="1092"/>
    </row>
    <row r="16400" spans="8:9">
      <c r="H16400" s="1092"/>
      <c r="I16400" s="1092"/>
    </row>
    <row r="16401" spans="8:9">
      <c r="H16401" s="1092"/>
      <c r="I16401" s="1092"/>
    </row>
    <row r="16402" spans="8:9">
      <c r="H16402" s="1092"/>
      <c r="I16402" s="1092"/>
    </row>
    <row r="16403" spans="8:9">
      <c r="H16403" s="1092"/>
      <c r="I16403" s="1092"/>
    </row>
    <row r="16404" spans="8:9">
      <c r="H16404" s="1092"/>
      <c r="I16404" s="1092"/>
    </row>
    <row r="16405" spans="8:9">
      <c r="H16405" s="1092"/>
      <c r="I16405" s="1092"/>
    </row>
    <row r="16406" spans="8:9">
      <c r="H16406" s="1092"/>
      <c r="I16406" s="1092"/>
    </row>
    <row r="16407" spans="8:9">
      <c r="H16407" s="1092"/>
      <c r="I16407" s="1092"/>
    </row>
    <row r="16408" spans="8:9">
      <c r="H16408" s="1092"/>
      <c r="I16408" s="1092"/>
    </row>
    <row r="16409" spans="8:9">
      <c r="H16409" s="1092"/>
      <c r="I16409" s="1092"/>
    </row>
    <row r="16410" spans="8:9">
      <c r="H16410" s="1092"/>
      <c r="I16410" s="1092"/>
    </row>
    <row r="16411" spans="8:9">
      <c r="H16411" s="1092"/>
      <c r="I16411" s="1092"/>
    </row>
    <row r="16412" spans="8:9">
      <c r="H16412" s="1092"/>
      <c r="I16412" s="1092"/>
    </row>
    <row r="16413" spans="8:9">
      <c r="H16413" s="1092"/>
      <c r="I16413" s="1092"/>
    </row>
    <row r="16414" spans="8:9">
      <c r="H16414" s="1092"/>
      <c r="I16414" s="1092"/>
    </row>
    <row r="16415" spans="8:9">
      <c r="H16415" s="1092"/>
      <c r="I16415" s="1092"/>
    </row>
    <row r="16416" spans="8:9">
      <c r="H16416" s="1092"/>
      <c r="I16416" s="1092"/>
    </row>
    <row r="16417" spans="8:9">
      <c r="H16417" s="1092"/>
      <c r="I16417" s="1092"/>
    </row>
    <row r="16418" spans="8:9">
      <c r="H16418" s="1092"/>
      <c r="I16418" s="1092"/>
    </row>
    <row r="16419" spans="8:9">
      <c r="H16419" s="1092"/>
      <c r="I16419" s="1092"/>
    </row>
    <row r="16420" spans="8:9">
      <c r="H16420" s="1092"/>
      <c r="I16420" s="1092"/>
    </row>
    <row r="16421" spans="8:9">
      <c r="H16421" s="1092"/>
      <c r="I16421" s="1092"/>
    </row>
    <row r="16422" spans="8:9">
      <c r="H16422" s="1092"/>
      <c r="I16422" s="1092"/>
    </row>
    <row r="16423" spans="8:9">
      <c r="H16423" s="1092"/>
      <c r="I16423" s="1092"/>
    </row>
    <row r="16424" spans="8:9">
      <c r="H16424" s="1092"/>
      <c r="I16424" s="1092"/>
    </row>
    <row r="16425" spans="8:9">
      <c r="H16425" s="1092"/>
      <c r="I16425" s="1092"/>
    </row>
    <row r="16426" spans="8:9">
      <c r="H16426" s="1092"/>
      <c r="I16426" s="1092"/>
    </row>
    <row r="16427" spans="8:9">
      <c r="H16427" s="1092"/>
      <c r="I16427" s="1092"/>
    </row>
    <row r="16428" spans="8:9">
      <c r="H16428" s="1092"/>
      <c r="I16428" s="1092"/>
    </row>
    <row r="16429" spans="8:9">
      <c r="H16429" s="1092"/>
      <c r="I16429" s="1092"/>
    </row>
    <row r="16430" spans="8:9">
      <c r="H16430" s="1092"/>
      <c r="I16430" s="1092"/>
    </row>
    <row r="16431" spans="8:9">
      <c r="H16431" s="1092"/>
      <c r="I16431" s="1092"/>
    </row>
    <row r="16432" spans="8:9">
      <c r="H16432" s="1092"/>
      <c r="I16432" s="1092"/>
    </row>
    <row r="16433" spans="8:9">
      <c r="H16433" s="1092"/>
      <c r="I16433" s="1092"/>
    </row>
    <row r="16434" spans="8:9">
      <c r="H16434" s="1092"/>
      <c r="I16434" s="1092"/>
    </row>
    <row r="16435" spans="8:9">
      <c r="H16435" s="1092"/>
      <c r="I16435" s="1092"/>
    </row>
    <row r="16436" spans="8:9">
      <c r="H16436" s="1092"/>
      <c r="I16436" s="1092"/>
    </row>
    <row r="16437" spans="8:9">
      <c r="H16437" s="1092"/>
      <c r="I16437" s="1092"/>
    </row>
    <row r="16438" spans="8:9">
      <c r="H16438" s="1092"/>
      <c r="I16438" s="1092"/>
    </row>
    <row r="16439" spans="8:9">
      <c r="H16439" s="1092"/>
      <c r="I16439" s="1092"/>
    </row>
    <row r="16440" spans="8:9">
      <c r="H16440" s="1092"/>
      <c r="I16440" s="1092"/>
    </row>
    <row r="16441" spans="8:9">
      <c r="H16441" s="1092"/>
      <c r="I16441" s="1092"/>
    </row>
    <row r="16442" spans="8:9">
      <c r="H16442" s="1092"/>
      <c r="I16442" s="1092"/>
    </row>
    <row r="16443" spans="8:9">
      <c r="H16443" s="1092"/>
      <c r="I16443" s="1092"/>
    </row>
    <row r="16444" spans="8:9">
      <c r="H16444" s="1092"/>
      <c r="I16444" s="1092"/>
    </row>
    <row r="16445" spans="8:9">
      <c r="H16445" s="1092"/>
      <c r="I16445" s="1092"/>
    </row>
    <row r="16446" spans="8:9">
      <c r="H16446" s="1092"/>
      <c r="I16446" s="1092"/>
    </row>
    <row r="16447" spans="8:9">
      <c r="H16447" s="1092"/>
      <c r="I16447" s="1092"/>
    </row>
    <row r="16448" spans="8:9">
      <c r="H16448" s="1092"/>
      <c r="I16448" s="1092"/>
    </row>
    <row r="16449" spans="8:9">
      <c r="H16449" s="1092"/>
      <c r="I16449" s="1092"/>
    </row>
    <row r="16450" spans="8:9">
      <c r="H16450" s="1092"/>
      <c r="I16450" s="1092"/>
    </row>
    <row r="16451" spans="8:9">
      <c r="H16451" s="1092"/>
      <c r="I16451" s="1092"/>
    </row>
    <row r="16452" spans="8:9">
      <c r="H16452" s="1092"/>
      <c r="I16452" s="1092"/>
    </row>
    <row r="16453" spans="8:9">
      <c r="H16453" s="1092"/>
      <c r="I16453" s="1092"/>
    </row>
    <row r="16454" spans="8:9">
      <c r="H16454" s="1092"/>
      <c r="I16454" s="1092"/>
    </row>
    <row r="16455" spans="8:9">
      <c r="H16455" s="1092"/>
      <c r="I16455" s="1092"/>
    </row>
    <row r="16456" spans="8:9">
      <c r="H16456" s="1092"/>
      <c r="I16456" s="1092"/>
    </row>
    <row r="16457" spans="8:9">
      <c r="H16457" s="1092"/>
      <c r="I16457" s="1092"/>
    </row>
    <row r="16458" spans="8:9">
      <c r="H16458" s="1092"/>
      <c r="I16458" s="1092"/>
    </row>
    <row r="16459" spans="8:9">
      <c r="H16459" s="1092"/>
      <c r="I16459" s="1092"/>
    </row>
    <row r="16460" spans="8:9">
      <c r="H16460" s="1092"/>
      <c r="I16460" s="1092"/>
    </row>
    <row r="16461" spans="8:9">
      <c r="H16461" s="1092"/>
      <c r="I16461" s="1092"/>
    </row>
    <row r="16462" spans="8:9">
      <c r="H16462" s="1092"/>
      <c r="I16462" s="1092"/>
    </row>
    <row r="16463" spans="8:9">
      <c r="H16463" s="1092"/>
      <c r="I16463" s="1092"/>
    </row>
    <row r="16464" spans="8:9">
      <c r="H16464" s="1092"/>
      <c r="I16464" s="1092"/>
    </row>
    <row r="16465" spans="8:9">
      <c r="H16465" s="1092"/>
      <c r="I16465" s="1092"/>
    </row>
    <row r="16466" spans="8:9">
      <c r="H16466" s="1092"/>
      <c r="I16466" s="1092"/>
    </row>
    <row r="16467" spans="8:9">
      <c r="H16467" s="1092"/>
      <c r="I16467" s="1092"/>
    </row>
    <row r="16468" spans="8:9">
      <c r="H16468" s="1092"/>
      <c r="I16468" s="1092"/>
    </row>
    <row r="16469" spans="8:9">
      <c r="H16469" s="1092"/>
      <c r="I16469" s="1092"/>
    </row>
    <row r="16470" spans="8:9">
      <c r="H16470" s="1092"/>
      <c r="I16470" s="1092"/>
    </row>
    <row r="16471" spans="8:9">
      <c r="H16471" s="1092"/>
      <c r="I16471" s="1092"/>
    </row>
    <row r="16472" spans="8:9">
      <c r="H16472" s="1092"/>
      <c r="I16472" s="1092"/>
    </row>
    <row r="16473" spans="8:9">
      <c r="H16473" s="1092"/>
      <c r="I16473" s="1092"/>
    </row>
    <row r="16474" spans="8:9">
      <c r="H16474" s="1092"/>
      <c r="I16474" s="1092"/>
    </row>
    <row r="16475" spans="8:9">
      <c r="H16475" s="1092"/>
      <c r="I16475" s="1092"/>
    </row>
    <row r="16476" spans="8:9">
      <c r="H16476" s="1092"/>
      <c r="I16476" s="1092"/>
    </row>
    <row r="16477" spans="8:9">
      <c r="H16477" s="1092"/>
      <c r="I16477" s="1092"/>
    </row>
    <row r="16478" spans="8:9">
      <c r="H16478" s="1092"/>
      <c r="I16478" s="1092"/>
    </row>
    <row r="16479" spans="8:9">
      <c r="H16479" s="1092"/>
      <c r="I16479" s="1092"/>
    </row>
    <row r="16480" spans="8:9">
      <c r="H16480" s="1092"/>
      <c r="I16480" s="1092"/>
    </row>
    <row r="16481" spans="8:9">
      <c r="H16481" s="1092"/>
      <c r="I16481" s="1092"/>
    </row>
    <row r="16482" spans="8:9">
      <c r="H16482" s="1092"/>
      <c r="I16482" s="1092"/>
    </row>
    <row r="16483" spans="8:9">
      <c r="H16483" s="1092"/>
      <c r="I16483" s="1092"/>
    </row>
    <row r="16484" spans="8:9">
      <c r="H16484" s="1092"/>
      <c r="I16484" s="1092"/>
    </row>
    <row r="16485" spans="8:9">
      <c r="H16485" s="1092"/>
      <c r="I16485" s="1092"/>
    </row>
    <row r="16486" spans="8:9">
      <c r="H16486" s="1092"/>
      <c r="I16486" s="1092"/>
    </row>
    <row r="16487" spans="8:9">
      <c r="H16487" s="1092"/>
      <c r="I16487" s="1092"/>
    </row>
    <row r="16488" spans="8:9">
      <c r="H16488" s="1092"/>
      <c r="I16488" s="1092"/>
    </row>
    <row r="16489" spans="8:9">
      <c r="H16489" s="1092"/>
      <c r="I16489" s="1092"/>
    </row>
    <row r="16490" spans="8:9">
      <c r="H16490" s="1092"/>
      <c r="I16490" s="1092"/>
    </row>
    <row r="16491" spans="8:9">
      <c r="H16491" s="1092"/>
      <c r="I16491" s="1092"/>
    </row>
    <row r="16492" spans="8:9">
      <c r="H16492" s="1092"/>
      <c r="I16492" s="1092"/>
    </row>
    <row r="16493" spans="8:9">
      <c r="H16493" s="1092"/>
      <c r="I16493" s="1092"/>
    </row>
    <row r="16494" spans="8:9">
      <c r="H16494" s="1092"/>
      <c r="I16494" s="1092"/>
    </row>
    <row r="16495" spans="8:9">
      <c r="H16495" s="1092"/>
      <c r="I16495" s="1092"/>
    </row>
    <row r="16496" spans="8:9">
      <c r="H16496" s="1092"/>
      <c r="I16496" s="1092"/>
    </row>
    <row r="16497" spans="8:9">
      <c r="H16497" s="1092"/>
      <c r="I16497" s="1092"/>
    </row>
    <row r="16498" spans="8:9">
      <c r="H16498" s="1092"/>
      <c r="I16498" s="1092"/>
    </row>
    <row r="16499" spans="8:9">
      <c r="H16499" s="1092"/>
      <c r="I16499" s="1092"/>
    </row>
    <row r="16500" spans="8:9">
      <c r="H16500" s="1092"/>
      <c r="I16500" s="1092"/>
    </row>
    <row r="16501" spans="8:9">
      <c r="H16501" s="1092"/>
      <c r="I16501" s="1092"/>
    </row>
    <row r="16502" spans="8:9">
      <c r="H16502" s="1092"/>
      <c r="I16502" s="1092"/>
    </row>
    <row r="16503" spans="8:9">
      <c r="H16503" s="1092"/>
      <c r="I16503" s="1092"/>
    </row>
    <row r="16504" spans="8:9">
      <c r="H16504" s="1092"/>
      <c r="I16504" s="1092"/>
    </row>
    <row r="16505" spans="8:9">
      <c r="H16505" s="1092"/>
      <c r="I16505" s="1092"/>
    </row>
    <row r="16506" spans="8:9">
      <c r="H16506" s="1092"/>
      <c r="I16506" s="1092"/>
    </row>
    <row r="16507" spans="8:9">
      <c r="H16507" s="1092"/>
      <c r="I16507" s="1092"/>
    </row>
    <row r="16508" spans="8:9">
      <c r="H16508" s="1092"/>
      <c r="I16508" s="1092"/>
    </row>
    <row r="16509" spans="8:9">
      <c r="H16509" s="1092"/>
      <c r="I16509" s="1092"/>
    </row>
    <row r="16510" spans="8:9">
      <c r="H16510" s="1092"/>
      <c r="I16510" s="1092"/>
    </row>
    <row r="16511" spans="8:9">
      <c r="H16511" s="1092"/>
      <c r="I16511" s="1092"/>
    </row>
    <row r="16512" spans="8:9">
      <c r="H16512" s="1092"/>
      <c r="I16512" s="1092"/>
    </row>
    <row r="16513" spans="8:9">
      <c r="H16513" s="1092"/>
      <c r="I16513" s="1092"/>
    </row>
    <row r="16514" spans="8:9">
      <c r="H16514" s="1092"/>
      <c r="I16514" s="1092"/>
    </row>
    <row r="16515" spans="8:9">
      <c r="H16515" s="1092"/>
      <c r="I16515" s="1092"/>
    </row>
    <row r="16516" spans="8:9">
      <c r="H16516" s="1092"/>
      <c r="I16516" s="1092"/>
    </row>
    <row r="16517" spans="8:9">
      <c r="H16517" s="1092"/>
      <c r="I16517" s="1092"/>
    </row>
    <row r="16518" spans="8:9">
      <c r="H16518" s="1092"/>
      <c r="I16518" s="1092"/>
    </row>
    <row r="16519" spans="8:9">
      <c r="H16519" s="1092"/>
      <c r="I16519" s="1092"/>
    </row>
    <row r="16520" spans="8:9">
      <c r="H16520" s="1092"/>
      <c r="I16520" s="1092"/>
    </row>
    <row r="16521" spans="8:9">
      <c r="H16521" s="1092"/>
      <c r="I16521" s="1092"/>
    </row>
    <row r="16522" spans="8:9">
      <c r="H16522" s="1092"/>
      <c r="I16522" s="1092"/>
    </row>
    <row r="16523" spans="8:9">
      <c r="H16523" s="1092"/>
      <c r="I16523" s="1092"/>
    </row>
    <row r="16524" spans="8:9">
      <c r="H16524" s="1092"/>
      <c r="I16524" s="1092"/>
    </row>
    <row r="16525" spans="8:9">
      <c r="H16525" s="1092"/>
      <c r="I16525" s="1092"/>
    </row>
    <row r="16526" spans="8:9">
      <c r="H16526" s="1092"/>
      <c r="I16526" s="1092"/>
    </row>
    <row r="16527" spans="8:9">
      <c r="H16527" s="1092"/>
      <c r="I16527" s="1092"/>
    </row>
    <row r="16528" spans="8:9">
      <c r="H16528" s="1092"/>
      <c r="I16528" s="1092"/>
    </row>
    <row r="16529" spans="8:9">
      <c r="H16529" s="1092"/>
      <c r="I16529" s="1092"/>
    </row>
    <row r="16530" spans="8:9">
      <c r="H16530" s="1092"/>
      <c r="I16530" s="1092"/>
    </row>
    <row r="16531" spans="8:9">
      <c r="H16531" s="1092"/>
      <c r="I16531" s="1092"/>
    </row>
    <row r="16532" spans="8:9">
      <c r="H16532" s="1092"/>
      <c r="I16532" s="1092"/>
    </row>
    <row r="16533" spans="8:9">
      <c r="H16533" s="1092"/>
      <c r="I16533" s="1092"/>
    </row>
    <row r="16534" spans="8:9">
      <c r="H16534" s="1092"/>
      <c r="I16534" s="1092"/>
    </row>
    <row r="16535" spans="8:9">
      <c r="H16535" s="1092"/>
      <c r="I16535" s="1092"/>
    </row>
    <row r="16536" spans="8:9">
      <c r="H16536" s="1092"/>
      <c r="I16536" s="1092"/>
    </row>
    <row r="16537" spans="8:9">
      <c r="H16537" s="1092"/>
      <c r="I16537" s="1092"/>
    </row>
    <row r="16538" spans="8:9">
      <c r="H16538" s="1092"/>
      <c r="I16538" s="1092"/>
    </row>
    <row r="16539" spans="8:9">
      <c r="H16539" s="1092"/>
      <c r="I16539" s="1092"/>
    </row>
    <row r="16540" spans="8:9">
      <c r="H16540" s="1092"/>
      <c r="I16540" s="1092"/>
    </row>
    <row r="16541" spans="8:9">
      <c r="H16541" s="1092"/>
      <c r="I16541" s="1092"/>
    </row>
    <row r="16542" spans="8:9">
      <c r="H16542" s="1092"/>
      <c r="I16542" s="1092"/>
    </row>
    <row r="16543" spans="8:9">
      <c r="H16543" s="1092"/>
      <c r="I16543" s="1092"/>
    </row>
    <row r="16544" spans="8:9">
      <c r="H16544" s="1092"/>
      <c r="I16544" s="1092"/>
    </row>
    <row r="16545" spans="8:9">
      <c r="H16545" s="1092"/>
      <c r="I16545" s="1092"/>
    </row>
    <row r="16546" spans="8:9">
      <c r="H16546" s="1092"/>
      <c r="I16546" s="1092"/>
    </row>
    <row r="16547" spans="8:9">
      <c r="H16547" s="1092"/>
      <c r="I16547" s="1092"/>
    </row>
    <row r="16548" spans="8:9">
      <c r="H16548" s="1092"/>
      <c r="I16548" s="1092"/>
    </row>
    <row r="16549" spans="8:9">
      <c r="H16549" s="1092"/>
      <c r="I16549" s="1092"/>
    </row>
    <row r="16550" spans="8:9">
      <c r="H16550" s="1092"/>
      <c r="I16550" s="1092"/>
    </row>
    <row r="16551" spans="8:9">
      <c r="H16551" s="1092"/>
      <c r="I16551" s="1092"/>
    </row>
    <row r="16552" spans="8:9">
      <c r="H16552" s="1092"/>
      <c r="I16552" s="1092"/>
    </row>
    <row r="16553" spans="8:9">
      <c r="H16553" s="1092"/>
      <c r="I16553" s="1092"/>
    </row>
    <row r="16554" spans="8:9">
      <c r="H16554" s="1092"/>
      <c r="I16554" s="1092"/>
    </row>
    <row r="16555" spans="8:9">
      <c r="H16555" s="1092"/>
      <c r="I16555" s="1092"/>
    </row>
    <row r="16556" spans="8:9">
      <c r="H16556" s="1092"/>
      <c r="I16556" s="1092"/>
    </row>
    <row r="16557" spans="8:9">
      <c r="H16557" s="1092"/>
      <c r="I16557" s="1092"/>
    </row>
    <row r="16558" spans="8:9">
      <c r="H16558" s="1092"/>
      <c r="I16558" s="1092"/>
    </row>
    <row r="16559" spans="8:9">
      <c r="H16559" s="1092"/>
      <c r="I16559" s="1092"/>
    </row>
    <row r="16560" spans="8:9">
      <c r="H16560" s="1092"/>
      <c r="I16560" s="1092"/>
    </row>
    <row r="16561" spans="8:9">
      <c r="H16561" s="1092"/>
      <c r="I16561" s="1092"/>
    </row>
    <row r="16562" spans="8:9">
      <c r="H16562" s="1092"/>
      <c r="I16562" s="1092"/>
    </row>
    <row r="16563" spans="8:9">
      <c r="H16563" s="1092"/>
      <c r="I16563" s="1092"/>
    </row>
    <row r="16564" spans="8:9">
      <c r="H16564" s="1092"/>
      <c r="I16564" s="1092"/>
    </row>
    <row r="16565" spans="8:9">
      <c r="H16565" s="1092"/>
      <c r="I16565" s="1092"/>
    </row>
    <row r="16566" spans="8:9">
      <c r="H16566" s="1092"/>
      <c r="I16566" s="1092"/>
    </row>
    <row r="16567" spans="8:9">
      <c r="H16567" s="1092"/>
      <c r="I16567" s="1092"/>
    </row>
    <row r="16568" spans="8:9">
      <c r="H16568" s="1092"/>
      <c r="I16568" s="1092"/>
    </row>
    <row r="16569" spans="8:9">
      <c r="H16569" s="1092"/>
      <c r="I16569" s="1092"/>
    </row>
    <row r="16570" spans="8:9">
      <c r="H16570" s="1092"/>
      <c r="I16570" s="1092"/>
    </row>
    <row r="16571" spans="8:9">
      <c r="H16571" s="1092"/>
      <c r="I16571" s="1092"/>
    </row>
    <row r="16572" spans="8:9">
      <c r="H16572" s="1092"/>
      <c r="I16572" s="1092"/>
    </row>
    <row r="16573" spans="8:9">
      <c r="H16573" s="1092"/>
      <c r="I16573" s="1092"/>
    </row>
    <row r="16574" spans="8:9">
      <c r="H16574" s="1092"/>
      <c r="I16574" s="1092"/>
    </row>
    <row r="16575" spans="8:9">
      <c r="H16575" s="1092"/>
      <c r="I16575" s="1092"/>
    </row>
    <row r="16576" spans="8:9">
      <c r="H16576" s="1092"/>
      <c r="I16576" s="1092"/>
    </row>
    <row r="16577" spans="8:9">
      <c r="H16577" s="1092"/>
      <c r="I16577" s="1092"/>
    </row>
    <row r="16578" spans="8:9">
      <c r="H16578" s="1092"/>
      <c r="I16578" s="1092"/>
    </row>
    <row r="16579" spans="8:9">
      <c r="H16579" s="1092"/>
      <c r="I16579" s="1092"/>
    </row>
    <row r="16580" spans="8:9">
      <c r="H16580" s="1092"/>
      <c r="I16580" s="1092"/>
    </row>
    <row r="16581" spans="8:9">
      <c r="H16581" s="1092"/>
      <c r="I16581" s="1092"/>
    </row>
    <row r="16582" spans="8:9">
      <c r="H16582" s="1092"/>
      <c r="I16582" s="1092"/>
    </row>
    <row r="16583" spans="8:9">
      <c r="H16583" s="1092"/>
      <c r="I16583" s="1092"/>
    </row>
    <row r="16584" spans="8:9">
      <c r="H16584" s="1092"/>
      <c r="I16584" s="1092"/>
    </row>
    <row r="16585" spans="8:9">
      <c r="H16585" s="1092"/>
      <c r="I16585" s="1092"/>
    </row>
    <row r="16586" spans="8:9">
      <c r="H16586" s="1092"/>
      <c r="I16586" s="1092"/>
    </row>
    <row r="16587" spans="8:9">
      <c r="H16587" s="1092"/>
      <c r="I16587" s="1092"/>
    </row>
    <row r="16588" spans="8:9">
      <c r="H16588" s="1092"/>
      <c r="I16588" s="1092"/>
    </row>
    <row r="16589" spans="8:9">
      <c r="H16589" s="1092"/>
      <c r="I16589" s="1092"/>
    </row>
    <row r="16590" spans="8:9">
      <c r="H16590" s="1092"/>
      <c r="I16590" s="1092"/>
    </row>
    <row r="16591" spans="8:9">
      <c r="H16591" s="1092"/>
      <c r="I16591" s="1092"/>
    </row>
    <row r="16592" spans="8:9">
      <c r="H16592" s="1092"/>
      <c r="I16592" s="1092"/>
    </row>
    <row r="16593" spans="8:9">
      <c r="H16593" s="1092"/>
      <c r="I16593" s="1092"/>
    </row>
    <row r="16594" spans="8:9">
      <c r="H16594" s="1092"/>
      <c r="I16594" s="1092"/>
    </row>
    <row r="16595" spans="8:9">
      <c r="H16595" s="1092"/>
      <c r="I16595" s="1092"/>
    </row>
    <row r="16596" spans="8:9">
      <c r="H16596" s="1092"/>
      <c r="I16596" s="1092"/>
    </row>
    <row r="16597" spans="8:9">
      <c r="H16597" s="1092"/>
      <c r="I16597" s="1092"/>
    </row>
    <row r="16598" spans="8:9">
      <c r="H16598" s="1092"/>
      <c r="I16598" s="1092"/>
    </row>
    <row r="16599" spans="8:9">
      <c r="H16599" s="1092"/>
      <c r="I16599" s="1092"/>
    </row>
    <row r="16600" spans="8:9">
      <c r="H16600" s="1092"/>
      <c r="I16600" s="1092"/>
    </row>
    <row r="16601" spans="8:9">
      <c r="H16601" s="1092"/>
      <c r="I16601" s="1092"/>
    </row>
    <row r="16602" spans="8:9">
      <c r="H16602" s="1092"/>
      <c r="I16602" s="1092"/>
    </row>
    <row r="16603" spans="8:9">
      <c r="H16603" s="1092"/>
      <c r="I16603" s="1092"/>
    </row>
    <row r="16604" spans="8:9">
      <c r="H16604" s="1092"/>
      <c r="I16604" s="1092"/>
    </row>
    <row r="16605" spans="8:9">
      <c r="H16605" s="1092"/>
      <c r="I16605" s="1092"/>
    </row>
    <row r="16606" spans="8:9">
      <c r="H16606" s="1092"/>
      <c r="I16606" s="1092"/>
    </row>
    <row r="16607" spans="8:9">
      <c r="H16607" s="1092"/>
      <c r="I16607" s="1092"/>
    </row>
    <row r="16608" spans="8:9">
      <c r="H16608" s="1092"/>
      <c r="I16608" s="1092"/>
    </row>
    <row r="16609" spans="8:9">
      <c r="H16609" s="1092"/>
      <c r="I16609" s="1092"/>
    </row>
    <row r="16610" spans="8:9">
      <c r="H16610" s="1092"/>
      <c r="I16610" s="1092"/>
    </row>
    <row r="16611" spans="8:9">
      <c r="H16611" s="1092"/>
      <c r="I16611" s="1092"/>
    </row>
    <row r="16612" spans="8:9">
      <c r="H16612" s="1092"/>
      <c r="I16612" s="1092"/>
    </row>
    <row r="16613" spans="8:9">
      <c r="H16613" s="1092"/>
      <c r="I16613" s="1092"/>
    </row>
    <row r="16614" spans="8:9">
      <c r="H16614" s="1092"/>
      <c r="I16614" s="1092"/>
    </row>
    <row r="16615" spans="8:9">
      <c r="H16615" s="1092"/>
      <c r="I16615" s="1092"/>
    </row>
    <row r="16616" spans="8:9">
      <c r="H16616" s="1092"/>
      <c r="I16616" s="1092"/>
    </row>
    <row r="16617" spans="8:9">
      <c r="H16617" s="1092"/>
      <c r="I16617" s="1092"/>
    </row>
    <row r="16618" spans="8:9">
      <c r="H16618" s="1092"/>
      <c r="I16618" s="1092"/>
    </row>
    <row r="16619" spans="8:9">
      <c r="H16619" s="1092"/>
      <c r="I16619" s="1092"/>
    </row>
    <row r="16620" spans="8:9">
      <c r="H16620" s="1092"/>
      <c r="I16620" s="1092"/>
    </row>
    <row r="16621" spans="8:9">
      <c r="H16621" s="1092"/>
      <c r="I16621" s="1092"/>
    </row>
    <row r="16622" spans="8:9">
      <c r="H16622" s="1092"/>
      <c r="I16622" s="1092"/>
    </row>
    <row r="16623" spans="8:9">
      <c r="H16623" s="1092"/>
      <c r="I16623" s="1092"/>
    </row>
    <row r="16624" spans="8:9">
      <c r="H16624" s="1092"/>
      <c r="I16624" s="1092"/>
    </row>
    <row r="16625" spans="8:9">
      <c r="H16625" s="1092"/>
      <c r="I16625" s="1092"/>
    </row>
    <row r="16626" spans="8:9">
      <c r="H16626" s="1092"/>
      <c r="I16626" s="1092"/>
    </row>
    <row r="16627" spans="8:9">
      <c r="H16627" s="1092"/>
      <c r="I16627" s="1092"/>
    </row>
    <row r="16628" spans="8:9">
      <c r="H16628" s="1092"/>
      <c r="I16628" s="1092"/>
    </row>
    <row r="16629" spans="8:9">
      <c r="H16629" s="1092"/>
      <c r="I16629" s="1092"/>
    </row>
    <row r="16630" spans="8:9">
      <c r="H16630" s="1092"/>
      <c r="I16630" s="1092"/>
    </row>
    <row r="16631" spans="8:9">
      <c r="H16631" s="1092"/>
      <c r="I16631" s="1092"/>
    </row>
    <row r="16632" spans="8:9">
      <c r="H16632" s="1092"/>
      <c r="I16632" s="1092"/>
    </row>
    <row r="16633" spans="8:9">
      <c r="H16633" s="1092"/>
      <c r="I16633" s="1092"/>
    </row>
    <row r="16634" spans="8:9">
      <c r="H16634" s="1092"/>
      <c r="I16634" s="1092"/>
    </row>
    <row r="16635" spans="8:9">
      <c r="H16635" s="1092"/>
      <c r="I16635" s="1092"/>
    </row>
    <row r="16636" spans="8:9">
      <c r="H16636" s="1092"/>
      <c r="I16636" s="1092"/>
    </row>
    <row r="16637" spans="8:9">
      <c r="H16637" s="1092"/>
      <c r="I16637" s="1092"/>
    </row>
    <row r="16638" spans="8:9">
      <c r="H16638" s="1092"/>
      <c r="I16638" s="1092"/>
    </row>
    <row r="16639" spans="8:9">
      <c r="H16639" s="1092"/>
      <c r="I16639" s="1092"/>
    </row>
    <row r="16640" spans="8:9">
      <c r="H16640" s="1092"/>
      <c r="I16640" s="1092"/>
    </row>
    <row r="16641" spans="8:9">
      <c r="H16641" s="1092"/>
      <c r="I16641" s="1092"/>
    </row>
    <row r="16642" spans="8:9">
      <c r="H16642" s="1092"/>
      <c r="I16642" s="1092"/>
    </row>
    <row r="16643" spans="8:9">
      <c r="H16643" s="1092"/>
      <c r="I16643" s="1092"/>
    </row>
    <row r="16644" spans="8:9">
      <c r="H16644" s="1092"/>
      <c r="I16644" s="1092"/>
    </row>
    <row r="16645" spans="8:9">
      <c r="H16645" s="1092"/>
      <c r="I16645" s="1092"/>
    </row>
    <row r="16646" spans="8:9">
      <c r="H16646" s="1092"/>
      <c r="I16646" s="1092"/>
    </row>
    <row r="16647" spans="8:9">
      <c r="H16647" s="1092"/>
      <c r="I16647" s="1092"/>
    </row>
    <row r="16648" spans="8:9">
      <c r="H16648" s="1092"/>
      <c r="I16648" s="1092"/>
    </row>
    <row r="16649" spans="8:9">
      <c r="H16649" s="1092"/>
      <c r="I16649" s="1092"/>
    </row>
    <row r="16650" spans="8:9">
      <c r="H16650" s="1092"/>
      <c r="I16650" s="1092"/>
    </row>
    <row r="16651" spans="8:9">
      <c r="H16651" s="1092"/>
      <c r="I16651" s="1092"/>
    </row>
    <row r="16652" spans="8:9">
      <c r="H16652" s="1092"/>
      <c r="I16652" s="1092"/>
    </row>
    <row r="16653" spans="8:9">
      <c r="H16653" s="1092"/>
      <c r="I16653" s="1092"/>
    </row>
    <row r="16654" spans="8:9">
      <c r="H16654" s="1092"/>
      <c r="I16654" s="1092"/>
    </row>
    <row r="16655" spans="8:9">
      <c r="H16655" s="1092"/>
      <c r="I16655" s="1092"/>
    </row>
    <row r="16656" spans="8:9">
      <c r="H16656" s="1092"/>
      <c r="I16656" s="1092"/>
    </row>
    <row r="16657" spans="8:9">
      <c r="H16657" s="1092"/>
      <c r="I16657" s="1092"/>
    </row>
    <row r="16658" spans="8:9">
      <c r="H16658" s="1092"/>
      <c r="I16658" s="1092"/>
    </row>
    <row r="16659" spans="8:9">
      <c r="H16659" s="1092"/>
      <c r="I16659" s="1092"/>
    </row>
    <row r="16660" spans="8:9">
      <c r="H16660" s="1092"/>
      <c r="I16660" s="1092"/>
    </row>
    <row r="16661" spans="8:9">
      <c r="H16661" s="1092"/>
      <c r="I16661" s="1092"/>
    </row>
    <row r="16662" spans="8:9">
      <c r="H16662" s="1092"/>
      <c r="I16662" s="1092"/>
    </row>
    <row r="16663" spans="8:9">
      <c r="H16663" s="1092"/>
      <c r="I16663" s="1092"/>
    </row>
    <row r="16664" spans="8:9">
      <c r="H16664" s="1092"/>
      <c r="I16664" s="1092"/>
    </row>
    <row r="16665" spans="8:9">
      <c r="H16665" s="1092"/>
      <c r="I16665" s="1092"/>
    </row>
    <row r="16666" spans="8:9">
      <c r="H16666" s="1092"/>
      <c r="I16666" s="1092"/>
    </row>
    <row r="16667" spans="8:9">
      <c r="H16667" s="1092"/>
      <c r="I16667" s="1092"/>
    </row>
    <row r="16668" spans="8:9">
      <c r="H16668" s="1092"/>
      <c r="I16668" s="1092"/>
    </row>
    <row r="16669" spans="8:9">
      <c r="H16669" s="1092"/>
      <c r="I16669" s="1092"/>
    </row>
    <row r="16670" spans="8:9">
      <c r="H16670" s="1092"/>
      <c r="I16670" s="1092"/>
    </row>
    <row r="16671" spans="8:9">
      <c r="H16671" s="1092"/>
      <c r="I16671" s="1092"/>
    </row>
    <row r="16672" spans="8:9">
      <c r="H16672" s="1092"/>
      <c r="I16672" s="1092"/>
    </row>
    <row r="16673" spans="8:9">
      <c r="H16673" s="1092"/>
      <c r="I16673" s="1092"/>
    </row>
    <row r="16674" spans="8:9">
      <c r="H16674" s="1092"/>
      <c r="I16674" s="1092"/>
    </row>
    <row r="16675" spans="8:9">
      <c r="H16675" s="1092"/>
      <c r="I16675" s="1092"/>
    </row>
    <row r="16676" spans="8:9">
      <c r="H16676" s="1092"/>
      <c r="I16676" s="1092"/>
    </row>
    <row r="16677" spans="8:9">
      <c r="H16677" s="1092"/>
      <c r="I16677" s="1092"/>
    </row>
    <row r="16678" spans="8:9">
      <c r="H16678" s="1092"/>
      <c r="I16678" s="1092"/>
    </row>
    <row r="16679" spans="8:9">
      <c r="H16679" s="1092"/>
      <c r="I16679" s="1092"/>
    </row>
    <row r="16680" spans="8:9">
      <c r="H16680" s="1092"/>
      <c r="I16680" s="1092"/>
    </row>
    <row r="16681" spans="8:9">
      <c r="H16681" s="1092"/>
      <c r="I16681" s="1092"/>
    </row>
    <row r="16682" spans="8:9">
      <c r="H16682" s="1092"/>
      <c r="I16682" s="1092"/>
    </row>
    <row r="16683" spans="8:9">
      <c r="H16683" s="1092"/>
      <c r="I16683" s="1092"/>
    </row>
    <row r="16684" spans="8:9">
      <c r="H16684" s="1092"/>
      <c r="I16684" s="1092"/>
    </row>
    <row r="16685" spans="8:9">
      <c r="H16685" s="1092"/>
      <c r="I16685" s="1092"/>
    </row>
    <row r="16686" spans="8:9">
      <c r="H16686" s="1092"/>
      <c r="I16686" s="1092"/>
    </row>
    <row r="16687" spans="8:9">
      <c r="H16687" s="1092"/>
      <c r="I16687" s="1092"/>
    </row>
    <row r="16688" spans="8:9">
      <c r="H16688" s="1092"/>
      <c r="I16688" s="1092"/>
    </row>
    <row r="16689" spans="8:9">
      <c r="H16689" s="1092"/>
      <c r="I16689" s="1092"/>
    </row>
    <row r="16690" spans="8:9">
      <c r="H16690" s="1092"/>
      <c r="I16690" s="1092"/>
    </row>
    <row r="16691" spans="8:9">
      <c r="H16691" s="1092"/>
      <c r="I16691" s="1092"/>
    </row>
    <row r="16692" spans="8:9">
      <c r="H16692" s="1092"/>
      <c r="I16692" s="1092"/>
    </row>
    <row r="16693" spans="8:9">
      <c r="H16693" s="1092"/>
      <c r="I16693" s="1092"/>
    </row>
    <row r="16694" spans="8:9">
      <c r="H16694" s="1092"/>
      <c r="I16694" s="1092"/>
    </row>
    <row r="16695" spans="8:9">
      <c r="H16695" s="1092"/>
      <c r="I16695" s="1092"/>
    </row>
    <row r="16696" spans="8:9">
      <c r="H16696" s="1092"/>
      <c r="I16696" s="1092"/>
    </row>
    <row r="16697" spans="8:9">
      <c r="H16697" s="1092"/>
      <c r="I16697" s="1092"/>
    </row>
    <row r="16698" spans="8:9">
      <c r="H16698" s="1092"/>
      <c r="I16698" s="1092"/>
    </row>
    <row r="16699" spans="8:9">
      <c r="H16699" s="1092"/>
      <c r="I16699" s="1092"/>
    </row>
    <row r="16700" spans="8:9">
      <c r="H16700" s="1092"/>
      <c r="I16700" s="1092"/>
    </row>
    <row r="16701" spans="8:9">
      <c r="H16701" s="1092"/>
      <c r="I16701" s="1092"/>
    </row>
    <row r="16702" spans="8:9">
      <c r="H16702" s="1092"/>
      <c r="I16702" s="1092"/>
    </row>
    <row r="16703" spans="8:9">
      <c r="H16703" s="1092"/>
      <c r="I16703" s="1092"/>
    </row>
    <row r="16704" spans="8:9">
      <c r="H16704" s="1092"/>
      <c r="I16704" s="1092"/>
    </row>
    <row r="16705" spans="8:9">
      <c r="H16705" s="1092"/>
      <c r="I16705" s="1092"/>
    </row>
    <row r="16706" spans="8:9">
      <c r="H16706" s="1092"/>
      <c r="I16706" s="1092"/>
    </row>
    <row r="16707" spans="8:9">
      <c r="H16707" s="1092"/>
      <c r="I16707" s="1092"/>
    </row>
    <row r="16708" spans="8:9">
      <c r="H16708" s="1092"/>
      <c r="I16708" s="1092"/>
    </row>
    <row r="16709" spans="8:9">
      <c r="H16709" s="1092"/>
      <c r="I16709" s="1092"/>
    </row>
    <row r="16710" spans="8:9">
      <c r="H16710" s="1092"/>
      <c r="I16710" s="1092"/>
    </row>
    <row r="16711" spans="8:9">
      <c r="H16711" s="1092"/>
      <c r="I16711" s="1092"/>
    </row>
    <row r="16712" spans="8:9">
      <c r="H16712" s="1092"/>
      <c r="I16712" s="1092"/>
    </row>
    <row r="16713" spans="8:9">
      <c r="H16713" s="1092"/>
      <c r="I16713" s="1092"/>
    </row>
    <row r="16714" spans="8:9">
      <c r="H16714" s="1092"/>
      <c r="I16714" s="1092"/>
    </row>
    <row r="16715" spans="8:9">
      <c r="H16715" s="1092"/>
      <c r="I16715" s="1092"/>
    </row>
    <row r="16716" spans="8:9">
      <c r="H16716" s="1092"/>
      <c r="I16716" s="1092"/>
    </row>
    <row r="16717" spans="8:9">
      <c r="H16717" s="1092"/>
      <c r="I16717" s="1092"/>
    </row>
    <row r="16718" spans="8:9">
      <c r="H16718" s="1092"/>
      <c r="I16718" s="1092"/>
    </row>
    <row r="16719" spans="8:9">
      <c r="H16719" s="1092"/>
      <c r="I16719" s="1092"/>
    </row>
    <row r="16720" spans="8:9">
      <c r="H16720" s="1092"/>
      <c r="I16720" s="1092"/>
    </row>
    <row r="16721" spans="8:9">
      <c r="H16721" s="1092"/>
      <c r="I16721" s="1092"/>
    </row>
    <row r="16722" spans="8:9">
      <c r="H16722" s="1092"/>
      <c r="I16722" s="1092"/>
    </row>
    <row r="16723" spans="8:9">
      <c r="H16723" s="1092"/>
      <c r="I16723" s="1092"/>
    </row>
    <row r="16724" spans="8:9">
      <c r="H16724" s="1092"/>
      <c r="I16724" s="1092"/>
    </row>
    <row r="16725" spans="8:9">
      <c r="H16725" s="1092"/>
      <c r="I16725" s="1092"/>
    </row>
    <row r="16726" spans="8:9">
      <c r="H16726" s="1092"/>
      <c r="I16726" s="1092"/>
    </row>
    <row r="16727" spans="8:9">
      <c r="H16727" s="1092"/>
      <c r="I16727" s="1092"/>
    </row>
    <row r="16728" spans="8:9">
      <c r="H16728" s="1092"/>
      <c r="I16728" s="1092"/>
    </row>
    <row r="16729" spans="8:9">
      <c r="H16729" s="1092"/>
      <c r="I16729" s="1092"/>
    </row>
    <row r="16730" spans="8:9">
      <c r="H16730" s="1092"/>
      <c r="I16730" s="1092"/>
    </row>
    <row r="16731" spans="8:9">
      <c r="H16731" s="1092"/>
      <c r="I16731" s="1092"/>
    </row>
    <row r="16732" spans="8:9">
      <c r="H16732" s="1092"/>
      <c r="I16732" s="1092"/>
    </row>
    <row r="16733" spans="8:9">
      <c r="H16733" s="1092"/>
      <c r="I16733" s="1092"/>
    </row>
    <row r="16734" spans="8:9">
      <c r="H16734" s="1092"/>
      <c r="I16734" s="1092"/>
    </row>
    <row r="16735" spans="8:9">
      <c r="H16735" s="1092"/>
      <c r="I16735" s="1092"/>
    </row>
    <row r="16736" spans="8:9">
      <c r="H16736" s="1092"/>
      <c r="I16736" s="1092"/>
    </row>
    <row r="16737" spans="8:9">
      <c r="H16737" s="1092"/>
      <c r="I16737" s="1092"/>
    </row>
    <row r="16738" spans="8:9">
      <c r="H16738" s="1092"/>
      <c r="I16738" s="1092"/>
    </row>
    <row r="16739" spans="8:9">
      <c r="H16739" s="1092"/>
      <c r="I16739" s="1092"/>
    </row>
    <row r="16740" spans="8:9">
      <c r="H16740" s="1092"/>
      <c r="I16740" s="1092"/>
    </row>
    <row r="16741" spans="8:9">
      <c r="H16741" s="1092"/>
      <c r="I16741" s="1092"/>
    </row>
    <row r="16742" spans="8:9">
      <c r="H16742" s="1092"/>
      <c r="I16742" s="1092"/>
    </row>
    <row r="16743" spans="8:9">
      <c r="H16743" s="1092"/>
      <c r="I16743" s="1092"/>
    </row>
    <row r="16744" spans="8:9">
      <c r="H16744" s="1092"/>
      <c r="I16744" s="1092"/>
    </row>
    <row r="16745" spans="8:9">
      <c r="H16745" s="1092"/>
      <c r="I16745" s="1092"/>
    </row>
    <row r="16746" spans="8:9">
      <c r="H16746" s="1092"/>
      <c r="I16746" s="1092"/>
    </row>
    <row r="16747" spans="8:9">
      <c r="H16747" s="1092"/>
      <c r="I16747" s="1092"/>
    </row>
    <row r="16748" spans="8:9">
      <c r="H16748" s="1092"/>
      <c r="I16748" s="1092"/>
    </row>
    <row r="16749" spans="8:9">
      <c r="H16749" s="1092"/>
      <c r="I16749" s="1092"/>
    </row>
    <row r="16750" spans="8:9">
      <c r="H16750" s="1092"/>
      <c r="I16750" s="1092"/>
    </row>
    <row r="16751" spans="8:9">
      <c r="H16751" s="1092"/>
      <c r="I16751" s="1092"/>
    </row>
    <row r="16752" spans="8:9">
      <c r="H16752" s="1092"/>
      <c r="I16752" s="1092"/>
    </row>
    <row r="16753" spans="8:9">
      <c r="H16753" s="1092"/>
      <c r="I16753" s="1092"/>
    </row>
    <row r="16754" spans="8:9">
      <c r="H16754" s="1092"/>
      <c r="I16754" s="1092"/>
    </row>
    <row r="16755" spans="8:9">
      <c r="H16755" s="1092"/>
      <c r="I16755" s="1092"/>
    </row>
    <row r="16756" spans="8:9">
      <c r="H16756" s="1092"/>
      <c r="I16756" s="1092"/>
    </row>
    <row r="16757" spans="8:9">
      <c r="H16757" s="1092"/>
      <c r="I16757" s="1092"/>
    </row>
    <row r="16758" spans="8:9">
      <c r="H16758" s="1092"/>
      <c r="I16758" s="1092"/>
    </row>
    <row r="16759" spans="8:9">
      <c r="H16759" s="1092"/>
      <c r="I16759" s="1092"/>
    </row>
    <row r="16760" spans="8:9">
      <c r="H16760" s="1092"/>
      <c r="I16760" s="1092"/>
    </row>
    <row r="16761" spans="8:9">
      <c r="H16761" s="1092"/>
      <c r="I16761" s="1092"/>
    </row>
    <row r="16762" spans="8:9">
      <c r="H16762" s="1092"/>
      <c r="I16762" s="1092"/>
    </row>
    <row r="16763" spans="8:9">
      <c r="H16763" s="1092"/>
      <c r="I16763" s="1092"/>
    </row>
    <row r="16764" spans="8:9">
      <c r="H16764" s="1092"/>
      <c r="I16764" s="1092"/>
    </row>
    <row r="16765" spans="8:9">
      <c r="H16765" s="1092"/>
      <c r="I16765" s="1092"/>
    </row>
    <row r="16766" spans="8:9">
      <c r="H16766" s="1092"/>
      <c r="I16766" s="1092"/>
    </row>
    <row r="16767" spans="8:9">
      <c r="H16767" s="1092"/>
      <c r="I16767" s="1092"/>
    </row>
    <row r="16768" spans="8:9">
      <c r="H16768" s="1092"/>
      <c r="I16768" s="1092"/>
    </row>
    <row r="16769" spans="8:9">
      <c r="H16769" s="1092"/>
      <c r="I16769" s="1092"/>
    </row>
    <row r="16770" spans="8:9">
      <c r="H16770" s="1092"/>
      <c r="I16770" s="1092"/>
    </row>
    <row r="16771" spans="8:9">
      <c r="H16771" s="1092"/>
      <c r="I16771" s="1092"/>
    </row>
    <row r="16772" spans="8:9">
      <c r="H16772" s="1092"/>
      <c r="I16772" s="1092"/>
    </row>
    <row r="16773" spans="8:9">
      <c r="H16773" s="1092"/>
      <c r="I16773" s="1092"/>
    </row>
    <row r="16774" spans="8:9">
      <c r="H16774" s="1092"/>
      <c r="I16774" s="1092"/>
    </row>
    <row r="16775" spans="8:9">
      <c r="H16775" s="1092"/>
      <c r="I16775" s="1092"/>
    </row>
    <row r="16776" spans="8:9">
      <c r="H16776" s="1092"/>
      <c r="I16776" s="1092"/>
    </row>
    <row r="16777" spans="8:9">
      <c r="H16777" s="1092"/>
      <c r="I16777" s="1092"/>
    </row>
    <row r="16778" spans="8:9">
      <c r="H16778" s="1092"/>
      <c r="I16778" s="1092"/>
    </row>
    <row r="16779" spans="8:9">
      <c r="H16779" s="1092"/>
      <c r="I16779" s="1092"/>
    </row>
    <row r="16780" spans="8:9">
      <c r="H16780" s="1092"/>
      <c r="I16780" s="1092"/>
    </row>
    <row r="16781" spans="8:9">
      <c r="H16781" s="1092"/>
      <c r="I16781" s="1092"/>
    </row>
    <row r="16782" spans="8:9">
      <c r="H16782" s="1092"/>
      <c r="I16782" s="1092"/>
    </row>
    <row r="16783" spans="8:9">
      <c r="H16783" s="1092"/>
      <c r="I16783" s="1092"/>
    </row>
    <row r="16784" spans="8:9">
      <c r="H16784" s="1092"/>
      <c r="I16784" s="1092"/>
    </row>
    <row r="16785" spans="8:9">
      <c r="H16785" s="1092"/>
      <c r="I16785" s="1092"/>
    </row>
    <row r="16786" spans="8:9">
      <c r="H16786" s="1092"/>
      <c r="I16786" s="1092"/>
    </row>
    <row r="16787" spans="8:9">
      <c r="H16787" s="1092"/>
      <c r="I16787" s="1092"/>
    </row>
    <row r="16788" spans="8:9">
      <c r="H16788" s="1092"/>
      <c r="I16788" s="1092"/>
    </row>
    <row r="16789" spans="8:9">
      <c r="H16789" s="1092"/>
      <c r="I16789" s="1092"/>
    </row>
    <row r="16790" spans="8:9">
      <c r="H16790" s="1092"/>
      <c r="I16790" s="1092"/>
    </row>
    <row r="16791" spans="8:9">
      <c r="H16791" s="1092"/>
      <c r="I16791" s="1092"/>
    </row>
    <row r="16792" spans="8:9">
      <c r="H16792" s="1092"/>
      <c r="I16792" s="1092"/>
    </row>
    <row r="16793" spans="8:9">
      <c r="H16793" s="1092"/>
      <c r="I16793" s="1092"/>
    </row>
    <row r="16794" spans="8:9">
      <c r="H16794" s="1092"/>
      <c r="I16794" s="1092"/>
    </row>
    <row r="16795" spans="8:9">
      <c r="H16795" s="1092"/>
      <c r="I16795" s="1092"/>
    </row>
    <row r="16796" spans="8:9">
      <c r="H16796" s="1092"/>
      <c r="I16796" s="1092"/>
    </row>
    <row r="16797" spans="8:9">
      <c r="H16797" s="1092"/>
      <c r="I16797" s="1092"/>
    </row>
    <row r="16798" spans="8:9">
      <c r="H16798" s="1092"/>
      <c r="I16798" s="1092"/>
    </row>
    <row r="16799" spans="8:9">
      <c r="H16799" s="1092"/>
      <c r="I16799" s="1092"/>
    </row>
    <row r="16800" spans="8:9">
      <c r="H16800" s="1092"/>
      <c r="I16800" s="1092"/>
    </row>
    <row r="16801" spans="8:9">
      <c r="H16801" s="1092"/>
      <c r="I16801" s="1092"/>
    </row>
    <row r="16802" spans="8:9">
      <c r="H16802" s="1092"/>
      <c r="I16802" s="1092"/>
    </row>
    <row r="16803" spans="8:9">
      <c r="H16803" s="1092"/>
      <c r="I16803" s="1092"/>
    </row>
    <row r="16804" spans="8:9">
      <c r="H16804" s="1092"/>
      <c r="I16804" s="1092"/>
    </row>
    <row r="16805" spans="8:9">
      <c r="H16805" s="1092"/>
      <c r="I16805" s="1092"/>
    </row>
    <row r="16806" spans="8:9">
      <c r="H16806" s="1092"/>
      <c r="I16806" s="1092"/>
    </row>
    <row r="16807" spans="8:9">
      <c r="H16807" s="1092"/>
      <c r="I16807" s="1092"/>
    </row>
    <row r="16808" spans="8:9">
      <c r="H16808" s="1092"/>
      <c r="I16808" s="1092"/>
    </row>
    <row r="16809" spans="8:9">
      <c r="H16809" s="1092"/>
      <c r="I16809" s="1092"/>
    </row>
    <row r="16810" spans="8:9">
      <c r="H16810" s="1092"/>
      <c r="I16810" s="1092"/>
    </row>
    <row r="16811" spans="8:9">
      <c r="H16811" s="1092"/>
      <c r="I16811" s="1092"/>
    </row>
    <row r="16812" spans="8:9">
      <c r="H16812" s="1092"/>
      <c r="I16812" s="1092"/>
    </row>
    <row r="16813" spans="8:9">
      <c r="H16813" s="1092"/>
      <c r="I16813" s="1092"/>
    </row>
    <row r="16814" spans="8:9">
      <c r="H16814" s="1092"/>
      <c r="I16814" s="1092"/>
    </row>
    <row r="16815" spans="8:9">
      <c r="H16815" s="1092"/>
      <c r="I16815" s="1092"/>
    </row>
    <row r="16816" spans="8:9">
      <c r="H16816" s="1092"/>
      <c r="I16816" s="1092"/>
    </row>
    <row r="16817" spans="8:9">
      <c r="H16817" s="1092"/>
      <c r="I16817" s="1092"/>
    </row>
    <row r="16818" spans="8:9">
      <c r="H16818" s="1092"/>
      <c r="I16818" s="1092"/>
    </row>
    <row r="16819" spans="8:9">
      <c r="H16819" s="1092"/>
      <c r="I16819" s="1092"/>
    </row>
    <row r="16820" spans="8:9">
      <c r="H16820" s="1092"/>
      <c r="I16820" s="1092"/>
    </row>
    <row r="16821" spans="8:9">
      <c r="H16821" s="1092"/>
      <c r="I16821" s="1092"/>
    </row>
    <row r="16822" spans="8:9">
      <c r="H16822" s="1092"/>
      <c r="I16822" s="1092"/>
    </row>
    <row r="16823" spans="8:9">
      <c r="H16823" s="1092"/>
      <c r="I16823" s="1092"/>
    </row>
    <row r="16824" spans="8:9">
      <c r="H16824" s="1092"/>
      <c r="I16824" s="1092"/>
    </row>
    <row r="16825" spans="8:9">
      <c r="H16825" s="1092"/>
      <c r="I16825" s="1092"/>
    </row>
    <row r="16826" spans="8:9">
      <c r="H16826" s="1092"/>
      <c r="I16826" s="1092"/>
    </row>
    <row r="16827" spans="8:9">
      <c r="H16827" s="1092"/>
      <c r="I16827" s="1092"/>
    </row>
    <row r="16828" spans="8:9">
      <c r="H16828" s="1092"/>
      <c r="I16828" s="1092"/>
    </row>
    <row r="16829" spans="8:9">
      <c r="H16829" s="1092"/>
      <c r="I16829" s="1092"/>
    </row>
    <row r="16830" spans="8:9">
      <c r="H16830" s="1092"/>
      <c r="I16830" s="1092"/>
    </row>
    <row r="16831" spans="8:9">
      <c r="H16831" s="1092"/>
      <c r="I16831" s="1092"/>
    </row>
    <row r="16832" spans="8:9">
      <c r="H16832" s="1092"/>
      <c r="I16832" s="1092"/>
    </row>
    <row r="16833" spans="8:9">
      <c r="H16833" s="1092"/>
      <c r="I16833" s="1092"/>
    </row>
    <row r="16834" spans="8:9">
      <c r="H16834" s="1092"/>
      <c r="I16834" s="1092"/>
    </row>
    <row r="16835" spans="8:9">
      <c r="H16835" s="1092"/>
      <c r="I16835" s="1092"/>
    </row>
    <row r="16836" spans="8:9">
      <c r="H16836" s="1092"/>
      <c r="I16836" s="1092"/>
    </row>
    <row r="16837" spans="8:9">
      <c r="H16837" s="1092"/>
      <c r="I16837" s="1092"/>
    </row>
    <row r="16838" spans="8:9">
      <c r="H16838" s="1092"/>
      <c r="I16838" s="1092"/>
    </row>
    <row r="16839" spans="8:9">
      <c r="H16839" s="1092"/>
      <c r="I16839" s="1092"/>
    </row>
    <row r="16840" spans="8:9">
      <c r="H16840" s="1092"/>
      <c r="I16840" s="1092"/>
    </row>
    <row r="16841" spans="8:9">
      <c r="H16841" s="1092"/>
      <c r="I16841" s="1092"/>
    </row>
    <row r="16842" spans="8:9">
      <c r="H16842" s="1092"/>
      <c r="I16842" s="1092"/>
    </row>
    <row r="16843" spans="8:9">
      <c r="H16843" s="1092"/>
      <c r="I16843" s="1092"/>
    </row>
    <row r="16844" spans="8:9">
      <c r="H16844" s="1092"/>
      <c r="I16844" s="1092"/>
    </row>
    <row r="16845" spans="8:9">
      <c r="H16845" s="1092"/>
      <c r="I16845" s="1092"/>
    </row>
    <row r="16846" spans="8:9">
      <c r="H16846" s="1092"/>
      <c r="I16846" s="1092"/>
    </row>
    <row r="16847" spans="8:9">
      <c r="H16847" s="1092"/>
      <c r="I16847" s="1092"/>
    </row>
    <row r="16848" spans="8:9">
      <c r="H16848" s="1092"/>
      <c r="I16848" s="1092"/>
    </row>
    <row r="16849" spans="8:9">
      <c r="H16849" s="1092"/>
      <c r="I16849" s="1092"/>
    </row>
    <row r="16850" spans="8:9">
      <c r="H16850" s="1092"/>
      <c r="I16850" s="1092"/>
    </row>
    <row r="16851" spans="8:9">
      <c r="H16851" s="1092"/>
      <c r="I16851" s="1092"/>
    </row>
    <row r="16852" spans="8:9">
      <c r="H16852" s="1092"/>
      <c r="I16852" s="1092"/>
    </row>
    <row r="16853" spans="8:9">
      <c r="H16853" s="1092"/>
      <c r="I16853" s="1092"/>
    </row>
    <row r="16854" spans="8:9">
      <c r="H16854" s="1092"/>
      <c r="I16854" s="1092"/>
    </row>
    <row r="16855" spans="8:9">
      <c r="H16855" s="1092"/>
      <c r="I16855" s="1092"/>
    </row>
    <row r="16856" spans="8:9">
      <c r="H16856" s="1092"/>
      <c r="I16856" s="1092"/>
    </row>
    <row r="16857" spans="8:9">
      <c r="H16857" s="1092"/>
      <c r="I16857" s="1092"/>
    </row>
    <row r="16858" spans="8:9">
      <c r="H16858" s="1092"/>
      <c r="I16858" s="1092"/>
    </row>
    <row r="16859" spans="8:9">
      <c r="H16859" s="1092"/>
      <c r="I16859" s="1092"/>
    </row>
    <row r="16860" spans="8:9">
      <c r="H16860" s="1092"/>
      <c r="I16860" s="1092"/>
    </row>
    <row r="16861" spans="8:9">
      <c r="H16861" s="1092"/>
      <c r="I16861" s="1092"/>
    </row>
    <row r="16862" spans="8:9">
      <c r="H16862" s="1092"/>
      <c r="I16862" s="1092"/>
    </row>
    <row r="16863" spans="8:9">
      <c r="H16863" s="1092"/>
      <c r="I16863" s="1092"/>
    </row>
    <row r="16864" spans="8:9">
      <c r="H16864" s="1092"/>
      <c r="I16864" s="1092"/>
    </row>
    <row r="16865" spans="8:9">
      <c r="H16865" s="1092"/>
      <c r="I16865" s="1092"/>
    </row>
    <row r="16866" spans="8:9">
      <c r="H16866" s="1092"/>
      <c r="I16866" s="1092"/>
    </row>
    <row r="16867" spans="8:9">
      <c r="H16867" s="1092"/>
      <c r="I16867" s="1092"/>
    </row>
    <row r="16868" spans="8:9">
      <c r="H16868" s="1092"/>
      <c r="I16868" s="1092"/>
    </row>
    <row r="16869" spans="8:9">
      <c r="H16869" s="1092"/>
      <c r="I16869" s="1092"/>
    </row>
    <row r="16870" spans="8:9">
      <c r="H16870" s="1092"/>
      <c r="I16870" s="1092"/>
    </row>
    <row r="16871" spans="8:9">
      <c r="H16871" s="1092"/>
      <c r="I16871" s="1092"/>
    </row>
    <row r="16872" spans="8:9">
      <c r="H16872" s="1092"/>
      <c r="I16872" s="1092"/>
    </row>
    <row r="16873" spans="8:9">
      <c r="H16873" s="1092"/>
      <c r="I16873" s="1092"/>
    </row>
    <row r="16874" spans="8:9">
      <c r="H16874" s="1092"/>
      <c r="I16874" s="1092"/>
    </row>
    <row r="16875" spans="8:9">
      <c r="H16875" s="1092"/>
      <c r="I16875" s="1092"/>
    </row>
    <row r="16876" spans="8:9">
      <c r="H16876" s="1092"/>
      <c r="I16876" s="1092"/>
    </row>
    <row r="16877" spans="8:9">
      <c r="H16877" s="1092"/>
      <c r="I16877" s="1092"/>
    </row>
    <row r="16878" spans="8:9">
      <c r="H16878" s="1092"/>
      <c r="I16878" s="1092"/>
    </row>
    <row r="16879" spans="8:9">
      <c r="H16879" s="1092"/>
      <c r="I16879" s="1092"/>
    </row>
    <row r="16880" spans="8:9">
      <c r="H16880" s="1092"/>
      <c r="I16880" s="1092"/>
    </row>
    <row r="16881" spans="8:9">
      <c r="H16881" s="1092"/>
      <c r="I16881" s="1092"/>
    </row>
    <row r="16882" spans="8:9">
      <c r="H16882" s="1092"/>
      <c r="I16882" s="1092"/>
    </row>
    <row r="16883" spans="8:9">
      <c r="H16883" s="1092"/>
      <c r="I16883" s="1092"/>
    </row>
    <row r="16884" spans="8:9">
      <c r="H16884" s="1092"/>
      <c r="I16884" s="1092"/>
    </row>
    <row r="16885" spans="8:9">
      <c r="H16885" s="1092"/>
      <c r="I16885" s="1092"/>
    </row>
    <row r="16886" spans="8:9">
      <c r="H16886" s="1092"/>
      <c r="I16886" s="1092"/>
    </row>
    <row r="16887" spans="8:9">
      <c r="H16887" s="1092"/>
      <c r="I16887" s="1092"/>
    </row>
    <row r="16888" spans="8:9">
      <c r="H16888" s="1092"/>
      <c r="I16888" s="1092"/>
    </row>
    <row r="16889" spans="8:9">
      <c r="H16889" s="1092"/>
      <c r="I16889" s="1092"/>
    </row>
    <row r="16890" spans="8:9">
      <c r="H16890" s="1092"/>
      <c r="I16890" s="1092"/>
    </row>
    <row r="16891" spans="8:9">
      <c r="H16891" s="1092"/>
      <c r="I16891" s="1092"/>
    </row>
    <row r="16892" spans="8:9">
      <c r="H16892" s="1092"/>
      <c r="I16892" s="1092"/>
    </row>
    <row r="16893" spans="8:9">
      <c r="H16893" s="1092"/>
      <c r="I16893" s="1092"/>
    </row>
    <row r="16894" spans="8:9">
      <c r="H16894" s="1092"/>
      <c r="I16894" s="1092"/>
    </row>
    <row r="16895" spans="8:9">
      <c r="H16895" s="1092"/>
      <c r="I16895" s="1092"/>
    </row>
    <row r="16896" spans="8:9">
      <c r="H16896" s="1092"/>
      <c r="I16896" s="1092"/>
    </row>
    <row r="16897" spans="8:9">
      <c r="H16897" s="1092"/>
      <c r="I16897" s="1092"/>
    </row>
    <row r="16898" spans="8:9">
      <c r="H16898" s="1092"/>
      <c r="I16898" s="1092"/>
    </row>
    <row r="16899" spans="8:9">
      <c r="H16899" s="1092"/>
      <c r="I16899" s="1092"/>
    </row>
    <row r="16900" spans="8:9">
      <c r="H16900" s="1092"/>
      <c r="I16900" s="1092"/>
    </row>
    <row r="16901" spans="8:9">
      <c r="H16901" s="1092"/>
      <c r="I16901" s="1092"/>
    </row>
    <row r="16902" spans="8:9">
      <c r="H16902" s="1092"/>
      <c r="I16902" s="1092"/>
    </row>
    <row r="16903" spans="8:9">
      <c r="H16903" s="1092"/>
      <c r="I16903" s="1092"/>
    </row>
    <row r="16904" spans="8:9">
      <c r="H16904" s="1092"/>
      <c r="I16904" s="1092"/>
    </row>
    <row r="16905" spans="8:9">
      <c r="H16905" s="1092"/>
      <c r="I16905" s="1092"/>
    </row>
    <row r="16906" spans="8:9">
      <c r="H16906" s="1092"/>
      <c r="I16906" s="1092"/>
    </row>
    <row r="16907" spans="8:9">
      <c r="H16907" s="1092"/>
      <c r="I16907" s="1092"/>
    </row>
    <row r="16908" spans="8:9">
      <c r="H16908" s="1092"/>
      <c r="I16908" s="1092"/>
    </row>
    <row r="16909" spans="8:9">
      <c r="H16909" s="1092"/>
      <c r="I16909" s="1092"/>
    </row>
    <row r="16910" spans="8:9">
      <c r="H16910" s="1092"/>
      <c r="I16910" s="1092"/>
    </row>
    <row r="16911" spans="8:9">
      <c r="H16911" s="1092"/>
      <c r="I16911" s="1092"/>
    </row>
    <row r="16912" spans="8:9">
      <c r="H16912" s="1092"/>
      <c r="I16912" s="1092"/>
    </row>
    <row r="16913" spans="8:9">
      <c r="H16913" s="1092"/>
      <c r="I16913" s="1092"/>
    </row>
    <row r="16914" spans="8:9">
      <c r="H16914" s="1092"/>
      <c r="I16914" s="1092"/>
    </row>
    <row r="16915" spans="8:9">
      <c r="H16915" s="1092"/>
      <c r="I16915" s="1092"/>
    </row>
    <row r="16916" spans="8:9">
      <c r="H16916" s="1092"/>
      <c r="I16916" s="1092"/>
    </row>
    <row r="16917" spans="8:9">
      <c r="H16917" s="1092"/>
      <c r="I16917" s="1092"/>
    </row>
    <row r="16918" spans="8:9">
      <c r="H16918" s="1092"/>
      <c r="I16918" s="1092"/>
    </row>
    <row r="16919" spans="8:9">
      <c r="H16919" s="1092"/>
      <c r="I16919" s="1092"/>
    </row>
    <row r="16920" spans="8:9">
      <c r="H16920" s="1092"/>
      <c r="I16920" s="1092"/>
    </row>
    <row r="16921" spans="8:9">
      <c r="H16921" s="1092"/>
      <c r="I16921" s="1092"/>
    </row>
    <row r="16922" spans="8:9">
      <c r="H16922" s="1092"/>
      <c r="I16922" s="1092"/>
    </row>
    <row r="16923" spans="8:9">
      <c r="H16923" s="1092"/>
      <c r="I16923" s="1092"/>
    </row>
    <row r="16924" spans="8:9">
      <c r="H16924" s="1092"/>
      <c r="I16924" s="1092"/>
    </row>
    <row r="16925" spans="8:9">
      <c r="H16925" s="1092"/>
      <c r="I16925" s="1092"/>
    </row>
    <row r="16926" spans="8:9">
      <c r="H16926" s="1092"/>
      <c r="I16926" s="1092"/>
    </row>
    <row r="16927" spans="8:9">
      <c r="H16927" s="1092"/>
      <c r="I16927" s="1092"/>
    </row>
    <row r="16928" spans="8:9">
      <c r="H16928" s="1092"/>
      <c r="I16928" s="1092"/>
    </row>
    <row r="16929" spans="8:9">
      <c r="H16929" s="1092"/>
      <c r="I16929" s="1092"/>
    </row>
    <row r="16930" spans="8:9">
      <c r="H16930" s="1092"/>
      <c r="I16930" s="1092"/>
    </row>
    <row r="16931" spans="8:9">
      <c r="H16931" s="1092"/>
      <c r="I16931" s="1092"/>
    </row>
    <row r="16932" spans="8:9">
      <c r="H16932" s="1092"/>
      <c r="I16932" s="1092"/>
    </row>
    <row r="16933" spans="8:9">
      <c r="H16933" s="1092"/>
      <c r="I16933" s="1092"/>
    </row>
    <row r="16934" spans="8:9">
      <c r="H16934" s="1092"/>
      <c r="I16934" s="1092"/>
    </row>
    <row r="16935" spans="8:9">
      <c r="H16935" s="1092"/>
      <c r="I16935" s="1092"/>
    </row>
    <row r="16936" spans="8:9">
      <c r="H16936" s="1092"/>
      <c r="I16936" s="1092"/>
    </row>
    <row r="16937" spans="8:9">
      <c r="H16937" s="1092"/>
      <c r="I16937" s="1092"/>
    </row>
    <row r="16938" spans="8:9">
      <c r="H16938" s="1092"/>
      <c r="I16938" s="1092"/>
    </row>
    <row r="16939" spans="8:9">
      <c r="H16939" s="1092"/>
      <c r="I16939" s="1092"/>
    </row>
    <row r="16940" spans="8:9">
      <c r="H16940" s="1092"/>
      <c r="I16940" s="1092"/>
    </row>
    <row r="16941" spans="8:9">
      <c r="H16941" s="1092"/>
      <c r="I16941" s="1092"/>
    </row>
    <row r="16942" spans="8:9">
      <c r="H16942" s="1092"/>
      <c r="I16942" s="1092"/>
    </row>
    <row r="16943" spans="8:9">
      <c r="H16943" s="1092"/>
      <c r="I16943" s="1092"/>
    </row>
    <row r="16944" spans="8:9">
      <c r="H16944" s="1092"/>
      <c r="I16944" s="1092"/>
    </row>
    <row r="16945" spans="8:9">
      <c r="H16945" s="1092"/>
      <c r="I16945" s="1092"/>
    </row>
    <row r="16946" spans="8:9">
      <c r="H16946" s="1092"/>
      <c r="I16946" s="1092"/>
    </row>
    <row r="16947" spans="8:9">
      <c r="H16947" s="1092"/>
      <c r="I16947" s="1092"/>
    </row>
    <row r="16948" spans="8:9">
      <c r="H16948" s="1092"/>
      <c r="I16948" s="1092"/>
    </row>
    <row r="16949" spans="8:9">
      <c r="H16949" s="1092"/>
      <c r="I16949" s="1092"/>
    </row>
    <row r="16950" spans="8:9">
      <c r="H16950" s="1092"/>
      <c r="I16950" s="1092"/>
    </row>
    <row r="16951" spans="8:9">
      <c r="H16951" s="1092"/>
      <c r="I16951" s="1092"/>
    </row>
    <row r="16952" spans="8:9">
      <c r="H16952" s="1092"/>
      <c r="I16952" s="1092"/>
    </row>
    <row r="16953" spans="8:9">
      <c r="H16953" s="1092"/>
      <c r="I16953" s="1092"/>
    </row>
    <row r="16954" spans="8:9">
      <c r="H16954" s="1092"/>
      <c r="I16954" s="1092"/>
    </row>
    <row r="16955" spans="8:9">
      <c r="H16955" s="1092"/>
      <c r="I16955" s="1092"/>
    </row>
    <row r="16956" spans="8:9">
      <c r="H16956" s="1092"/>
      <c r="I16956" s="1092"/>
    </row>
    <row r="16957" spans="8:9">
      <c r="H16957" s="1092"/>
      <c r="I16957" s="1092"/>
    </row>
    <row r="16958" spans="8:9">
      <c r="H16958" s="1092"/>
      <c r="I16958" s="1092"/>
    </row>
    <row r="16959" spans="8:9">
      <c r="H16959" s="1092"/>
      <c r="I16959" s="1092"/>
    </row>
    <row r="16960" spans="8:9">
      <c r="H16960" s="1092"/>
      <c r="I16960" s="1092"/>
    </row>
    <row r="16961" spans="8:9">
      <c r="H16961" s="1092"/>
      <c r="I16961" s="1092"/>
    </row>
    <row r="16962" spans="8:9">
      <c r="H16962" s="1092"/>
      <c r="I16962" s="1092"/>
    </row>
    <row r="16963" spans="8:9">
      <c r="H16963" s="1092"/>
      <c r="I16963" s="1092"/>
    </row>
    <row r="16964" spans="8:9">
      <c r="H16964" s="1092"/>
      <c r="I16964" s="1092"/>
    </row>
    <row r="16965" spans="8:9">
      <c r="H16965" s="1092"/>
      <c r="I16965" s="1092"/>
    </row>
    <row r="16966" spans="8:9">
      <c r="H16966" s="1092"/>
      <c r="I16966" s="1092"/>
    </row>
    <row r="16967" spans="8:9">
      <c r="H16967" s="1092"/>
      <c r="I16967" s="1092"/>
    </row>
    <row r="16968" spans="8:9">
      <c r="H16968" s="1092"/>
      <c r="I16968" s="1092"/>
    </row>
    <row r="16969" spans="8:9">
      <c r="H16969" s="1092"/>
      <c r="I16969" s="1092"/>
    </row>
    <row r="16970" spans="8:9">
      <c r="H16970" s="1092"/>
      <c r="I16970" s="1092"/>
    </row>
    <row r="16971" spans="8:9">
      <c r="H16971" s="1092"/>
      <c r="I16971" s="1092"/>
    </row>
    <row r="16972" spans="8:9">
      <c r="H16972" s="1092"/>
      <c r="I16972" s="1092"/>
    </row>
    <row r="16973" spans="8:9">
      <c r="H16973" s="1092"/>
      <c r="I16973" s="1092"/>
    </row>
    <row r="16974" spans="8:9">
      <c r="H16974" s="1092"/>
      <c r="I16974" s="1092"/>
    </row>
    <row r="16975" spans="8:9">
      <c r="H16975" s="1092"/>
      <c r="I16975" s="1092"/>
    </row>
    <row r="16976" spans="8:9">
      <c r="H16976" s="1092"/>
      <c r="I16976" s="1092"/>
    </row>
    <row r="16977" spans="8:9">
      <c r="H16977" s="1092"/>
      <c r="I16977" s="1092"/>
    </row>
    <row r="16978" spans="8:9">
      <c r="H16978" s="1092"/>
      <c r="I16978" s="1092"/>
    </row>
    <row r="16979" spans="8:9">
      <c r="H16979" s="1092"/>
      <c r="I16979" s="1092"/>
    </row>
    <row r="16980" spans="8:9">
      <c r="H16980" s="1092"/>
      <c r="I16980" s="1092"/>
    </row>
    <row r="16981" spans="8:9">
      <c r="H16981" s="1092"/>
      <c r="I16981" s="1092"/>
    </row>
    <row r="16982" spans="8:9">
      <c r="H16982" s="1092"/>
      <c r="I16982" s="1092"/>
    </row>
    <row r="16983" spans="8:9">
      <c r="H16983" s="1092"/>
      <c r="I16983" s="1092"/>
    </row>
    <row r="16984" spans="8:9">
      <c r="H16984" s="1092"/>
      <c r="I16984" s="1092"/>
    </row>
    <row r="16985" spans="8:9">
      <c r="H16985" s="1092"/>
      <c r="I16985" s="1092"/>
    </row>
    <row r="16986" spans="8:9">
      <c r="H16986" s="1092"/>
      <c r="I16986" s="1092"/>
    </row>
    <row r="16987" spans="8:9">
      <c r="H16987" s="1092"/>
      <c r="I16987" s="1092"/>
    </row>
    <row r="16988" spans="8:9">
      <c r="H16988" s="1092"/>
      <c r="I16988" s="1092"/>
    </row>
    <row r="16989" spans="8:9">
      <c r="H16989" s="1092"/>
      <c r="I16989" s="1092"/>
    </row>
    <row r="16990" spans="8:9">
      <c r="H16990" s="1092"/>
      <c r="I16990" s="1092"/>
    </row>
    <row r="16991" spans="8:9">
      <c r="H16991" s="1092"/>
      <c r="I16991" s="1092"/>
    </row>
    <row r="16992" spans="8:9">
      <c r="H16992" s="1092"/>
      <c r="I16992" s="1092"/>
    </row>
    <row r="16993" spans="8:9">
      <c r="H16993" s="1092"/>
      <c r="I16993" s="1092"/>
    </row>
    <row r="16994" spans="8:9">
      <c r="H16994" s="1092"/>
      <c r="I16994" s="1092"/>
    </row>
    <row r="16995" spans="8:9">
      <c r="H16995" s="1092"/>
      <c r="I16995" s="1092"/>
    </row>
    <row r="16996" spans="8:9">
      <c r="H16996" s="1092"/>
      <c r="I16996" s="1092"/>
    </row>
    <row r="16997" spans="8:9">
      <c r="H16997" s="1092"/>
      <c r="I16997" s="1092"/>
    </row>
    <row r="16998" spans="8:9">
      <c r="H16998" s="1092"/>
      <c r="I16998" s="1092"/>
    </row>
    <row r="16999" spans="8:9">
      <c r="H16999" s="1092"/>
      <c r="I16999" s="1092"/>
    </row>
    <row r="17000" spans="8:9">
      <c r="H17000" s="1092"/>
      <c r="I17000" s="1092"/>
    </row>
    <row r="17001" spans="8:9">
      <c r="H17001" s="1092"/>
      <c r="I17001" s="1092"/>
    </row>
    <row r="17002" spans="8:9">
      <c r="H17002" s="1092"/>
      <c r="I17002" s="1092"/>
    </row>
    <row r="17003" spans="8:9">
      <c r="H17003" s="1092"/>
      <c r="I17003" s="1092"/>
    </row>
    <row r="17004" spans="8:9">
      <c r="H17004" s="1092"/>
      <c r="I17004" s="1092"/>
    </row>
    <row r="17005" spans="8:9">
      <c r="H17005" s="1092"/>
      <c r="I17005" s="1092"/>
    </row>
    <row r="17006" spans="8:9">
      <c r="H17006" s="1092"/>
      <c r="I17006" s="1092"/>
    </row>
    <row r="17007" spans="8:9">
      <c r="H17007" s="1092"/>
      <c r="I17007" s="1092"/>
    </row>
    <row r="17008" spans="8:9">
      <c r="H17008" s="1092"/>
      <c r="I17008" s="1092"/>
    </row>
    <row r="17009" spans="8:9">
      <c r="H17009" s="1092"/>
      <c r="I17009" s="1092"/>
    </row>
    <row r="17010" spans="8:9">
      <c r="H17010" s="1092"/>
      <c r="I17010" s="1092"/>
    </row>
    <row r="17011" spans="8:9">
      <c r="H17011" s="1092"/>
      <c r="I17011" s="1092"/>
    </row>
    <row r="17012" spans="8:9">
      <c r="H17012" s="1092"/>
      <c r="I17012" s="1092"/>
    </row>
    <row r="17013" spans="8:9">
      <c r="H17013" s="1092"/>
      <c r="I17013" s="1092"/>
    </row>
    <row r="17014" spans="8:9">
      <c r="H17014" s="1092"/>
      <c r="I17014" s="1092"/>
    </row>
    <row r="17015" spans="8:9">
      <c r="H17015" s="1092"/>
      <c r="I17015" s="1092"/>
    </row>
    <row r="17016" spans="8:9">
      <c r="H17016" s="1092"/>
      <c r="I17016" s="1092"/>
    </row>
    <row r="17017" spans="8:9">
      <c r="H17017" s="1092"/>
      <c r="I17017" s="1092"/>
    </row>
    <row r="17018" spans="8:9">
      <c r="H17018" s="1092"/>
      <c r="I17018" s="1092"/>
    </row>
    <row r="17019" spans="8:9">
      <c r="H17019" s="1092"/>
      <c r="I17019" s="1092"/>
    </row>
    <row r="17020" spans="8:9">
      <c r="H17020" s="1092"/>
      <c r="I17020" s="1092"/>
    </row>
    <row r="17021" spans="8:9">
      <c r="H17021" s="1092"/>
      <c r="I17021" s="1092"/>
    </row>
    <row r="17022" spans="8:9">
      <c r="H17022" s="1092"/>
      <c r="I17022" s="1092"/>
    </row>
    <row r="17023" spans="8:9">
      <c r="H17023" s="1092"/>
      <c r="I17023" s="1092"/>
    </row>
    <row r="17024" spans="8:9">
      <c r="H17024" s="1092"/>
      <c r="I17024" s="1092"/>
    </row>
    <row r="17025" spans="8:9">
      <c r="H17025" s="1092"/>
      <c r="I17025" s="1092"/>
    </row>
    <row r="17026" spans="8:9">
      <c r="H17026" s="1092"/>
      <c r="I17026" s="1092"/>
    </row>
    <row r="17027" spans="8:9">
      <c r="H17027" s="1092"/>
      <c r="I17027" s="1092"/>
    </row>
    <row r="17028" spans="8:9">
      <c r="H17028" s="1092"/>
      <c r="I17028" s="1092"/>
    </row>
    <row r="17029" spans="8:9">
      <c r="H17029" s="1092"/>
      <c r="I17029" s="1092"/>
    </row>
    <row r="17030" spans="8:9">
      <c r="H17030" s="1092"/>
      <c r="I17030" s="1092"/>
    </row>
    <row r="17031" spans="8:9">
      <c r="H17031" s="1092"/>
      <c r="I17031" s="1092"/>
    </row>
    <row r="17032" spans="8:9">
      <c r="H17032" s="1092"/>
      <c r="I17032" s="1092"/>
    </row>
    <row r="17033" spans="8:9">
      <c r="H17033" s="1092"/>
      <c r="I17033" s="1092"/>
    </row>
    <row r="17034" spans="8:9">
      <c r="H17034" s="1092"/>
      <c r="I17034" s="1092"/>
    </row>
    <row r="17035" spans="8:9">
      <c r="H17035" s="1092"/>
      <c r="I17035" s="1092"/>
    </row>
    <row r="17036" spans="8:9">
      <c r="H17036" s="1092"/>
      <c r="I17036" s="1092"/>
    </row>
    <row r="17037" spans="8:9">
      <c r="H17037" s="1092"/>
      <c r="I17037" s="1092"/>
    </row>
    <row r="17038" spans="8:9">
      <c r="H17038" s="1092"/>
      <c r="I17038" s="1092"/>
    </row>
    <row r="17039" spans="8:9">
      <c r="H17039" s="1092"/>
      <c r="I17039" s="1092"/>
    </row>
    <row r="17040" spans="8:9">
      <c r="H17040" s="1092"/>
      <c r="I17040" s="1092"/>
    </row>
    <row r="17041" spans="8:9">
      <c r="H17041" s="1092"/>
      <c r="I17041" s="1092"/>
    </row>
    <row r="17042" spans="8:9">
      <c r="H17042" s="1092"/>
      <c r="I17042" s="1092"/>
    </row>
    <row r="17043" spans="8:9">
      <c r="H17043" s="1092"/>
      <c r="I17043" s="1092"/>
    </row>
    <row r="17044" spans="8:9">
      <c r="H17044" s="1092"/>
      <c r="I17044" s="1092"/>
    </row>
    <row r="17045" spans="8:9">
      <c r="H17045" s="1092"/>
      <c r="I17045" s="1092"/>
    </row>
    <row r="17046" spans="8:9">
      <c r="H17046" s="1092"/>
      <c r="I17046" s="1092"/>
    </row>
    <row r="17047" spans="8:9">
      <c r="H17047" s="1092"/>
      <c r="I17047" s="1092"/>
    </row>
    <row r="17048" spans="8:9">
      <c r="H17048" s="1092"/>
      <c r="I17048" s="1092"/>
    </row>
    <row r="17049" spans="8:9">
      <c r="H17049" s="1092"/>
      <c r="I17049" s="1092"/>
    </row>
    <row r="17050" spans="8:9">
      <c r="H17050" s="1092"/>
      <c r="I17050" s="1092"/>
    </row>
    <row r="17051" spans="8:9">
      <c r="H17051" s="1092"/>
      <c r="I17051" s="1092"/>
    </row>
    <row r="17052" spans="8:9">
      <c r="H17052" s="1092"/>
      <c r="I17052" s="1092"/>
    </row>
    <row r="17053" spans="8:9">
      <c r="H17053" s="1092"/>
      <c r="I17053" s="1092"/>
    </row>
    <row r="17054" spans="8:9">
      <c r="H17054" s="1092"/>
      <c r="I17054" s="1092"/>
    </row>
    <row r="17055" spans="8:9">
      <c r="H17055" s="1092"/>
      <c r="I17055" s="1092"/>
    </row>
    <row r="17056" spans="8:9">
      <c r="H17056" s="1092"/>
      <c r="I17056" s="1092"/>
    </row>
    <row r="17057" spans="8:9">
      <c r="H17057" s="1092"/>
      <c r="I17057" s="1092"/>
    </row>
    <row r="17058" spans="8:9">
      <c r="H17058" s="1092"/>
      <c r="I17058" s="1092"/>
    </row>
    <row r="17059" spans="8:9">
      <c r="H17059" s="1092"/>
      <c r="I17059" s="1092"/>
    </row>
    <row r="17060" spans="8:9">
      <c r="H17060" s="1092"/>
      <c r="I17060" s="1092"/>
    </row>
    <row r="17061" spans="8:9">
      <c r="H17061" s="1092"/>
      <c r="I17061" s="1092"/>
    </row>
    <row r="17062" spans="8:9">
      <c r="H17062" s="1092"/>
      <c r="I17062" s="1092"/>
    </row>
    <row r="17063" spans="8:9">
      <c r="H17063" s="1092"/>
      <c r="I17063" s="1092"/>
    </row>
    <row r="17064" spans="8:9">
      <c r="H17064" s="1092"/>
      <c r="I17064" s="1092"/>
    </row>
    <row r="17065" spans="8:9">
      <c r="H17065" s="1092"/>
      <c r="I17065" s="1092"/>
    </row>
    <row r="17066" spans="8:9">
      <c r="H17066" s="1092"/>
      <c r="I17066" s="1092"/>
    </row>
    <row r="17067" spans="8:9">
      <c r="H17067" s="1092"/>
      <c r="I17067" s="1092"/>
    </row>
    <row r="17068" spans="8:9">
      <c r="H17068" s="1092"/>
      <c r="I17068" s="1092"/>
    </row>
    <row r="17069" spans="8:9">
      <c r="H17069" s="1092"/>
      <c r="I17069" s="1092"/>
    </row>
    <row r="17070" spans="8:9">
      <c r="H17070" s="1092"/>
      <c r="I17070" s="1092"/>
    </row>
    <row r="17071" spans="8:9">
      <c r="H17071" s="1092"/>
      <c r="I17071" s="1092"/>
    </row>
    <row r="17072" spans="8:9">
      <c r="H17072" s="1092"/>
      <c r="I17072" s="1092"/>
    </row>
    <row r="17073" spans="8:9">
      <c r="H17073" s="1092"/>
      <c r="I17073" s="1092"/>
    </row>
    <row r="17074" spans="8:9">
      <c r="H17074" s="1092"/>
      <c r="I17074" s="1092"/>
    </row>
    <row r="17075" spans="8:9">
      <c r="H17075" s="1092"/>
      <c r="I17075" s="1092"/>
    </row>
    <row r="17076" spans="8:9">
      <c r="H17076" s="1092"/>
      <c r="I17076" s="1092"/>
    </row>
    <row r="17077" spans="8:9">
      <c r="H17077" s="1092"/>
      <c r="I17077" s="1092"/>
    </row>
    <row r="17078" spans="8:9">
      <c r="H17078" s="1092"/>
      <c r="I17078" s="1092"/>
    </row>
    <row r="17079" spans="8:9">
      <c r="H17079" s="1092"/>
      <c r="I17079" s="1092"/>
    </row>
    <row r="17080" spans="8:9">
      <c r="H17080" s="1092"/>
      <c r="I17080" s="1092"/>
    </row>
    <row r="17081" spans="8:9">
      <c r="H17081" s="1092"/>
      <c r="I17081" s="1092"/>
    </row>
    <row r="17082" spans="8:9">
      <c r="H17082" s="1092"/>
      <c r="I17082" s="1092"/>
    </row>
    <row r="17083" spans="8:9">
      <c r="H17083" s="1092"/>
      <c r="I17083" s="1092"/>
    </row>
    <row r="17084" spans="8:9">
      <c r="H17084" s="1092"/>
      <c r="I17084" s="1092"/>
    </row>
    <row r="17085" spans="8:9">
      <c r="H17085" s="1092"/>
      <c r="I17085" s="1092"/>
    </row>
    <row r="17086" spans="8:9">
      <c r="H17086" s="1092"/>
      <c r="I17086" s="1092"/>
    </row>
    <row r="17087" spans="8:9">
      <c r="H17087" s="1092"/>
      <c r="I17087" s="1092"/>
    </row>
    <row r="17088" spans="8:9">
      <c r="H17088" s="1092"/>
      <c r="I17088" s="1092"/>
    </row>
    <row r="17089" spans="8:9">
      <c r="H17089" s="1092"/>
      <c r="I17089" s="1092"/>
    </row>
    <row r="17090" spans="8:9">
      <c r="H17090" s="1092"/>
      <c r="I17090" s="1092"/>
    </row>
    <row r="17091" spans="8:9">
      <c r="H17091" s="1092"/>
      <c r="I17091" s="1092"/>
    </row>
    <row r="17092" spans="8:9">
      <c r="H17092" s="1092"/>
      <c r="I17092" s="1092"/>
    </row>
    <row r="17093" spans="8:9">
      <c r="H17093" s="1092"/>
      <c r="I17093" s="1092"/>
    </row>
    <row r="17094" spans="8:9">
      <c r="H17094" s="1092"/>
      <c r="I17094" s="1092"/>
    </row>
    <row r="17095" spans="8:9">
      <c r="H17095" s="1092"/>
      <c r="I17095" s="1092"/>
    </row>
    <row r="17096" spans="8:9">
      <c r="H17096" s="1092"/>
      <c r="I17096" s="1092"/>
    </row>
    <row r="17097" spans="8:9">
      <c r="H17097" s="1092"/>
      <c r="I17097" s="1092"/>
    </row>
    <row r="17098" spans="8:9">
      <c r="H17098" s="1092"/>
      <c r="I17098" s="1092"/>
    </row>
    <row r="17099" spans="8:9">
      <c r="H17099" s="1092"/>
      <c r="I17099" s="1092"/>
    </row>
    <row r="17100" spans="8:9">
      <c r="H17100" s="1092"/>
      <c r="I17100" s="1092"/>
    </row>
    <row r="17101" spans="8:9">
      <c r="H17101" s="1092"/>
      <c r="I17101" s="1092"/>
    </row>
    <row r="17102" spans="8:9">
      <c r="H17102" s="1092"/>
      <c r="I17102" s="1092"/>
    </row>
    <row r="17103" spans="8:9">
      <c r="H17103" s="1092"/>
      <c r="I17103" s="1092"/>
    </row>
    <row r="17104" spans="8:9">
      <c r="H17104" s="1092"/>
      <c r="I17104" s="1092"/>
    </row>
    <row r="17105" spans="8:9">
      <c r="H17105" s="1092"/>
      <c r="I17105" s="1092"/>
    </row>
    <row r="17106" spans="8:9">
      <c r="H17106" s="1092"/>
      <c r="I17106" s="1092"/>
    </row>
    <row r="17107" spans="8:9">
      <c r="H17107" s="1092"/>
      <c r="I17107" s="1092"/>
    </row>
    <row r="17108" spans="8:9">
      <c r="H17108" s="1092"/>
      <c r="I17108" s="1092"/>
    </row>
    <row r="17109" spans="8:9">
      <c r="H17109" s="1092"/>
      <c r="I17109" s="1092"/>
    </row>
    <row r="17110" spans="8:9">
      <c r="H17110" s="1092"/>
      <c r="I17110" s="1092"/>
    </row>
    <row r="17111" spans="8:9">
      <c r="H17111" s="1092"/>
      <c r="I17111" s="1092"/>
    </row>
    <row r="17112" spans="8:9">
      <c r="H17112" s="1092"/>
      <c r="I17112" s="1092"/>
    </row>
    <row r="17113" spans="8:9">
      <c r="H17113" s="1092"/>
      <c r="I17113" s="1092"/>
    </row>
    <row r="17114" spans="8:9">
      <c r="H17114" s="1092"/>
      <c r="I17114" s="1092"/>
    </row>
    <row r="17115" spans="8:9">
      <c r="H17115" s="1092"/>
      <c r="I17115" s="1092"/>
    </row>
    <row r="17116" spans="8:9">
      <c r="H17116" s="1092"/>
      <c r="I17116" s="1092"/>
    </row>
    <row r="17117" spans="8:9">
      <c r="H17117" s="1092"/>
      <c r="I17117" s="1092"/>
    </row>
    <row r="17118" spans="8:9">
      <c r="H17118" s="1092"/>
      <c r="I17118" s="1092"/>
    </row>
    <row r="17119" spans="8:9">
      <c r="H17119" s="1092"/>
      <c r="I17119" s="1092"/>
    </row>
    <row r="17120" spans="8:9">
      <c r="H17120" s="1092"/>
      <c r="I17120" s="1092"/>
    </row>
    <row r="17121" spans="8:9">
      <c r="H17121" s="1092"/>
      <c r="I17121" s="1092"/>
    </row>
    <row r="17122" spans="8:9">
      <c r="H17122" s="1092"/>
      <c r="I17122" s="1092"/>
    </row>
    <row r="17123" spans="8:9">
      <c r="H17123" s="1092"/>
      <c r="I17123" s="1092"/>
    </row>
    <row r="17124" spans="8:9">
      <c r="H17124" s="1092"/>
      <c r="I17124" s="1092"/>
    </row>
    <row r="17125" spans="8:9">
      <c r="H17125" s="1092"/>
      <c r="I17125" s="1092"/>
    </row>
    <row r="17126" spans="8:9">
      <c r="H17126" s="1092"/>
      <c r="I17126" s="1092"/>
    </row>
    <row r="17127" spans="8:9">
      <c r="H17127" s="1092"/>
      <c r="I17127" s="1092"/>
    </row>
    <row r="17128" spans="8:9">
      <c r="H17128" s="1092"/>
      <c r="I17128" s="1092"/>
    </row>
    <row r="17129" spans="8:9">
      <c r="H17129" s="1092"/>
      <c r="I17129" s="1092"/>
    </row>
    <row r="17130" spans="8:9">
      <c r="H17130" s="1092"/>
      <c r="I17130" s="1092"/>
    </row>
    <row r="17131" spans="8:9">
      <c r="H17131" s="1092"/>
      <c r="I17131" s="1092"/>
    </row>
    <row r="17132" spans="8:9">
      <c r="H17132" s="1092"/>
      <c r="I17132" s="1092"/>
    </row>
    <row r="17133" spans="8:9">
      <c r="H17133" s="1092"/>
      <c r="I17133" s="1092"/>
    </row>
    <row r="17134" spans="8:9">
      <c r="H17134" s="1092"/>
      <c r="I17134" s="1092"/>
    </row>
    <row r="17135" spans="8:9">
      <c r="H17135" s="1092"/>
      <c r="I17135" s="1092"/>
    </row>
    <row r="17136" spans="8:9">
      <c r="H17136" s="1092"/>
      <c r="I17136" s="1092"/>
    </row>
    <row r="17137" spans="8:9">
      <c r="H17137" s="1092"/>
      <c r="I17137" s="1092"/>
    </row>
    <row r="17138" spans="8:9">
      <c r="H17138" s="1092"/>
      <c r="I17138" s="1092"/>
    </row>
    <row r="17139" spans="8:9">
      <c r="H17139" s="1092"/>
      <c r="I17139" s="1092"/>
    </row>
    <row r="17140" spans="8:9">
      <c r="H17140" s="1092"/>
      <c r="I17140" s="1092"/>
    </row>
    <row r="17141" spans="8:9">
      <c r="H17141" s="1092"/>
      <c r="I17141" s="1092"/>
    </row>
    <row r="17142" spans="8:9">
      <c r="H17142" s="1092"/>
      <c r="I17142" s="1092"/>
    </row>
    <row r="17143" spans="8:9">
      <c r="H17143" s="1092"/>
      <c r="I17143" s="1092"/>
    </row>
    <row r="17144" spans="8:9">
      <c r="H17144" s="1092"/>
      <c r="I17144" s="1092"/>
    </row>
    <row r="17145" spans="8:9">
      <c r="H17145" s="1092"/>
      <c r="I17145" s="1092"/>
    </row>
    <row r="17146" spans="8:9">
      <c r="H17146" s="1092"/>
      <c r="I17146" s="1092"/>
    </row>
    <row r="17147" spans="8:9">
      <c r="H17147" s="1092"/>
      <c r="I17147" s="1092"/>
    </row>
    <row r="17148" spans="8:9">
      <c r="H17148" s="1092"/>
      <c r="I17148" s="1092"/>
    </row>
    <row r="17149" spans="8:9">
      <c r="H17149" s="1092"/>
      <c r="I17149" s="1092"/>
    </row>
    <row r="17150" spans="8:9">
      <c r="H17150" s="1092"/>
      <c r="I17150" s="1092"/>
    </row>
    <row r="17151" spans="8:9">
      <c r="H17151" s="1092"/>
      <c r="I17151" s="1092"/>
    </row>
    <row r="17152" spans="8:9">
      <c r="H17152" s="1092"/>
      <c r="I17152" s="1092"/>
    </row>
    <row r="17153" spans="8:9">
      <c r="H17153" s="1092"/>
      <c r="I17153" s="1092"/>
    </row>
    <row r="17154" spans="8:9">
      <c r="H17154" s="1092"/>
      <c r="I17154" s="1092"/>
    </row>
    <row r="17155" spans="8:9">
      <c r="H17155" s="1092"/>
      <c r="I17155" s="1092"/>
    </row>
    <row r="17156" spans="8:9">
      <c r="H17156" s="1092"/>
      <c r="I17156" s="1092"/>
    </row>
    <row r="17157" spans="8:9">
      <c r="H17157" s="1092"/>
      <c r="I17157" s="1092"/>
    </row>
    <row r="17158" spans="8:9">
      <c r="H17158" s="1092"/>
      <c r="I17158" s="1092"/>
    </row>
    <row r="17159" spans="8:9">
      <c r="H17159" s="1092"/>
      <c r="I17159" s="1092"/>
    </row>
    <row r="17160" spans="8:9">
      <c r="H17160" s="1092"/>
      <c r="I17160" s="1092"/>
    </row>
    <row r="17161" spans="8:9">
      <c r="H17161" s="1092"/>
      <c r="I17161" s="1092"/>
    </row>
    <row r="17162" spans="8:9">
      <c r="H17162" s="1092"/>
      <c r="I17162" s="1092"/>
    </row>
    <row r="17163" spans="8:9">
      <c r="H17163" s="1092"/>
      <c r="I17163" s="1092"/>
    </row>
    <row r="17164" spans="8:9">
      <c r="H17164" s="1092"/>
      <c r="I17164" s="1092"/>
    </row>
    <row r="17165" spans="8:9">
      <c r="H17165" s="1092"/>
      <c r="I17165" s="1092"/>
    </row>
    <row r="17166" spans="8:9">
      <c r="H17166" s="1092"/>
      <c r="I17166" s="1092"/>
    </row>
    <row r="17167" spans="8:9">
      <c r="H17167" s="1092"/>
      <c r="I17167" s="1092"/>
    </row>
    <row r="17168" spans="8:9">
      <c r="H17168" s="1092"/>
      <c r="I17168" s="1092"/>
    </row>
    <row r="17169" spans="8:9">
      <c r="H17169" s="1092"/>
      <c r="I17169" s="1092"/>
    </row>
    <row r="17170" spans="8:9">
      <c r="H17170" s="1092"/>
      <c r="I17170" s="1092"/>
    </row>
    <row r="17171" spans="8:9">
      <c r="H17171" s="1092"/>
      <c r="I17171" s="1092"/>
    </row>
    <row r="17172" spans="8:9">
      <c r="H17172" s="1092"/>
      <c r="I17172" s="1092"/>
    </row>
    <row r="17173" spans="8:9">
      <c r="H17173" s="1092"/>
      <c r="I17173" s="1092"/>
    </row>
    <row r="17174" spans="8:9">
      <c r="H17174" s="1092"/>
      <c r="I17174" s="1092"/>
    </row>
    <row r="17175" spans="8:9">
      <c r="H17175" s="1092"/>
      <c r="I17175" s="1092"/>
    </row>
    <row r="17176" spans="8:9">
      <c r="H17176" s="1092"/>
      <c r="I17176" s="1092"/>
    </row>
    <row r="17177" spans="8:9">
      <c r="H17177" s="1092"/>
      <c r="I17177" s="1092"/>
    </row>
    <row r="17178" spans="8:9">
      <c r="H17178" s="1092"/>
      <c r="I17178" s="1092"/>
    </row>
    <row r="17179" spans="8:9">
      <c r="H17179" s="1092"/>
      <c r="I17179" s="1092"/>
    </row>
    <row r="17180" spans="8:9">
      <c r="H17180" s="1092"/>
      <c r="I17180" s="1092"/>
    </row>
    <row r="17181" spans="8:9">
      <c r="H17181" s="1092"/>
      <c r="I17181" s="1092"/>
    </row>
    <row r="17182" spans="8:9">
      <c r="H17182" s="1092"/>
      <c r="I17182" s="1092"/>
    </row>
    <row r="17183" spans="8:9">
      <c r="H17183" s="1092"/>
      <c r="I17183" s="1092"/>
    </row>
    <row r="17184" spans="8:9">
      <c r="H17184" s="1092"/>
      <c r="I17184" s="1092"/>
    </row>
    <row r="17185" spans="8:9">
      <c r="H17185" s="1092"/>
      <c r="I17185" s="1092"/>
    </row>
    <row r="17186" spans="8:9">
      <c r="H17186" s="1092"/>
      <c r="I17186" s="1092"/>
    </row>
    <row r="17187" spans="8:9">
      <c r="H17187" s="1092"/>
      <c r="I17187" s="1092"/>
    </row>
    <row r="17188" spans="8:9">
      <c r="H17188" s="1092"/>
      <c r="I17188" s="1092"/>
    </row>
    <row r="17189" spans="8:9">
      <c r="H17189" s="1092"/>
      <c r="I17189" s="1092"/>
    </row>
    <row r="17190" spans="8:9">
      <c r="H17190" s="1092"/>
      <c r="I17190" s="1092"/>
    </row>
    <row r="17191" spans="8:9">
      <c r="H17191" s="1092"/>
      <c r="I17191" s="1092"/>
    </row>
    <row r="17192" spans="8:9">
      <c r="H17192" s="1092"/>
      <c r="I17192" s="1092"/>
    </row>
    <row r="17193" spans="8:9">
      <c r="H17193" s="1092"/>
      <c r="I17193" s="1092"/>
    </row>
    <row r="17194" spans="8:9">
      <c r="H17194" s="1092"/>
      <c r="I17194" s="1092"/>
    </row>
    <row r="17195" spans="8:9">
      <c r="H17195" s="1092"/>
      <c r="I17195" s="1092"/>
    </row>
    <row r="17196" spans="8:9">
      <c r="H17196" s="1092"/>
      <c r="I17196" s="1092"/>
    </row>
    <row r="17197" spans="8:9">
      <c r="H17197" s="1092"/>
      <c r="I17197" s="1092"/>
    </row>
    <row r="17198" spans="8:9">
      <c r="H17198" s="1092"/>
      <c r="I17198" s="1092"/>
    </row>
    <row r="17199" spans="8:9">
      <c r="H17199" s="1092"/>
      <c r="I17199" s="1092"/>
    </row>
    <row r="17200" spans="8:9">
      <c r="H17200" s="1092"/>
      <c r="I17200" s="1092"/>
    </row>
    <row r="17201" spans="8:9">
      <c r="H17201" s="1092"/>
      <c r="I17201" s="1092"/>
    </row>
    <row r="17202" spans="8:9">
      <c r="H17202" s="1092"/>
      <c r="I17202" s="1092"/>
    </row>
    <row r="17203" spans="8:9">
      <c r="H17203" s="1092"/>
      <c r="I17203" s="1092"/>
    </row>
    <row r="17204" spans="8:9">
      <c r="H17204" s="1092"/>
      <c r="I17204" s="1092"/>
    </row>
    <row r="17205" spans="8:9">
      <c r="H17205" s="1092"/>
      <c r="I17205" s="1092"/>
    </row>
    <row r="17206" spans="8:9">
      <c r="H17206" s="1092"/>
      <c r="I17206" s="1092"/>
    </row>
    <row r="17207" spans="8:9">
      <c r="H17207" s="1092"/>
      <c r="I17207" s="1092"/>
    </row>
    <row r="17208" spans="8:9">
      <c r="H17208" s="1092"/>
      <c r="I17208" s="1092"/>
    </row>
    <row r="17209" spans="8:9">
      <c r="H17209" s="1092"/>
      <c r="I17209" s="1092"/>
    </row>
    <row r="17210" spans="8:9">
      <c r="H17210" s="1092"/>
      <c r="I17210" s="1092"/>
    </row>
    <row r="17211" spans="8:9">
      <c r="H17211" s="1092"/>
      <c r="I17211" s="1092"/>
    </row>
    <row r="17212" spans="8:9">
      <c r="H17212" s="1092"/>
      <c r="I17212" s="1092"/>
    </row>
    <row r="17213" spans="8:9">
      <c r="H17213" s="1092"/>
      <c r="I17213" s="1092"/>
    </row>
    <row r="17214" spans="8:9">
      <c r="H17214" s="1092"/>
      <c r="I17214" s="1092"/>
    </row>
    <row r="17215" spans="8:9">
      <c r="H17215" s="1092"/>
      <c r="I17215" s="1092"/>
    </row>
    <row r="17216" spans="8:9">
      <c r="H17216" s="1092"/>
      <c r="I17216" s="1092"/>
    </row>
    <row r="17217" spans="8:9">
      <c r="H17217" s="1092"/>
      <c r="I17217" s="1092"/>
    </row>
    <row r="17218" spans="8:9">
      <c r="H17218" s="1092"/>
      <c r="I17218" s="1092"/>
    </row>
    <row r="17219" spans="8:9">
      <c r="H17219" s="1092"/>
      <c r="I17219" s="1092"/>
    </row>
    <row r="17220" spans="8:9">
      <c r="H17220" s="1092"/>
      <c r="I17220" s="1092"/>
    </row>
    <row r="17221" spans="8:9">
      <c r="H17221" s="1092"/>
      <c r="I17221" s="1092"/>
    </row>
    <row r="17222" spans="8:9">
      <c r="H17222" s="1092"/>
      <c r="I17222" s="1092"/>
    </row>
    <row r="17223" spans="8:9">
      <c r="H17223" s="1092"/>
      <c r="I17223" s="1092"/>
    </row>
    <row r="17224" spans="8:9">
      <c r="H17224" s="1092"/>
      <c r="I17224" s="1092"/>
    </row>
    <row r="17225" spans="8:9">
      <c r="H17225" s="1092"/>
      <c r="I17225" s="1092"/>
    </row>
    <row r="17226" spans="8:9">
      <c r="H17226" s="1092"/>
      <c r="I17226" s="1092"/>
    </row>
    <row r="17227" spans="8:9">
      <c r="H17227" s="1092"/>
      <c r="I17227" s="1092"/>
    </row>
    <row r="17228" spans="8:9">
      <c r="H17228" s="1092"/>
      <c r="I17228" s="1092"/>
    </row>
    <row r="17229" spans="8:9">
      <c r="H17229" s="1092"/>
      <c r="I17229" s="1092"/>
    </row>
    <row r="17230" spans="8:9">
      <c r="H17230" s="1092"/>
      <c r="I17230" s="1092"/>
    </row>
    <row r="17231" spans="8:9">
      <c r="H17231" s="1092"/>
      <c r="I17231" s="1092"/>
    </row>
    <row r="17232" spans="8:9">
      <c r="H17232" s="1092"/>
      <c r="I17232" s="1092"/>
    </row>
    <row r="17233" spans="8:9">
      <c r="H17233" s="1092"/>
      <c r="I17233" s="1092"/>
    </row>
    <row r="17234" spans="8:9">
      <c r="H17234" s="1092"/>
      <c r="I17234" s="1092"/>
    </row>
    <row r="17235" spans="8:9">
      <c r="H17235" s="1092"/>
      <c r="I17235" s="1092"/>
    </row>
    <row r="17236" spans="8:9">
      <c r="H17236" s="1092"/>
      <c r="I17236" s="1092"/>
    </row>
    <row r="17237" spans="8:9">
      <c r="H17237" s="1092"/>
      <c r="I17237" s="1092"/>
    </row>
    <row r="17238" spans="8:9">
      <c r="H17238" s="1092"/>
      <c r="I17238" s="1092"/>
    </row>
    <row r="17239" spans="8:9">
      <c r="H17239" s="1092"/>
      <c r="I17239" s="1092"/>
    </row>
    <row r="17240" spans="8:9">
      <c r="H17240" s="1092"/>
      <c r="I17240" s="1092"/>
    </row>
    <row r="17241" spans="8:9">
      <c r="H17241" s="1092"/>
      <c r="I17241" s="1092"/>
    </row>
    <row r="17242" spans="8:9">
      <c r="H17242" s="1092"/>
      <c r="I17242" s="1092"/>
    </row>
    <row r="17243" spans="8:9">
      <c r="H17243" s="1092"/>
      <c r="I17243" s="1092"/>
    </row>
    <row r="17244" spans="8:9">
      <c r="H17244" s="1092"/>
      <c r="I17244" s="1092"/>
    </row>
    <row r="17245" spans="8:9">
      <c r="H17245" s="1092"/>
      <c r="I17245" s="1092"/>
    </row>
    <row r="17246" spans="8:9">
      <c r="H17246" s="1092"/>
      <c r="I17246" s="1092"/>
    </row>
    <row r="17247" spans="8:9">
      <c r="H17247" s="1092"/>
      <c r="I17247" s="1092"/>
    </row>
    <row r="17248" spans="8:9">
      <c r="H17248" s="1092"/>
      <c r="I17248" s="1092"/>
    </row>
    <row r="17249" spans="8:9">
      <c r="H17249" s="1092"/>
      <c r="I17249" s="1092"/>
    </row>
    <row r="17250" spans="8:9">
      <c r="H17250" s="1092"/>
      <c r="I17250" s="1092"/>
    </row>
    <row r="17251" spans="8:9">
      <c r="H17251" s="1092"/>
      <c r="I17251" s="1092"/>
    </row>
    <row r="17252" spans="8:9">
      <c r="H17252" s="1092"/>
      <c r="I17252" s="1092"/>
    </row>
    <row r="17253" spans="8:9">
      <c r="H17253" s="1092"/>
      <c r="I17253" s="1092"/>
    </row>
    <row r="17254" spans="8:9">
      <c r="H17254" s="1092"/>
      <c r="I17254" s="1092"/>
    </row>
    <row r="17255" spans="8:9">
      <c r="H17255" s="1092"/>
      <c r="I17255" s="1092"/>
    </row>
    <row r="17256" spans="8:9">
      <c r="H17256" s="1092"/>
      <c r="I17256" s="1092"/>
    </row>
    <row r="17257" spans="8:9">
      <c r="H17257" s="1092"/>
      <c r="I17257" s="1092"/>
    </row>
    <row r="17258" spans="8:9">
      <c r="H17258" s="1092"/>
      <c r="I17258" s="1092"/>
    </row>
    <row r="17259" spans="8:9">
      <c r="H17259" s="1092"/>
      <c r="I17259" s="1092"/>
    </row>
    <row r="17260" spans="8:9">
      <c r="H17260" s="1092"/>
      <c r="I17260" s="1092"/>
    </row>
    <row r="17261" spans="8:9">
      <c r="H17261" s="1092"/>
      <c r="I17261" s="1092"/>
    </row>
    <row r="17262" spans="8:9">
      <c r="H17262" s="1092"/>
      <c r="I17262" s="1092"/>
    </row>
    <row r="17263" spans="8:9">
      <c r="H17263" s="1092"/>
      <c r="I17263" s="1092"/>
    </row>
    <row r="17264" spans="8:9">
      <c r="H17264" s="1092"/>
      <c r="I17264" s="1092"/>
    </row>
    <row r="17265" spans="8:9">
      <c r="H17265" s="1092"/>
      <c r="I17265" s="1092"/>
    </row>
    <row r="17266" spans="8:9">
      <c r="H17266" s="1092"/>
      <c r="I17266" s="1092"/>
    </row>
    <row r="17267" spans="8:9">
      <c r="H17267" s="1092"/>
      <c r="I17267" s="1092"/>
    </row>
    <row r="17268" spans="8:9">
      <c r="H17268" s="1092"/>
      <c r="I17268" s="1092"/>
    </row>
    <row r="17269" spans="8:9">
      <c r="H17269" s="1092"/>
      <c r="I17269" s="1092"/>
    </row>
    <row r="17270" spans="8:9">
      <c r="H17270" s="1092"/>
      <c r="I17270" s="1092"/>
    </row>
    <row r="17271" spans="8:9">
      <c r="H17271" s="1092"/>
      <c r="I17271" s="1092"/>
    </row>
    <row r="17272" spans="8:9">
      <c r="H17272" s="1092"/>
      <c r="I17272" s="1092"/>
    </row>
    <row r="17273" spans="8:9">
      <c r="H17273" s="1092"/>
      <c r="I17273" s="1092"/>
    </row>
    <row r="17274" spans="8:9">
      <c r="H17274" s="1092"/>
      <c r="I17274" s="1092"/>
    </row>
    <row r="17275" spans="8:9">
      <c r="H17275" s="1092"/>
      <c r="I17275" s="1092"/>
    </row>
    <row r="17276" spans="8:9">
      <c r="H17276" s="1092"/>
      <c r="I17276" s="1092"/>
    </row>
    <row r="17277" spans="8:9">
      <c r="H17277" s="1092"/>
      <c r="I17277" s="1092"/>
    </row>
    <row r="17278" spans="8:9">
      <c r="H17278" s="1092"/>
      <c r="I17278" s="1092"/>
    </row>
    <row r="17279" spans="8:9">
      <c r="H17279" s="1092"/>
      <c r="I17279" s="1092"/>
    </row>
    <row r="17280" spans="8:9">
      <c r="H17280" s="1092"/>
      <c r="I17280" s="1092"/>
    </row>
    <row r="17281" spans="8:9">
      <c r="H17281" s="1092"/>
      <c r="I17281" s="1092"/>
    </row>
    <row r="17282" spans="8:9">
      <c r="H17282" s="1092"/>
      <c r="I17282" s="1092"/>
    </row>
    <row r="17283" spans="8:9">
      <c r="H17283" s="1092"/>
      <c r="I17283" s="1092"/>
    </row>
    <row r="17284" spans="8:9">
      <c r="H17284" s="1092"/>
      <c r="I17284" s="1092"/>
    </row>
    <row r="17285" spans="8:9">
      <c r="H17285" s="1092"/>
      <c r="I17285" s="1092"/>
    </row>
    <row r="17286" spans="8:9">
      <c r="H17286" s="1092"/>
      <c r="I17286" s="1092"/>
    </row>
    <row r="17287" spans="8:9">
      <c r="H17287" s="1092"/>
      <c r="I17287" s="1092"/>
    </row>
    <row r="17288" spans="8:9">
      <c r="H17288" s="1092"/>
      <c r="I17288" s="1092"/>
    </row>
    <row r="17289" spans="8:9">
      <c r="H17289" s="1092"/>
      <c r="I17289" s="1092"/>
    </row>
    <row r="17290" spans="8:9">
      <c r="H17290" s="1092"/>
      <c r="I17290" s="1092"/>
    </row>
    <row r="17291" spans="8:9">
      <c r="H17291" s="1092"/>
      <c r="I17291" s="1092"/>
    </row>
    <row r="17292" spans="8:9">
      <c r="H17292" s="1092"/>
      <c r="I17292" s="1092"/>
    </row>
    <row r="17293" spans="8:9">
      <c r="H17293" s="1092"/>
      <c r="I17293" s="1092"/>
    </row>
    <row r="17294" spans="8:9">
      <c r="H17294" s="1092"/>
      <c r="I17294" s="1092"/>
    </row>
    <row r="17295" spans="8:9">
      <c r="H17295" s="1092"/>
      <c r="I17295" s="1092"/>
    </row>
    <row r="17296" spans="8:9">
      <c r="H17296" s="1092"/>
      <c r="I17296" s="1092"/>
    </row>
    <row r="17297" spans="8:9">
      <c r="H17297" s="1092"/>
      <c r="I17297" s="1092"/>
    </row>
    <row r="17298" spans="8:9">
      <c r="H17298" s="1092"/>
      <c r="I17298" s="1092"/>
    </row>
    <row r="17299" spans="8:9">
      <c r="H17299" s="1092"/>
      <c r="I17299" s="1092"/>
    </row>
    <row r="17300" spans="8:9">
      <c r="H17300" s="1092"/>
      <c r="I17300" s="1092"/>
    </row>
    <row r="17301" spans="8:9">
      <c r="H17301" s="1092"/>
      <c r="I17301" s="1092"/>
    </row>
    <row r="17302" spans="8:9">
      <c r="H17302" s="1092"/>
      <c r="I17302" s="1092"/>
    </row>
    <row r="17303" spans="8:9">
      <c r="H17303" s="1092"/>
      <c r="I17303" s="1092"/>
    </row>
    <row r="17304" spans="8:9">
      <c r="H17304" s="1092"/>
      <c r="I17304" s="1092"/>
    </row>
    <row r="17305" spans="8:9">
      <c r="H17305" s="1092"/>
      <c r="I17305" s="1092"/>
    </row>
    <row r="17306" spans="8:9">
      <c r="H17306" s="1092"/>
      <c r="I17306" s="1092"/>
    </row>
    <row r="17307" spans="8:9">
      <c r="H17307" s="1092"/>
      <c r="I17307" s="1092"/>
    </row>
    <row r="17308" spans="8:9">
      <c r="H17308" s="1092"/>
      <c r="I17308" s="1092"/>
    </row>
    <row r="17309" spans="8:9">
      <c r="H17309" s="1092"/>
      <c r="I17309" s="1092"/>
    </row>
    <row r="17310" spans="8:9">
      <c r="H17310" s="1092"/>
      <c r="I17310" s="1092"/>
    </row>
    <row r="17311" spans="8:9">
      <c r="H17311" s="1092"/>
      <c r="I17311" s="1092"/>
    </row>
    <row r="17312" spans="8:9">
      <c r="H17312" s="1092"/>
      <c r="I17312" s="1092"/>
    </row>
    <row r="17313" spans="8:9">
      <c r="H17313" s="1092"/>
      <c r="I17313" s="1092"/>
    </row>
    <row r="17314" spans="8:9">
      <c r="H17314" s="1092"/>
      <c r="I17314" s="1092"/>
    </row>
    <row r="17315" spans="8:9">
      <c r="H17315" s="1092"/>
      <c r="I17315" s="1092"/>
    </row>
    <row r="17316" spans="8:9">
      <c r="H17316" s="1092"/>
      <c r="I17316" s="1092"/>
    </row>
    <row r="17317" spans="8:9">
      <c r="H17317" s="1092"/>
      <c r="I17317" s="1092"/>
    </row>
    <row r="17318" spans="8:9">
      <c r="H17318" s="1092"/>
      <c r="I17318" s="1092"/>
    </row>
    <row r="17319" spans="8:9">
      <c r="H17319" s="1092"/>
      <c r="I17319" s="1092"/>
    </row>
    <row r="17320" spans="8:9">
      <c r="H17320" s="1092"/>
      <c r="I17320" s="1092"/>
    </row>
    <row r="17321" spans="8:9">
      <c r="H17321" s="1092"/>
      <c r="I17321" s="1092"/>
    </row>
    <row r="17322" spans="8:9">
      <c r="H17322" s="1092"/>
      <c r="I17322" s="1092"/>
    </row>
    <row r="17323" spans="8:9">
      <c r="H17323" s="1092"/>
      <c r="I17323" s="1092"/>
    </row>
    <row r="17324" spans="8:9">
      <c r="H17324" s="1092"/>
      <c r="I17324" s="1092"/>
    </row>
    <row r="17325" spans="8:9">
      <c r="H17325" s="1092"/>
      <c r="I17325" s="1092"/>
    </row>
    <row r="17326" spans="8:9">
      <c r="H17326" s="1092"/>
      <c r="I17326" s="1092"/>
    </row>
    <row r="17327" spans="8:9">
      <c r="H17327" s="1092"/>
      <c r="I17327" s="1092"/>
    </row>
    <row r="17328" spans="8:9">
      <c r="H17328" s="1092"/>
      <c r="I17328" s="1092"/>
    </row>
    <row r="17329" spans="8:9">
      <c r="H17329" s="1092"/>
      <c r="I17329" s="1092"/>
    </row>
    <row r="17330" spans="8:9">
      <c r="H17330" s="1092"/>
      <c r="I17330" s="1092"/>
    </row>
    <row r="17331" spans="8:9">
      <c r="H17331" s="1092"/>
      <c r="I17331" s="1092"/>
    </row>
    <row r="17332" spans="8:9">
      <c r="H17332" s="1092"/>
      <c r="I17332" s="1092"/>
    </row>
    <row r="17333" spans="8:9">
      <c r="H17333" s="1092"/>
      <c r="I17333" s="1092"/>
    </row>
    <row r="17334" spans="8:9">
      <c r="H17334" s="1092"/>
      <c r="I17334" s="1092"/>
    </row>
    <row r="17335" spans="8:9">
      <c r="H17335" s="1092"/>
      <c r="I17335" s="1092"/>
    </row>
    <row r="17336" spans="8:9">
      <c r="H17336" s="1092"/>
      <c r="I17336" s="1092"/>
    </row>
    <row r="17337" spans="8:9">
      <c r="H17337" s="1092"/>
      <c r="I17337" s="1092"/>
    </row>
    <row r="17338" spans="8:9">
      <c r="H17338" s="1092"/>
      <c r="I17338" s="1092"/>
    </row>
    <row r="17339" spans="8:9">
      <c r="H17339" s="1092"/>
      <c r="I17339" s="1092"/>
    </row>
    <row r="17340" spans="8:9">
      <c r="H17340" s="1092"/>
      <c r="I17340" s="1092"/>
    </row>
    <row r="17341" spans="8:9">
      <c r="H17341" s="1092"/>
      <c r="I17341" s="1092"/>
    </row>
    <row r="17342" spans="8:9">
      <c r="H17342" s="1092"/>
      <c r="I17342" s="1092"/>
    </row>
    <row r="17343" spans="8:9">
      <c r="H17343" s="1092"/>
      <c r="I17343" s="1092"/>
    </row>
    <row r="17344" spans="8:9">
      <c r="H17344" s="1092"/>
      <c r="I17344" s="1092"/>
    </row>
    <row r="17345" spans="8:9">
      <c r="H17345" s="1092"/>
      <c r="I17345" s="1092"/>
    </row>
    <row r="17346" spans="8:9">
      <c r="H17346" s="1092"/>
      <c r="I17346" s="1092"/>
    </row>
    <row r="17347" spans="8:9">
      <c r="H17347" s="1092"/>
      <c r="I17347" s="1092"/>
    </row>
    <row r="17348" spans="8:9">
      <c r="H17348" s="1092"/>
      <c r="I17348" s="1092"/>
    </row>
    <row r="17349" spans="8:9">
      <c r="H17349" s="1092"/>
      <c r="I17349" s="1092"/>
    </row>
    <row r="17350" spans="8:9">
      <c r="H17350" s="1092"/>
      <c r="I17350" s="1092"/>
    </row>
    <row r="17351" spans="8:9">
      <c r="H17351" s="1092"/>
      <c r="I17351" s="1092"/>
    </row>
    <row r="17352" spans="8:9">
      <c r="H17352" s="1092"/>
      <c r="I17352" s="1092"/>
    </row>
    <row r="17353" spans="8:9">
      <c r="H17353" s="1092"/>
      <c r="I17353" s="1092"/>
    </row>
    <row r="17354" spans="8:9">
      <c r="H17354" s="1092"/>
      <c r="I17354" s="1092"/>
    </row>
    <row r="17355" spans="8:9">
      <c r="H17355" s="1092"/>
      <c r="I17355" s="1092"/>
    </row>
    <row r="17356" spans="8:9">
      <c r="H17356" s="1092"/>
      <c r="I17356" s="1092"/>
    </row>
    <row r="17357" spans="8:9">
      <c r="H17357" s="1092"/>
      <c r="I17357" s="1092"/>
    </row>
    <row r="17358" spans="8:9">
      <c r="H17358" s="1092"/>
      <c r="I17358" s="1092"/>
    </row>
    <row r="17359" spans="8:9">
      <c r="H17359" s="1092"/>
      <c r="I17359" s="1092"/>
    </row>
    <row r="17360" spans="8:9">
      <c r="H17360" s="1092"/>
      <c r="I17360" s="1092"/>
    </row>
    <row r="17361" spans="8:9">
      <c r="H17361" s="1092"/>
      <c r="I17361" s="1092"/>
    </row>
    <row r="17362" spans="8:9">
      <c r="H17362" s="1092"/>
      <c r="I17362" s="1092"/>
    </row>
    <row r="17363" spans="8:9">
      <c r="H17363" s="1092"/>
      <c r="I17363" s="1092"/>
    </row>
    <row r="17364" spans="8:9">
      <c r="H17364" s="1092"/>
      <c r="I17364" s="1092"/>
    </row>
    <row r="17365" spans="8:9">
      <c r="H17365" s="1092"/>
      <c r="I17365" s="1092"/>
    </row>
    <row r="17366" spans="8:9">
      <c r="H17366" s="1092"/>
      <c r="I17366" s="1092"/>
    </row>
    <row r="17367" spans="8:9">
      <c r="H17367" s="1092"/>
      <c r="I17367" s="1092"/>
    </row>
    <row r="17368" spans="8:9">
      <c r="H17368" s="1092"/>
      <c r="I17368" s="1092"/>
    </row>
    <row r="17369" spans="8:9">
      <c r="H17369" s="1092"/>
      <c r="I17369" s="1092"/>
    </row>
    <row r="17370" spans="8:9">
      <c r="H17370" s="1092"/>
      <c r="I17370" s="1092"/>
    </row>
    <row r="17371" spans="8:9">
      <c r="H17371" s="1092"/>
      <c r="I17371" s="1092"/>
    </row>
    <row r="17372" spans="8:9">
      <c r="H17372" s="1092"/>
      <c r="I17372" s="1092"/>
    </row>
    <row r="17373" spans="8:9">
      <c r="H17373" s="1092"/>
      <c r="I17373" s="1092"/>
    </row>
    <row r="17374" spans="8:9">
      <c r="H17374" s="1092"/>
      <c r="I17374" s="1092"/>
    </row>
    <row r="17375" spans="8:9">
      <c r="H17375" s="1092"/>
      <c r="I17375" s="1092"/>
    </row>
    <row r="17376" spans="8:9">
      <c r="H17376" s="1092"/>
      <c r="I17376" s="1092"/>
    </row>
    <row r="17377" spans="8:9">
      <c r="H17377" s="1092"/>
      <c r="I17377" s="1092"/>
    </row>
    <row r="17378" spans="8:9">
      <c r="H17378" s="1092"/>
      <c r="I17378" s="1092"/>
    </row>
    <row r="17379" spans="8:9">
      <c r="H17379" s="1092"/>
      <c r="I17379" s="1092"/>
    </row>
    <row r="17380" spans="8:9">
      <c r="H17380" s="1092"/>
      <c r="I17380" s="1092"/>
    </row>
    <row r="17381" spans="8:9">
      <c r="H17381" s="1092"/>
      <c r="I17381" s="1092"/>
    </row>
    <row r="17382" spans="8:9">
      <c r="H17382" s="1092"/>
      <c r="I17382" s="1092"/>
    </row>
    <row r="17383" spans="8:9">
      <c r="H17383" s="1092"/>
      <c r="I17383" s="1092"/>
    </row>
    <row r="17384" spans="8:9">
      <c r="H17384" s="1092"/>
      <c r="I17384" s="1092"/>
    </row>
    <row r="17385" spans="8:9">
      <c r="H17385" s="1092"/>
      <c r="I17385" s="1092"/>
    </row>
    <row r="17386" spans="8:9">
      <c r="H17386" s="1092"/>
      <c r="I17386" s="1092"/>
    </row>
    <row r="17387" spans="8:9">
      <c r="H17387" s="1092"/>
      <c r="I17387" s="1092"/>
    </row>
    <row r="17388" spans="8:9">
      <c r="H17388" s="1092"/>
      <c r="I17388" s="1092"/>
    </row>
    <row r="17389" spans="8:9">
      <c r="H17389" s="1092"/>
      <c r="I17389" s="1092"/>
    </row>
    <row r="17390" spans="8:9">
      <c r="H17390" s="1092"/>
      <c r="I17390" s="1092"/>
    </row>
    <row r="17391" spans="8:9">
      <c r="H17391" s="1092"/>
      <c r="I17391" s="1092"/>
    </row>
    <row r="17392" spans="8:9">
      <c r="H17392" s="1092"/>
      <c r="I17392" s="1092"/>
    </row>
    <row r="17393" spans="8:9">
      <c r="H17393" s="1092"/>
      <c r="I17393" s="1092"/>
    </row>
    <row r="17394" spans="8:9">
      <c r="H17394" s="1092"/>
      <c r="I17394" s="1092"/>
    </row>
    <row r="17395" spans="8:9">
      <c r="H17395" s="1092"/>
      <c r="I17395" s="1092"/>
    </row>
    <row r="17396" spans="8:9">
      <c r="H17396" s="1092"/>
      <c r="I17396" s="1092"/>
    </row>
    <row r="17397" spans="8:9">
      <c r="H17397" s="1092"/>
      <c r="I17397" s="1092"/>
    </row>
    <row r="17398" spans="8:9">
      <c r="H17398" s="1092"/>
      <c r="I17398" s="1092"/>
    </row>
    <row r="17399" spans="8:9">
      <c r="H17399" s="1092"/>
      <c r="I17399" s="1092"/>
    </row>
    <row r="17400" spans="8:9">
      <c r="H17400" s="1092"/>
      <c r="I17400" s="1092"/>
    </row>
    <row r="17401" spans="8:9">
      <c r="H17401" s="1092"/>
      <c r="I17401" s="1092"/>
    </row>
    <row r="17402" spans="8:9">
      <c r="H17402" s="1092"/>
      <c r="I17402" s="1092"/>
    </row>
    <row r="17403" spans="8:9">
      <c r="H17403" s="1092"/>
      <c r="I17403" s="1092"/>
    </row>
    <row r="17404" spans="8:9">
      <c r="H17404" s="1092"/>
      <c r="I17404" s="1092"/>
    </row>
    <row r="17405" spans="8:9">
      <c r="H17405" s="1092"/>
      <c r="I17405" s="1092"/>
    </row>
    <row r="17406" spans="8:9">
      <c r="H17406" s="1092"/>
      <c r="I17406" s="1092"/>
    </row>
    <row r="17407" spans="8:9">
      <c r="H17407" s="1092"/>
      <c r="I17407" s="1092"/>
    </row>
    <row r="17408" spans="8:9">
      <c r="H17408" s="1092"/>
      <c r="I17408" s="1092"/>
    </row>
    <row r="17409" spans="8:9">
      <c r="H17409" s="1092"/>
      <c r="I17409" s="1092"/>
    </row>
    <row r="17410" spans="8:9">
      <c r="H17410" s="1092"/>
      <c r="I17410" s="1092"/>
    </row>
    <row r="17411" spans="8:9">
      <c r="H17411" s="1092"/>
      <c r="I17411" s="1092"/>
    </row>
    <row r="17412" spans="8:9">
      <c r="H17412" s="1092"/>
      <c r="I17412" s="1092"/>
    </row>
    <row r="17413" spans="8:9">
      <c r="H17413" s="1092"/>
      <c r="I17413" s="1092"/>
    </row>
    <row r="17414" spans="8:9">
      <c r="H17414" s="1092"/>
      <c r="I17414" s="1092"/>
    </row>
    <row r="17415" spans="8:9">
      <c r="H17415" s="1092"/>
      <c r="I17415" s="1092"/>
    </row>
    <row r="17416" spans="8:9">
      <c r="H17416" s="1092"/>
      <c r="I17416" s="1092"/>
    </row>
    <row r="17417" spans="8:9">
      <c r="H17417" s="1092"/>
      <c r="I17417" s="1092"/>
    </row>
    <row r="17418" spans="8:9">
      <c r="H17418" s="1092"/>
      <c r="I17418" s="1092"/>
    </row>
    <row r="17419" spans="8:9">
      <c r="H17419" s="1092"/>
      <c r="I17419" s="1092"/>
    </row>
    <row r="17420" spans="8:9">
      <c r="H17420" s="1092"/>
      <c r="I17420" s="1092"/>
    </row>
    <row r="17421" spans="8:9">
      <c r="H17421" s="1092"/>
      <c r="I17421" s="1092"/>
    </row>
    <row r="17422" spans="8:9">
      <c r="H17422" s="1092"/>
      <c r="I17422" s="1092"/>
    </row>
    <row r="17423" spans="8:9">
      <c r="H17423" s="1092"/>
      <c r="I17423" s="1092"/>
    </row>
    <row r="17424" spans="8:9">
      <c r="H17424" s="1092"/>
      <c r="I17424" s="1092"/>
    </row>
    <row r="17425" spans="8:9">
      <c r="H17425" s="1092"/>
      <c r="I17425" s="1092"/>
    </row>
    <row r="17426" spans="8:9">
      <c r="H17426" s="1092"/>
      <c r="I17426" s="1092"/>
    </row>
    <row r="17427" spans="8:9">
      <c r="H17427" s="1092"/>
      <c r="I17427" s="1092"/>
    </row>
    <row r="17428" spans="8:9">
      <c r="H17428" s="1092"/>
      <c r="I17428" s="1092"/>
    </row>
    <row r="17429" spans="8:9">
      <c r="H17429" s="1092"/>
      <c r="I17429" s="1092"/>
    </row>
    <row r="17430" spans="8:9">
      <c r="H17430" s="1092"/>
      <c r="I17430" s="1092"/>
    </row>
    <row r="17431" spans="8:9">
      <c r="H17431" s="1092"/>
      <c r="I17431" s="1092"/>
    </row>
    <row r="17432" spans="8:9">
      <c r="H17432" s="1092"/>
      <c r="I17432" s="1092"/>
    </row>
    <row r="17433" spans="8:9">
      <c r="H17433" s="1092"/>
      <c r="I17433" s="1092"/>
    </row>
    <row r="17434" spans="8:9">
      <c r="H17434" s="1092"/>
      <c r="I17434" s="1092"/>
    </row>
    <row r="17435" spans="8:9">
      <c r="H17435" s="1092"/>
      <c r="I17435" s="1092"/>
    </row>
    <row r="17436" spans="8:9">
      <c r="H17436" s="1092"/>
      <c r="I17436" s="1092"/>
    </row>
    <row r="17437" spans="8:9">
      <c r="H17437" s="1092"/>
      <c r="I17437" s="1092"/>
    </row>
    <row r="17438" spans="8:9">
      <c r="H17438" s="1092"/>
      <c r="I17438" s="1092"/>
    </row>
    <row r="17439" spans="8:9">
      <c r="H17439" s="1092"/>
      <c r="I17439" s="1092"/>
    </row>
    <row r="17440" spans="8:9">
      <c r="H17440" s="1092"/>
      <c r="I17440" s="1092"/>
    </row>
    <row r="17441" spans="8:9">
      <c r="H17441" s="1092"/>
      <c r="I17441" s="1092"/>
    </row>
    <row r="17442" spans="8:9">
      <c r="H17442" s="1092"/>
      <c r="I17442" s="1092"/>
    </row>
    <row r="17443" spans="8:9">
      <c r="H17443" s="1092"/>
      <c r="I17443" s="1092"/>
    </row>
    <row r="17444" spans="8:9">
      <c r="H17444" s="1092"/>
      <c r="I17444" s="1092"/>
    </row>
    <row r="17445" spans="8:9">
      <c r="H17445" s="1092"/>
      <c r="I17445" s="1092"/>
    </row>
    <row r="17446" spans="8:9">
      <c r="H17446" s="1092"/>
      <c r="I17446" s="1092"/>
    </row>
    <row r="17447" spans="8:9">
      <c r="H17447" s="1092"/>
      <c r="I17447" s="1092"/>
    </row>
    <row r="17448" spans="8:9">
      <c r="H17448" s="1092"/>
      <c r="I17448" s="1092"/>
    </row>
    <row r="17449" spans="8:9">
      <c r="H17449" s="1092"/>
      <c r="I17449" s="1092"/>
    </row>
    <row r="17450" spans="8:9">
      <c r="H17450" s="1092"/>
      <c r="I17450" s="1092"/>
    </row>
    <row r="17451" spans="8:9">
      <c r="H17451" s="1092"/>
      <c r="I17451" s="1092"/>
    </row>
    <row r="17452" spans="8:9">
      <c r="H17452" s="1092"/>
      <c r="I17452" s="1092"/>
    </row>
    <row r="17453" spans="8:9">
      <c r="H17453" s="1092"/>
      <c r="I17453" s="1092"/>
    </row>
    <row r="17454" spans="8:9">
      <c r="H17454" s="1092"/>
      <c r="I17454" s="1092"/>
    </row>
    <row r="17455" spans="8:9">
      <c r="H17455" s="1092"/>
      <c r="I17455" s="1092"/>
    </row>
    <row r="17456" spans="8:9">
      <c r="H17456" s="1092"/>
      <c r="I17456" s="1092"/>
    </row>
    <row r="17457" spans="8:9">
      <c r="H17457" s="1092"/>
      <c r="I17457" s="1092"/>
    </row>
    <row r="17458" spans="8:9">
      <c r="H17458" s="1092"/>
      <c r="I17458" s="1092"/>
    </row>
    <row r="17459" spans="8:9">
      <c r="H17459" s="1092"/>
      <c r="I17459" s="1092"/>
    </row>
    <row r="17460" spans="8:9">
      <c r="H17460" s="1092"/>
      <c r="I17460" s="1092"/>
    </row>
    <row r="17461" spans="8:9">
      <c r="H17461" s="1092"/>
      <c r="I17461" s="1092"/>
    </row>
    <row r="17462" spans="8:9">
      <c r="H17462" s="1092"/>
      <c r="I17462" s="1092"/>
    </row>
    <row r="17463" spans="8:9">
      <c r="H17463" s="1092"/>
      <c r="I17463" s="1092"/>
    </row>
    <row r="17464" spans="8:9">
      <c r="H17464" s="1092"/>
      <c r="I17464" s="1092"/>
    </row>
    <row r="17465" spans="8:9">
      <c r="H17465" s="1092"/>
      <c r="I17465" s="1092"/>
    </row>
    <row r="17466" spans="8:9">
      <c r="H17466" s="1092"/>
      <c r="I17466" s="1092"/>
    </row>
    <row r="17467" spans="8:9">
      <c r="H17467" s="1092"/>
      <c r="I17467" s="1092"/>
    </row>
    <row r="17468" spans="8:9">
      <c r="H17468" s="1092"/>
      <c r="I17468" s="1092"/>
    </row>
    <row r="17469" spans="8:9">
      <c r="H17469" s="1092"/>
      <c r="I17469" s="1092"/>
    </row>
    <row r="17470" spans="8:9">
      <c r="H17470" s="1092"/>
      <c r="I17470" s="1092"/>
    </row>
    <row r="17471" spans="8:9">
      <c r="H17471" s="1092"/>
      <c r="I17471" s="1092"/>
    </row>
    <row r="17472" spans="8:9">
      <c r="H17472" s="1092"/>
      <c r="I17472" s="1092"/>
    </row>
    <row r="17473" spans="8:9">
      <c r="H17473" s="1092"/>
      <c r="I17473" s="1092"/>
    </row>
    <row r="17474" spans="8:9">
      <c r="H17474" s="1092"/>
      <c r="I17474" s="1092"/>
    </row>
    <row r="17475" spans="8:9">
      <c r="H17475" s="1092"/>
      <c r="I17475" s="1092"/>
    </row>
    <row r="17476" spans="8:9">
      <c r="H17476" s="1092"/>
      <c r="I17476" s="1092"/>
    </row>
    <row r="17477" spans="8:9">
      <c r="H17477" s="1092"/>
      <c r="I17477" s="1092"/>
    </row>
    <row r="17478" spans="8:9">
      <c r="H17478" s="1092"/>
      <c r="I17478" s="1092"/>
    </row>
    <row r="17479" spans="8:9">
      <c r="H17479" s="1092"/>
      <c r="I17479" s="1092"/>
    </row>
    <row r="17480" spans="8:9">
      <c r="H17480" s="1092"/>
      <c r="I17480" s="1092"/>
    </row>
    <row r="17481" spans="8:9">
      <c r="H17481" s="1092"/>
      <c r="I17481" s="1092"/>
    </row>
    <row r="17482" spans="8:9">
      <c r="H17482" s="1092"/>
      <c r="I17482" s="1092"/>
    </row>
    <row r="17483" spans="8:9">
      <c r="H17483" s="1092"/>
      <c r="I17483" s="1092"/>
    </row>
    <row r="17484" spans="8:9">
      <c r="H17484" s="1092"/>
      <c r="I17484" s="1092"/>
    </row>
    <row r="17485" spans="8:9">
      <c r="H17485" s="1092"/>
      <c r="I17485" s="1092"/>
    </row>
    <row r="17486" spans="8:9">
      <c r="H17486" s="1092"/>
      <c r="I17486" s="1092"/>
    </row>
    <row r="17487" spans="8:9">
      <c r="H17487" s="1092"/>
      <c r="I17487" s="1092"/>
    </row>
    <row r="17488" spans="8:9">
      <c r="H17488" s="1092"/>
      <c r="I17488" s="1092"/>
    </row>
    <row r="17489" spans="8:9">
      <c r="H17489" s="1092"/>
      <c r="I17489" s="1092"/>
    </row>
    <row r="17490" spans="8:9">
      <c r="H17490" s="1092"/>
      <c r="I17490" s="1092"/>
    </row>
    <row r="17491" spans="8:9">
      <c r="H17491" s="1092"/>
      <c r="I17491" s="1092"/>
    </row>
    <row r="17492" spans="8:9">
      <c r="H17492" s="1092"/>
      <c r="I17492" s="1092"/>
    </row>
    <row r="17493" spans="8:9">
      <c r="H17493" s="1092"/>
      <c r="I17493" s="1092"/>
    </row>
    <row r="17494" spans="8:9">
      <c r="H17494" s="1092"/>
      <c r="I17494" s="1092"/>
    </row>
    <row r="17495" spans="8:9">
      <c r="H17495" s="1092"/>
      <c r="I17495" s="1092"/>
    </row>
    <row r="17496" spans="8:9">
      <c r="H17496" s="1092"/>
      <c r="I17496" s="1092"/>
    </row>
    <row r="17497" spans="8:9">
      <c r="H17497" s="1092"/>
      <c r="I17497" s="1092"/>
    </row>
    <row r="17498" spans="8:9">
      <c r="H17498" s="1092"/>
      <c r="I17498" s="1092"/>
    </row>
    <row r="17499" spans="8:9">
      <c r="H17499" s="1092"/>
      <c r="I17499" s="1092"/>
    </row>
    <row r="17500" spans="8:9">
      <c r="H17500" s="1092"/>
      <c r="I17500" s="1092"/>
    </row>
    <row r="17501" spans="8:9">
      <c r="H17501" s="1092"/>
      <c r="I17501" s="1092"/>
    </row>
    <row r="17502" spans="8:9">
      <c r="H17502" s="1092"/>
      <c r="I17502" s="1092"/>
    </row>
    <row r="17503" spans="8:9">
      <c r="H17503" s="1092"/>
      <c r="I17503" s="1092"/>
    </row>
    <row r="17504" spans="8:9">
      <c r="H17504" s="1092"/>
      <c r="I17504" s="1092"/>
    </row>
    <row r="17505" spans="8:9">
      <c r="H17505" s="1092"/>
      <c r="I17505" s="1092"/>
    </row>
    <row r="17506" spans="8:9">
      <c r="H17506" s="1092"/>
      <c r="I17506" s="1092"/>
    </row>
    <row r="17507" spans="8:9">
      <c r="H17507" s="1092"/>
      <c r="I17507" s="1092"/>
    </row>
    <row r="17508" spans="8:9">
      <c r="H17508" s="1092"/>
      <c r="I17508" s="1092"/>
    </row>
    <row r="17509" spans="8:9">
      <c r="H17509" s="1092"/>
      <c r="I17509" s="1092"/>
    </row>
    <row r="17510" spans="8:9">
      <c r="H17510" s="1092"/>
      <c r="I17510" s="1092"/>
    </row>
    <row r="17511" spans="8:9">
      <c r="H17511" s="1092"/>
      <c r="I17511" s="1092"/>
    </row>
    <row r="17512" spans="8:9">
      <c r="H17512" s="1092"/>
      <c r="I17512" s="1092"/>
    </row>
    <row r="17513" spans="8:9">
      <c r="H17513" s="1092"/>
      <c r="I17513" s="1092"/>
    </row>
    <row r="17514" spans="8:9">
      <c r="H17514" s="1092"/>
      <c r="I17514" s="1092"/>
    </row>
    <row r="17515" spans="8:9">
      <c r="H17515" s="1092"/>
      <c r="I17515" s="1092"/>
    </row>
    <row r="17516" spans="8:9">
      <c r="H17516" s="1092"/>
      <c r="I17516" s="1092"/>
    </row>
    <row r="17517" spans="8:9">
      <c r="H17517" s="1092"/>
      <c r="I17517" s="1092"/>
    </row>
    <row r="17518" spans="8:9">
      <c r="H17518" s="1092"/>
      <c r="I17518" s="1092"/>
    </row>
    <row r="17519" spans="8:9">
      <c r="H17519" s="1092"/>
      <c r="I17519" s="1092"/>
    </row>
    <row r="17520" spans="8:9">
      <c r="H17520" s="1092"/>
      <c r="I17520" s="1092"/>
    </row>
    <row r="17521" spans="8:9">
      <c r="H17521" s="1092"/>
      <c r="I17521" s="1092"/>
    </row>
    <row r="17522" spans="8:9">
      <c r="H17522" s="1092"/>
      <c r="I17522" s="1092"/>
    </row>
    <row r="17523" spans="8:9">
      <c r="H17523" s="1092"/>
      <c r="I17523" s="1092"/>
    </row>
    <row r="17524" spans="8:9">
      <c r="H17524" s="1092"/>
      <c r="I17524" s="1092"/>
    </row>
    <row r="17525" spans="8:9">
      <c r="H17525" s="1092"/>
      <c r="I17525" s="1092"/>
    </row>
    <row r="17526" spans="8:9">
      <c r="H17526" s="1092"/>
      <c r="I17526" s="1092"/>
    </row>
    <row r="17527" spans="8:9">
      <c r="H17527" s="1092"/>
      <c r="I17527" s="1092"/>
    </row>
    <row r="17528" spans="8:9">
      <c r="H17528" s="1092"/>
      <c r="I17528" s="1092"/>
    </row>
    <row r="17529" spans="8:9">
      <c r="H17529" s="1092"/>
      <c r="I17529" s="1092"/>
    </row>
    <row r="17530" spans="8:9">
      <c r="H17530" s="1092"/>
      <c r="I17530" s="1092"/>
    </row>
    <row r="17531" spans="8:9">
      <c r="H17531" s="1092"/>
      <c r="I17531" s="1092"/>
    </row>
    <row r="17532" spans="8:9">
      <c r="H17532" s="1092"/>
      <c r="I17532" s="1092"/>
    </row>
    <row r="17533" spans="8:9">
      <c r="H17533" s="1092"/>
      <c r="I17533" s="1092"/>
    </row>
    <row r="17534" spans="8:9">
      <c r="H17534" s="1092"/>
      <c r="I17534" s="1092"/>
    </row>
    <row r="17535" spans="8:9">
      <c r="H17535" s="1092"/>
      <c r="I17535" s="1092"/>
    </row>
    <row r="17536" spans="8:9">
      <c r="H17536" s="1092"/>
      <c r="I17536" s="1092"/>
    </row>
    <row r="17537" spans="8:9">
      <c r="H17537" s="1092"/>
      <c r="I17537" s="1092"/>
    </row>
    <row r="17538" spans="8:9">
      <c r="H17538" s="1092"/>
      <c r="I17538" s="1092"/>
    </row>
    <row r="17539" spans="8:9">
      <c r="H17539" s="1092"/>
      <c r="I17539" s="1092"/>
    </row>
    <row r="17540" spans="8:9">
      <c r="H17540" s="1092"/>
      <c r="I17540" s="1092"/>
    </row>
    <row r="17541" spans="8:9">
      <c r="H17541" s="1092"/>
      <c r="I17541" s="1092"/>
    </row>
    <row r="17542" spans="8:9">
      <c r="H17542" s="1092"/>
      <c r="I17542" s="1092"/>
    </row>
    <row r="17543" spans="8:9">
      <c r="H17543" s="1092"/>
      <c r="I17543" s="1092"/>
    </row>
    <row r="17544" spans="8:9">
      <c r="H17544" s="1092"/>
      <c r="I17544" s="1092"/>
    </row>
    <row r="17545" spans="8:9">
      <c r="H17545" s="1092"/>
      <c r="I17545" s="1092"/>
    </row>
    <row r="17546" spans="8:9">
      <c r="H17546" s="1092"/>
      <c r="I17546" s="1092"/>
    </row>
    <row r="17547" spans="8:9">
      <c r="H17547" s="1092"/>
      <c r="I17547" s="1092"/>
    </row>
    <row r="17548" spans="8:9">
      <c r="H17548" s="1092"/>
      <c r="I17548" s="1092"/>
    </row>
    <row r="17549" spans="8:9">
      <c r="H17549" s="1092"/>
      <c r="I17549" s="1092"/>
    </row>
    <row r="17550" spans="8:9">
      <c r="H17550" s="1092"/>
      <c r="I17550" s="1092"/>
    </row>
    <row r="17551" spans="8:9">
      <c r="H17551" s="1092"/>
      <c r="I17551" s="1092"/>
    </row>
    <row r="17552" spans="8:9">
      <c r="H17552" s="1092"/>
      <c r="I17552" s="1092"/>
    </row>
    <row r="17553" spans="8:9">
      <c r="H17553" s="1092"/>
      <c r="I17553" s="1092"/>
    </row>
    <row r="17554" spans="8:9">
      <c r="H17554" s="1092"/>
      <c r="I17554" s="1092"/>
    </row>
    <row r="17555" spans="8:9">
      <c r="H17555" s="1092"/>
      <c r="I17555" s="1092"/>
    </row>
    <row r="17556" spans="8:9">
      <c r="H17556" s="1092"/>
      <c r="I17556" s="1092"/>
    </row>
    <row r="17557" spans="8:9">
      <c r="H17557" s="1092"/>
      <c r="I17557" s="1092"/>
    </row>
    <row r="17558" spans="8:9">
      <c r="H17558" s="1092"/>
      <c r="I17558" s="1092"/>
    </row>
    <row r="17559" spans="8:9">
      <c r="H17559" s="1092"/>
      <c r="I17559" s="1092"/>
    </row>
    <row r="17560" spans="8:9">
      <c r="H17560" s="1092"/>
      <c r="I17560" s="1092"/>
    </row>
    <row r="17561" spans="8:9">
      <c r="H17561" s="1092"/>
      <c r="I17561" s="1092"/>
    </row>
    <row r="17562" spans="8:9">
      <c r="H17562" s="1092"/>
      <c r="I17562" s="1092"/>
    </row>
    <row r="17563" spans="8:9">
      <c r="H17563" s="1092"/>
      <c r="I17563" s="1092"/>
    </row>
    <row r="17564" spans="8:9">
      <c r="H17564" s="1092"/>
      <c r="I17564" s="1092"/>
    </row>
    <row r="17565" spans="8:9">
      <c r="H17565" s="1092"/>
      <c r="I17565" s="1092"/>
    </row>
    <row r="17566" spans="8:9">
      <c r="H17566" s="1092"/>
      <c r="I17566" s="1092"/>
    </row>
    <row r="17567" spans="8:9">
      <c r="H17567" s="1092"/>
      <c r="I17567" s="1092"/>
    </row>
    <row r="17568" spans="8:9">
      <c r="H17568" s="1092"/>
      <c r="I17568" s="1092"/>
    </row>
    <row r="17569" spans="8:9">
      <c r="H17569" s="1092"/>
      <c r="I17569" s="1092"/>
    </row>
    <row r="17570" spans="8:9">
      <c r="H17570" s="1092"/>
      <c r="I17570" s="1092"/>
    </row>
    <row r="17571" spans="8:9">
      <c r="H17571" s="1092"/>
      <c r="I17571" s="1092"/>
    </row>
    <row r="17572" spans="8:9">
      <c r="H17572" s="1092"/>
      <c r="I17572" s="1092"/>
    </row>
    <row r="17573" spans="8:9">
      <c r="H17573" s="1092"/>
      <c r="I17573" s="1092"/>
    </row>
    <row r="17574" spans="8:9">
      <c r="H17574" s="1092"/>
      <c r="I17574" s="1092"/>
    </row>
    <row r="17575" spans="8:9">
      <c r="H17575" s="1092"/>
      <c r="I17575" s="1092"/>
    </row>
    <row r="17576" spans="8:9">
      <c r="H17576" s="1092"/>
      <c r="I17576" s="1092"/>
    </row>
    <row r="17577" spans="8:9">
      <c r="H17577" s="1092"/>
      <c r="I17577" s="1092"/>
    </row>
    <row r="17578" spans="8:9">
      <c r="H17578" s="1092"/>
      <c r="I17578" s="1092"/>
    </row>
    <row r="17579" spans="8:9">
      <c r="H17579" s="1092"/>
      <c r="I17579" s="1092"/>
    </row>
    <row r="17580" spans="8:9">
      <c r="H17580" s="1092"/>
      <c r="I17580" s="1092"/>
    </row>
    <row r="17581" spans="8:9">
      <c r="H17581" s="1092"/>
      <c r="I17581" s="1092"/>
    </row>
    <row r="17582" spans="8:9">
      <c r="H17582" s="1092"/>
      <c r="I17582" s="1092"/>
    </row>
    <row r="17583" spans="8:9">
      <c r="H17583" s="1092"/>
      <c r="I17583" s="1092"/>
    </row>
    <row r="17584" spans="8:9">
      <c r="H17584" s="1092"/>
      <c r="I17584" s="1092"/>
    </row>
    <row r="17585" spans="8:9">
      <c r="H17585" s="1092"/>
      <c r="I17585" s="1092"/>
    </row>
    <row r="17586" spans="8:9">
      <c r="H17586" s="1092"/>
      <c r="I17586" s="1092"/>
    </row>
    <row r="17587" spans="8:9">
      <c r="H17587" s="1092"/>
      <c r="I17587" s="1092"/>
    </row>
    <row r="17588" spans="8:9">
      <c r="H17588" s="1092"/>
      <c r="I17588" s="1092"/>
    </row>
    <row r="17589" spans="8:9">
      <c r="H17589" s="1092"/>
      <c r="I17589" s="1092"/>
    </row>
    <row r="17590" spans="8:9">
      <c r="H17590" s="1092"/>
      <c r="I17590" s="1092"/>
    </row>
    <row r="17591" spans="8:9">
      <c r="H17591" s="1092"/>
      <c r="I17591" s="1092"/>
    </row>
    <row r="17592" spans="8:9">
      <c r="H17592" s="1092"/>
      <c r="I17592" s="1092"/>
    </row>
    <row r="17593" spans="8:9">
      <c r="H17593" s="1092"/>
      <c r="I17593" s="1092"/>
    </row>
    <row r="17594" spans="8:9">
      <c r="H17594" s="1092"/>
      <c r="I17594" s="1092"/>
    </row>
    <row r="17595" spans="8:9">
      <c r="H17595" s="1092"/>
      <c r="I17595" s="1092"/>
    </row>
    <row r="17596" spans="8:9">
      <c r="H17596" s="1092"/>
      <c r="I17596" s="1092"/>
    </row>
    <row r="17597" spans="8:9">
      <c r="H17597" s="1092"/>
      <c r="I17597" s="1092"/>
    </row>
    <row r="17598" spans="8:9">
      <c r="H17598" s="1092"/>
      <c r="I17598" s="1092"/>
    </row>
    <row r="17599" spans="8:9">
      <c r="H17599" s="1092"/>
      <c r="I17599" s="1092"/>
    </row>
    <row r="17600" spans="8:9">
      <c r="H17600" s="1092"/>
      <c r="I17600" s="1092"/>
    </row>
    <row r="17601" spans="8:9">
      <c r="H17601" s="1092"/>
      <c r="I17601" s="1092"/>
    </row>
    <row r="17602" spans="8:9">
      <c r="H17602" s="1092"/>
      <c r="I17602" s="1092"/>
    </row>
    <row r="17603" spans="8:9">
      <c r="H17603" s="1092"/>
      <c r="I17603" s="1092"/>
    </row>
    <row r="17604" spans="8:9">
      <c r="H17604" s="1092"/>
      <c r="I17604" s="1092"/>
    </row>
    <row r="17605" spans="8:9">
      <c r="H17605" s="1092"/>
      <c r="I17605" s="1092"/>
    </row>
    <row r="17606" spans="8:9">
      <c r="H17606" s="1092"/>
      <c r="I17606" s="1092"/>
    </row>
    <row r="17607" spans="8:9">
      <c r="H17607" s="1092"/>
      <c r="I17607" s="1092"/>
    </row>
    <row r="17608" spans="8:9">
      <c r="H17608" s="1092"/>
      <c r="I17608" s="1092"/>
    </row>
    <row r="17609" spans="8:9">
      <c r="H17609" s="1092"/>
      <c r="I17609" s="1092"/>
    </row>
    <row r="17610" spans="8:9">
      <c r="H17610" s="1092"/>
      <c r="I17610" s="1092"/>
    </row>
    <row r="17611" spans="8:9">
      <c r="H17611" s="1092"/>
      <c r="I17611" s="1092"/>
    </row>
    <row r="17612" spans="8:9">
      <c r="H17612" s="1092"/>
      <c r="I17612" s="1092"/>
    </row>
    <row r="17613" spans="8:9">
      <c r="H17613" s="1092"/>
      <c r="I17613" s="1092"/>
    </row>
    <row r="17614" spans="8:9">
      <c r="H17614" s="1092"/>
      <c r="I17614" s="1092"/>
    </row>
    <row r="17615" spans="8:9">
      <c r="H17615" s="1092"/>
      <c r="I17615" s="1092"/>
    </row>
    <row r="17616" spans="8:9">
      <c r="H17616" s="1092"/>
      <c r="I17616" s="1092"/>
    </row>
    <row r="17617" spans="8:9">
      <c r="H17617" s="1092"/>
      <c r="I17617" s="1092"/>
    </row>
    <row r="17618" spans="8:9">
      <c r="H17618" s="1092"/>
      <c r="I17618" s="1092"/>
    </row>
    <row r="17619" spans="8:9">
      <c r="H17619" s="1092"/>
      <c r="I17619" s="1092"/>
    </row>
    <row r="17620" spans="8:9">
      <c r="H17620" s="1092"/>
      <c r="I17620" s="1092"/>
    </row>
    <row r="17621" spans="8:9">
      <c r="H17621" s="1092"/>
      <c r="I17621" s="1092"/>
    </row>
    <row r="17622" spans="8:9">
      <c r="H17622" s="1092"/>
      <c r="I17622" s="1092"/>
    </row>
    <row r="17623" spans="8:9">
      <c r="H17623" s="1092"/>
      <c r="I17623" s="1092"/>
    </row>
    <row r="17624" spans="8:9">
      <c r="H17624" s="1092"/>
      <c r="I17624" s="1092"/>
    </row>
    <row r="17625" spans="8:9">
      <c r="H17625" s="1092"/>
      <c r="I17625" s="1092"/>
    </row>
    <row r="17626" spans="8:9">
      <c r="H17626" s="1092"/>
      <c r="I17626" s="1092"/>
    </row>
    <row r="17627" spans="8:9">
      <c r="H17627" s="1092"/>
      <c r="I17627" s="1092"/>
    </row>
    <row r="17628" spans="8:9">
      <c r="H17628" s="1092"/>
      <c r="I17628" s="1092"/>
    </row>
    <row r="17629" spans="8:9">
      <c r="H17629" s="1092"/>
      <c r="I17629" s="1092"/>
    </row>
    <row r="17630" spans="8:9">
      <c r="H17630" s="1092"/>
      <c r="I17630" s="1092"/>
    </row>
    <row r="17631" spans="8:9">
      <c r="H17631" s="1092"/>
      <c r="I17631" s="1092"/>
    </row>
    <row r="17632" spans="8:9">
      <c r="H17632" s="1092"/>
      <c r="I17632" s="1092"/>
    </row>
    <row r="17633" spans="8:9">
      <c r="H17633" s="1092"/>
      <c r="I17633" s="1092"/>
    </row>
    <row r="17634" spans="8:9">
      <c r="H17634" s="1092"/>
      <c r="I17634" s="1092"/>
    </row>
    <row r="17635" spans="8:9">
      <c r="H17635" s="1092"/>
      <c r="I17635" s="1092"/>
    </row>
    <row r="17636" spans="8:9">
      <c r="H17636" s="1092"/>
      <c r="I17636" s="1092"/>
    </row>
    <row r="17637" spans="8:9">
      <c r="H17637" s="1092"/>
      <c r="I17637" s="1092"/>
    </row>
    <row r="17638" spans="8:9">
      <c r="H17638" s="1092"/>
      <c r="I17638" s="1092"/>
    </row>
    <row r="17639" spans="8:9">
      <c r="H17639" s="1092"/>
      <c r="I17639" s="1092"/>
    </row>
    <row r="17640" spans="8:9">
      <c r="H17640" s="1092"/>
      <c r="I17640" s="1092"/>
    </row>
    <row r="17641" spans="8:9">
      <c r="H17641" s="1092"/>
      <c r="I17641" s="1092"/>
    </row>
    <row r="17642" spans="8:9">
      <c r="H17642" s="1092"/>
      <c r="I17642" s="1092"/>
    </row>
    <row r="17643" spans="8:9">
      <c r="H17643" s="1092"/>
      <c r="I17643" s="1092"/>
    </row>
    <row r="17644" spans="8:9">
      <c r="H17644" s="1092"/>
      <c r="I17644" s="1092"/>
    </row>
    <row r="17645" spans="8:9">
      <c r="H17645" s="1092"/>
      <c r="I17645" s="1092"/>
    </row>
    <row r="17646" spans="8:9">
      <c r="H17646" s="1092"/>
      <c r="I17646" s="1092"/>
    </row>
    <row r="17647" spans="8:9">
      <c r="H17647" s="1092"/>
      <c r="I17647" s="1092"/>
    </row>
    <row r="17648" spans="8:9">
      <c r="H17648" s="1092"/>
      <c r="I17648" s="1092"/>
    </row>
    <row r="17649" spans="8:9">
      <c r="H17649" s="1092"/>
      <c r="I17649" s="1092"/>
    </row>
    <row r="17650" spans="8:9">
      <c r="H17650" s="1092"/>
      <c r="I17650" s="1092"/>
    </row>
    <row r="17651" spans="8:9">
      <c r="H17651" s="1092"/>
      <c r="I17651" s="1092"/>
    </row>
    <row r="17652" spans="8:9">
      <c r="H17652" s="1092"/>
      <c r="I17652" s="1092"/>
    </row>
    <row r="17653" spans="8:9">
      <c r="H17653" s="1092"/>
      <c r="I17653" s="1092"/>
    </row>
    <row r="17654" spans="8:9">
      <c r="H17654" s="1092"/>
      <c r="I17654" s="1092"/>
    </row>
    <row r="17655" spans="8:9">
      <c r="H17655" s="1092"/>
      <c r="I17655" s="1092"/>
    </row>
    <row r="17656" spans="8:9">
      <c r="H17656" s="1092"/>
      <c r="I17656" s="1092"/>
    </row>
    <row r="17657" spans="8:9">
      <c r="H17657" s="1092"/>
      <c r="I17657" s="1092"/>
    </row>
    <row r="17658" spans="8:9">
      <c r="H17658" s="1092"/>
      <c r="I17658" s="1092"/>
    </row>
    <row r="17659" spans="8:9">
      <c r="H17659" s="1092"/>
      <c r="I17659" s="1092"/>
    </row>
    <row r="17660" spans="8:9">
      <c r="H17660" s="1092"/>
      <c r="I17660" s="1092"/>
    </row>
    <row r="17661" spans="8:9">
      <c r="H17661" s="1092"/>
      <c r="I17661" s="1092"/>
    </row>
    <row r="17662" spans="8:9">
      <c r="H17662" s="1092"/>
      <c r="I17662" s="1092"/>
    </row>
    <row r="17663" spans="8:9">
      <c r="H17663" s="1092"/>
      <c r="I17663" s="1092"/>
    </row>
    <row r="17664" spans="8:9">
      <c r="H17664" s="1092"/>
      <c r="I17664" s="1092"/>
    </row>
    <row r="17665" spans="8:9">
      <c r="H17665" s="1092"/>
      <c r="I17665" s="1092"/>
    </row>
    <row r="17666" spans="8:9">
      <c r="H17666" s="1092"/>
      <c r="I17666" s="1092"/>
    </row>
    <row r="17667" spans="8:9">
      <c r="H17667" s="1092"/>
      <c r="I17667" s="1092"/>
    </row>
    <row r="17668" spans="8:9">
      <c r="H17668" s="1092"/>
      <c r="I17668" s="1092"/>
    </row>
    <row r="17669" spans="8:9">
      <c r="H17669" s="1092"/>
      <c r="I17669" s="1092"/>
    </row>
    <row r="17670" spans="8:9">
      <c r="H17670" s="1092"/>
      <c r="I17670" s="1092"/>
    </row>
    <row r="17671" spans="8:9">
      <c r="H17671" s="1092"/>
      <c r="I17671" s="1092"/>
    </row>
    <row r="17672" spans="8:9">
      <c r="H17672" s="1092"/>
      <c r="I17672" s="1092"/>
    </row>
    <row r="17673" spans="8:9">
      <c r="H17673" s="1092"/>
      <c r="I17673" s="1092"/>
    </row>
    <row r="17674" spans="8:9">
      <c r="H17674" s="1092"/>
      <c r="I17674" s="1092"/>
    </row>
    <row r="17675" spans="8:9">
      <c r="H17675" s="1092"/>
      <c r="I17675" s="1092"/>
    </row>
    <row r="17676" spans="8:9">
      <c r="H17676" s="1092"/>
      <c r="I17676" s="1092"/>
    </row>
    <row r="17677" spans="8:9">
      <c r="H17677" s="1092"/>
      <c r="I17677" s="1092"/>
    </row>
    <row r="17678" spans="8:9">
      <c r="H17678" s="1092"/>
      <c r="I17678" s="1092"/>
    </row>
    <row r="17679" spans="8:9">
      <c r="H17679" s="1092"/>
      <c r="I17679" s="1092"/>
    </row>
    <row r="17680" spans="8:9">
      <c r="H17680" s="1092"/>
      <c r="I17680" s="1092"/>
    </row>
    <row r="17681" spans="8:9">
      <c r="H17681" s="1092"/>
      <c r="I17681" s="1092"/>
    </row>
    <row r="17682" spans="8:9">
      <c r="H17682" s="1092"/>
      <c r="I17682" s="1092"/>
    </row>
    <row r="17683" spans="8:9">
      <c r="H17683" s="1092"/>
      <c r="I17683" s="1092"/>
    </row>
    <row r="17684" spans="8:9">
      <c r="H17684" s="1092"/>
      <c r="I17684" s="1092"/>
    </row>
    <row r="17685" spans="8:9">
      <c r="H17685" s="1092"/>
      <c r="I17685" s="1092"/>
    </row>
    <row r="17686" spans="8:9">
      <c r="H17686" s="1092"/>
      <c r="I17686" s="1092"/>
    </row>
    <row r="17687" spans="8:9">
      <c r="H17687" s="1092"/>
      <c r="I17687" s="1092"/>
    </row>
    <row r="17688" spans="8:9">
      <c r="H17688" s="1092"/>
      <c r="I17688" s="1092"/>
    </row>
    <row r="17689" spans="8:9">
      <c r="H17689" s="1092"/>
      <c r="I17689" s="1092"/>
    </row>
    <row r="17690" spans="8:9">
      <c r="H17690" s="1092"/>
      <c r="I17690" s="1092"/>
    </row>
    <row r="17691" spans="8:9">
      <c r="H17691" s="1092"/>
      <c r="I17691" s="1092"/>
    </row>
    <row r="17692" spans="8:9">
      <c r="H17692" s="1092"/>
      <c r="I17692" s="1092"/>
    </row>
    <row r="17693" spans="8:9">
      <c r="H17693" s="1092"/>
      <c r="I17693" s="1092"/>
    </row>
    <row r="17694" spans="8:9">
      <c r="H17694" s="1092"/>
      <c r="I17694" s="1092"/>
    </row>
    <row r="17695" spans="8:9">
      <c r="H17695" s="1092"/>
      <c r="I17695" s="1092"/>
    </row>
    <row r="17696" spans="8:9">
      <c r="H17696" s="1092"/>
      <c r="I17696" s="1092"/>
    </row>
    <row r="17697" spans="8:9">
      <c r="H17697" s="1092"/>
      <c r="I17697" s="1092"/>
    </row>
    <row r="17698" spans="8:9">
      <c r="H17698" s="1092"/>
      <c r="I17698" s="1092"/>
    </row>
    <row r="17699" spans="8:9">
      <c r="H17699" s="1092"/>
      <c r="I17699" s="1092"/>
    </row>
    <row r="17700" spans="8:9">
      <c r="H17700" s="1092"/>
      <c r="I17700" s="1092"/>
    </row>
    <row r="17701" spans="8:9">
      <c r="H17701" s="1092"/>
      <c r="I17701" s="1092"/>
    </row>
    <row r="17702" spans="8:9">
      <c r="H17702" s="1092"/>
      <c r="I17702" s="1092"/>
    </row>
    <row r="17703" spans="8:9">
      <c r="H17703" s="1092"/>
      <c r="I17703" s="1092"/>
    </row>
    <row r="17704" spans="8:9">
      <c r="H17704" s="1092"/>
      <c r="I17704" s="1092"/>
    </row>
    <row r="17705" spans="8:9">
      <c r="H17705" s="1092"/>
      <c r="I17705" s="1092"/>
    </row>
    <row r="17706" spans="8:9">
      <c r="H17706" s="1092"/>
      <c r="I17706" s="1092"/>
    </row>
    <row r="17707" spans="8:9">
      <c r="H17707" s="1092"/>
      <c r="I17707" s="1092"/>
    </row>
    <row r="17708" spans="8:9">
      <c r="H17708" s="1092"/>
      <c r="I17708" s="1092"/>
    </row>
    <row r="17709" spans="8:9">
      <c r="H17709" s="1092"/>
      <c r="I17709" s="1092"/>
    </row>
    <row r="17710" spans="8:9">
      <c r="H17710" s="1092"/>
      <c r="I17710" s="1092"/>
    </row>
    <row r="17711" spans="8:9">
      <c r="H17711" s="1092"/>
      <c r="I17711" s="1092"/>
    </row>
    <row r="17712" spans="8:9">
      <c r="H17712" s="1092"/>
      <c r="I17712" s="1092"/>
    </row>
    <row r="17713" spans="8:9">
      <c r="H17713" s="1092"/>
      <c r="I17713" s="1092"/>
    </row>
    <row r="17714" spans="8:9">
      <c r="H17714" s="1092"/>
      <c r="I17714" s="1092"/>
    </row>
    <row r="17715" spans="8:9">
      <c r="H17715" s="1092"/>
      <c r="I17715" s="1092"/>
    </row>
    <row r="17716" spans="8:9">
      <c r="H17716" s="1092"/>
      <c r="I17716" s="1092"/>
    </row>
    <row r="17717" spans="8:9">
      <c r="H17717" s="1092"/>
      <c r="I17717" s="1092"/>
    </row>
    <row r="17718" spans="8:9">
      <c r="H17718" s="1092"/>
      <c r="I17718" s="1092"/>
    </row>
    <row r="17719" spans="8:9">
      <c r="H17719" s="1092"/>
      <c r="I17719" s="1092"/>
    </row>
    <row r="17720" spans="8:9">
      <c r="H17720" s="1092"/>
      <c r="I17720" s="1092"/>
    </row>
    <row r="17721" spans="8:9">
      <c r="H17721" s="1092"/>
      <c r="I17721" s="1092"/>
    </row>
    <row r="17722" spans="8:9">
      <c r="H17722" s="1092"/>
      <c r="I17722" s="1092"/>
    </row>
    <row r="17723" spans="8:9">
      <c r="H17723" s="1092"/>
      <c r="I17723" s="1092"/>
    </row>
    <row r="17724" spans="8:9">
      <c r="H17724" s="1092"/>
      <c r="I17724" s="1092"/>
    </row>
    <row r="17725" spans="8:9">
      <c r="H17725" s="1092"/>
      <c r="I17725" s="1092"/>
    </row>
    <row r="17726" spans="8:9">
      <c r="H17726" s="1092"/>
      <c r="I17726" s="1092"/>
    </row>
    <row r="17727" spans="8:9">
      <c r="H17727" s="1092"/>
      <c r="I17727" s="1092"/>
    </row>
    <row r="17728" spans="8:9">
      <c r="H17728" s="1092"/>
      <c r="I17728" s="1092"/>
    </row>
    <row r="17729" spans="8:9">
      <c r="H17729" s="1092"/>
      <c r="I17729" s="1092"/>
    </row>
    <row r="17730" spans="8:9">
      <c r="H17730" s="1092"/>
      <c r="I17730" s="1092"/>
    </row>
    <row r="17731" spans="8:9">
      <c r="H17731" s="1092"/>
      <c r="I17731" s="1092"/>
    </row>
    <row r="17732" spans="8:9">
      <c r="H17732" s="1092"/>
      <c r="I17732" s="1092"/>
    </row>
    <row r="17733" spans="8:9">
      <c r="H17733" s="1092"/>
      <c r="I17733" s="1092"/>
    </row>
    <row r="17734" spans="8:9">
      <c r="H17734" s="1092"/>
      <c r="I17734" s="1092"/>
    </row>
    <row r="17735" spans="8:9">
      <c r="H17735" s="1092"/>
      <c r="I17735" s="1092"/>
    </row>
    <row r="17736" spans="8:9">
      <c r="H17736" s="1092"/>
      <c r="I17736" s="1092"/>
    </row>
    <row r="17737" spans="8:9">
      <c r="H17737" s="1092"/>
      <c r="I17737" s="1092"/>
    </row>
    <row r="17738" spans="8:9">
      <c r="H17738" s="1092"/>
      <c r="I17738" s="1092"/>
    </row>
    <row r="17739" spans="8:9">
      <c r="H17739" s="1092"/>
      <c r="I17739" s="1092"/>
    </row>
    <row r="17740" spans="8:9">
      <c r="H17740" s="1092"/>
      <c r="I17740" s="1092"/>
    </row>
    <row r="17741" spans="8:9">
      <c r="H17741" s="1092"/>
      <c r="I17741" s="1092"/>
    </row>
    <row r="17742" spans="8:9">
      <c r="H17742" s="1092"/>
      <c r="I17742" s="1092"/>
    </row>
    <row r="17743" spans="8:9">
      <c r="H17743" s="1092"/>
      <c r="I17743" s="1092"/>
    </row>
    <row r="17744" spans="8:9">
      <c r="H17744" s="1092"/>
      <c r="I17744" s="1092"/>
    </row>
    <row r="17745" spans="8:9">
      <c r="H17745" s="1092"/>
      <c r="I17745" s="1092"/>
    </row>
    <row r="17746" spans="8:9">
      <c r="H17746" s="1092"/>
      <c r="I17746" s="1092"/>
    </row>
    <row r="17747" spans="8:9">
      <c r="H17747" s="1092"/>
      <c r="I17747" s="1092"/>
    </row>
    <row r="17748" spans="8:9">
      <c r="H17748" s="1092"/>
      <c r="I17748" s="1092"/>
    </row>
    <row r="17749" spans="8:9">
      <c r="H17749" s="1092"/>
      <c r="I17749" s="1092"/>
    </row>
    <row r="17750" spans="8:9">
      <c r="H17750" s="1092"/>
      <c r="I17750" s="1092"/>
    </row>
    <row r="17751" spans="8:9">
      <c r="H17751" s="1092"/>
      <c r="I17751" s="1092"/>
    </row>
    <row r="17752" spans="8:9">
      <c r="H17752" s="1092"/>
      <c r="I17752" s="1092"/>
    </row>
    <row r="17753" spans="8:9">
      <c r="H17753" s="1092"/>
      <c r="I17753" s="1092"/>
    </row>
    <row r="17754" spans="8:9">
      <c r="H17754" s="1092"/>
      <c r="I17754" s="1092"/>
    </row>
    <row r="17755" spans="8:9">
      <c r="H17755" s="1092"/>
      <c r="I17755" s="1092"/>
    </row>
    <row r="17756" spans="8:9">
      <c r="H17756" s="1092"/>
      <c r="I17756" s="1092"/>
    </row>
    <row r="17757" spans="8:9">
      <c r="H17757" s="1092"/>
      <c r="I17757" s="1092"/>
    </row>
    <row r="17758" spans="8:9">
      <c r="H17758" s="1092"/>
      <c r="I17758" s="1092"/>
    </row>
    <row r="17759" spans="8:9">
      <c r="H17759" s="1092"/>
      <c r="I17759" s="1092"/>
    </row>
    <row r="17760" spans="8:9">
      <c r="H17760" s="1092"/>
      <c r="I17760" s="1092"/>
    </row>
    <row r="17761" spans="8:9">
      <c r="H17761" s="1092"/>
      <c r="I17761" s="1092"/>
    </row>
    <row r="17762" spans="8:9">
      <c r="H17762" s="1092"/>
      <c r="I17762" s="1092"/>
    </row>
    <row r="17763" spans="8:9">
      <c r="H17763" s="1092"/>
      <c r="I17763" s="1092"/>
    </row>
    <row r="17764" spans="8:9">
      <c r="H17764" s="1092"/>
      <c r="I17764" s="1092"/>
    </row>
    <row r="17765" spans="8:9">
      <c r="H17765" s="1092"/>
      <c r="I17765" s="1092"/>
    </row>
    <row r="17766" spans="8:9">
      <c r="H17766" s="1092"/>
      <c r="I17766" s="1092"/>
    </row>
    <row r="17767" spans="8:9">
      <c r="H17767" s="1092"/>
      <c r="I17767" s="1092"/>
    </row>
    <row r="17768" spans="8:9">
      <c r="H17768" s="1092"/>
      <c r="I17768" s="1092"/>
    </row>
    <row r="17769" spans="8:9">
      <c r="H17769" s="1092"/>
      <c r="I17769" s="1092"/>
    </row>
    <row r="17770" spans="8:9">
      <c r="H17770" s="1092"/>
      <c r="I17770" s="1092"/>
    </row>
    <row r="17771" spans="8:9">
      <c r="H17771" s="1092"/>
      <c r="I17771" s="1092"/>
    </row>
    <row r="17772" spans="8:9">
      <c r="H17772" s="1092"/>
      <c r="I17772" s="1092"/>
    </row>
    <row r="17773" spans="8:9">
      <c r="H17773" s="1092"/>
      <c r="I17773" s="1092"/>
    </row>
    <row r="17774" spans="8:9">
      <c r="H17774" s="1092"/>
      <c r="I17774" s="1092"/>
    </row>
    <row r="17775" spans="8:9">
      <c r="H17775" s="1092"/>
      <c r="I17775" s="1092"/>
    </row>
    <row r="17776" spans="8:9">
      <c r="H17776" s="1092"/>
      <c r="I17776" s="1092"/>
    </row>
    <row r="17777" spans="8:9">
      <c r="H17777" s="1092"/>
      <c r="I17777" s="1092"/>
    </row>
    <row r="17778" spans="8:9">
      <c r="H17778" s="1092"/>
      <c r="I17778" s="1092"/>
    </row>
    <row r="17779" spans="8:9">
      <c r="H17779" s="1092"/>
      <c r="I17779" s="1092"/>
    </row>
    <row r="17780" spans="8:9">
      <c r="H17780" s="1092"/>
      <c r="I17780" s="1092"/>
    </row>
    <row r="17781" spans="8:9">
      <c r="H17781" s="1092"/>
      <c r="I17781" s="1092"/>
    </row>
    <row r="17782" spans="8:9">
      <c r="H17782" s="1092"/>
      <c r="I17782" s="1092"/>
    </row>
    <row r="17783" spans="8:9">
      <c r="H17783" s="1092"/>
      <c r="I17783" s="1092"/>
    </row>
    <row r="17784" spans="8:9">
      <c r="H17784" s="1092"/>
      <c r="I17784" s="1092"/>
    </row>
    <row r="17785" spans="8:9">
      <c r="H17785" s="1092"/>
      <c r="I17785" s="1092"/>
    </row>
    <row r="17786" spans="8:9">
      <c r="H17786" s="1092"/>
      <c r="I17786" s="1092"/>
    </row>
    <row r="17787" spans="8:9">
      <c r="H17787" s="1092"/>
      <c r="I17787" s="1092"/>
    </row>
    <row r="17788" spans="8:9">
      <c r="H17788" s="1092"/>
      <c r="I17788" s="1092"/>
    </row>
    <row r="17789" spans="8:9">
      <c r="H17789" s="1092"/>
      <c r="I17789" s="1092"/>
    </row>
    <row r="17790" spans="8:9">
      <c r="H17790" s="1092"/>
      <c r="I17790" s="1092"/>
    </row>
    <row r="17791" spans="8:9">
      <c r="H17791" s="1092"/>
      <c r="I17791" s="1092"/>
    </row>
    <row r="17792" spans="8:9">
      <c r="H17792" s="1092"/>
      <c r="I17792" s="1092"/>
    </row>
    <row r="17793" spans="8:9">
      <c r="H17793" s="1092"/>
      <c r="I17793" s="1092"/>
    </row>
    <row r="17794" spans="8:9">
      <c r="H17794" s="1092"/>
      <c r="I17794" s="1092"/>
    </row>
    <row r="17795" spans="8:9">
      <c r="H17795" s="1092"/>
      <c r="I17795" s="1092"/>
    </row>
    <row r="17796" spans="8:9">
      <c r="H17796" s="1092"/>
      <c r="I17796" s="1092"/>
    </row>
    <row r="17797" spans="8:9">
      <c r="H17797" s="1092"/>
      <c r="I17797" s="1092"/>
    </row>
    <row r="17798" spans="8:9">
      <c r="H17798" s="1092"/>
      <c r="I17798" s="1092"/>
    </row>
    <row r="17799" spans="8:9">
      <c r="H17799" s="1092"/>
      <c r="I17799" s="1092"/>
    </row>
    <row r="17800" spans="8:9">
      <c r="H17800" s="1092"/>
      <c r="I17800" s="1092"/>
    </row>
    <row r="17801" spans="8:9">
      <c r="H17801" s="1092"/>
      <c r="I17801" s="1092"/>
    </row>
    <row r="17802" spans="8:9">
      <c r="H17802" s="1092"/>
      <c r="I17802" s="1092"/>
    </row>
    <row r="17803" spans="8:9">
      <c r="H17803" s="1092"/>
      <c r="I17803" s="1092"/>
    </row>
    <row r="17804" spans="8:9">
      <c r="H17804" s="1092"/>
      <c r="I17804" s="1092"/>
    </row>
    <row r="17805" spans="8:9">
      <c r="H17805" s="1092"/>
      <c r="I17805" s="1092"/>
    </row>
    <row r="17806" spans="8:9">
      <c r="H17806" s="1092"/>
      <c r="I17806" s="1092"/>
    </row>
    <row r="17807" spans="8:9">
      <c r="H17807" s="1092"/>
      <c r="I17807" s="1092"/>
    </row>
    <row r="17808" spans="8:9">
      <c r="H17808" s="1092"/>
      <c r="I17808" s="1092"/>
    </row>
    <row r="17809" spans="8:9">
      <c r="H17809" s="1092"/>
      <c r="I17809" s="1092"/>
    </row>
    <row r="17810" spans="8:9">
      <c r="H17810" s="1092"/>
      <c r="I17810" s="1092"/>
    </row>
    <row r="17811" spans="8:9">
      <c r="H17811" s="1092"/>
      <c r="I17811" s="1092"/>
    </row>
    <row r="17812" spans="8:9">
      <c r="H17812" s="1092"/>
      <c r="I17812" s="1092"/>
    </row>
    <row r="17813" spans="8:9">
      <c r="H17813" s="1092"/>
      <c r="I17813" s="1092"/>
    </row>
    <row r="17814" spans="8:9">
      <c r="H17814" s="1092"/>
      <c r="I17814" s="1092"/>
    </row>
    <row r="17815" spans="8:9">
      <c r="H17815" s="1092"/>
      <c r="I17815" s="1092"/>
    </row>
    <row r="17816" spans="8:9">
      <c r="H17816" s="1092"/>
      <c r="I17816" s="1092"/>
    </row>
    <row r="17817" spans="8:9">
      <c r="H17817" s="1092"/>
      <c r="I17817" s="1092"/>
    </row>
    <row r="17818" spans="8:9">
      <c r="H17818" s="1092"/>
      <c r="I17818" s="1092"/>
    </row>
    <row r="17819" spans="8:9">
      <c r="H17819" s="1092"/>
      <c r="I17819" s="1092"/>
    </row>
    <row r="17820" spans="8:9">
      <c r="H17820" s="1092"/>
      <c r="I17820" s="1092"/>
    </row>
    <row r="17821" spans="8:9">
      <c r="H17821" s="1092"/>
      <c r="I17821" s="1092"/>
    </row>
    <row r="17822" spans="8:9">
      <c r="H17822" s="1092"/>
      <c r="I17822" s="1092"/>
    </row>
    <row r="17823" spans="8:9">
      <c r="H17823" s="1092"/>
      <c r="I17823" s="1092"/>
    </row>
    <row r="17824" spans="8:9">
      <c r="H17824" s="1092"/>
      <c r="I17824" s="1092"/>
    </row>
    <row r="17825" spans="8:9">
      <c r="H17825" s="1092"/>
      <c r="I17825" s="1092"/>
    </row>
    <row r="17826" spans="8:9">
      <c r="H17826" s="1092"/>
      <c r="I17826" s="1092"/>
    </row>
    <row r="17827" spans="8:9">
      <c r="H17827" s="1092"/>
      <c r="I17827" s="1092"/>
    </row>
    <row r="17828" spans="8:9">
      <c r="H17828" s="1092"/>
      <c r="I17828" s="1092"/>
    </row>
    <row r="17829" spans="8:9">
      <c r="H17829" s="1092"/>
      <c r="I17829" s="1092"/>
    </row>
    <row r="17830" spans="8:9">
      <c r="H17830" s="1092"/>
      <c r="I17830" s="1092"/>
    </row>
    <row r="17831" spans="8:9">
      <c r="H17831" s="1092"/>
      <c r="I17831" s="1092"/>
    </row>
    <row r="17832" spans="8:9">
      <c r="H17832" s="1092"/>
      <c r="I17832" s="1092"/>
    </row>
    <row r="17833" spans="8:9">
      <c r="H17833" s="1092"/>
      <c r="I17833" s="1092"/>
    </row>
    <row r="17834" spans="8:9">
      <c r="H17834" s="1092"/>
      <c r="I17834" s="1092"/>
    </row>
    <row r="17835" spans="8:9">
      <c r="H17835" s="1092"/>
      <c r="I17835" s="1092"/>
    </row>
    <row r="17836" spans="8:9">
      <c r="H17836" s="1092"/>
      <c r="I17836" s="1092"/>
    </row>
    <row r="17837" spans="8:9">
      <c r="H17837" s="1092"/>
      <c r="I17837" s="1092"/>
    </row>
    <row r="17838" spans="8:9">
      <c r="H17838" s="1092"/>
      <c r="I17838" s="1092"/>
    </row>
    <row r="17839" spans="8:9">
      <c r="H17839" s="1092"/>
      <c r="I17839" s="1092"/>
    </row>
    <row r="17840" spans="8:9">
      <c r="H17840" s="1092"/>
      <c r="I17840" s="1092"/>
    </row>
    <row r="17841" spans="8:9">
      <c r="H17841" s="1092"/>
      <c r="I17841" s="1092"/>
    </row>
    <row r="17842" spans="8:9">
      <c r="H17842" s="1092"/>
      <c r="I17842" s="1092"/>
    </row>
    <row r="17843" spans="8:9">
      <c r="H17843" s="1092"/>
      <c r="I17843" s="1092"/>
    </row>
    <row r="17844" spans="8:9">
      <c r="H17844" s="1092"/>
      <c r="I17844" s="1092"/>
    </row>
    <row r="17845" spans="8:9">
      <c r="H17845" s="1092"/>
      <c r="I17845" s="1092"/>
    </row>
    <row r="17846" spans="8:9">
      <c r="H17846" s="1092"/>
      <c r="I17846" s="1092"/>
    </row>
    <row r="17847" spans="8:9">
      <c r="H17847" s="1092"/>
      <c r="I17847" s="1092"/>
    </row>
    <row r="17848" spans="8:9">
      <c r="H17848" s="1092"/>
      <c r="I17848" s="1092"/>
    </row>
    <row r="17849" spans="8:9">
      <c r="H17849" s="1092"/>
      <c r="I17849" s="1092"/>
    </row>
    <row r="17850" spans="8:9">
      <c r="H17850" s="1092"/>
      <c r="I17850" s="1092"/>
    </row>
    <row r="17851" spans="8:9">
      <c r="H17851" s="1092"/>
      <c r="I17851" s="1092"/>
    </row>
    <row r="17852" spans="8:9">
      <c r="H17852" s="1092"/>
      <c r="I17852" s="1092"/>
    </row>
    <row r="17853" spans="8:9">
      <c r="H17853" s="1092"/>
      <c r="I17853" s="1092"/>
    </row>
    <row r="17854" spans="8:9">
      <c r="H17854" s="1092"/>
      <c r="I17854" s="1092"/>
    </row>
    <row r="17855" spans="8:9">
      <c r="H17855" s="1092"/>
      <c r="I17855" s="1092"/>
    </row>
    <row r="17856" spans="8:9">
      <c r="H17856" s="1092"/>
      <c r="I17856" s="1092"/>
    </row>
    <row r="17857" spans="8:9">
      <c r="H17857" s="1092"/>
      <c r="I17857" s="1092"/>
    </row>
    <row r="17858" spans="8:9">
      <c r="H17858" s="1092"/>
      <c r="I17858" s="1092"/>
    </row>
    <row r="17859" spans="8:9">
      <c r="H17859" s="1092"/>
      <c r="I17859" s="1092"/>
    </row>
    <row r="17860" spans="8:9">
      <c r="H17860" s="1092"/>
      <c r="I17860" s="1092"/>
    </row>
    <row r="17861" spans="8:9">
      <c r="H17861" s="1092"/>
      <c r="I17861" s="1092"/>
    </row>
    <row r="17862" spans="8:9">
      <c r="H17862" s="1092"/>
      <c r="I17862" s="1092"/>
    </row>
    <row r="17863" spans="8:9">
      <c r="H17863" s="1092"/>
      <c r="I17863" s="1092"/>
    </row>
    <row r="17864" spans="8:9">
      <c r="H17864" s="1092"/>
      <c r="I17864" s="1092"/>
    </row>
    <row r="17865" spans="8:9">
      <c r="H17865" s="1092"/>
      <c r="I17865" s="1092"/>
    </row>
    <row r="17866" spans="8:9">
      <c r="H17866" s="1092"/>
      <c r="I17866" s="1092"/>
    </row>
    <row r="17867" spans="8:9">
      <c r="H17867" s="1092"/>
      <c r="I17867" s="1092"/>
    </row>
    <row r="17868" spans="8:9">
      <c r="H17868" s="1092"/>
      <c r="I17868" s="1092"/>
    </row>
    <row r="17869" spans="8:9">
      <c r="H17869" s="1092"/>
      <c r="I17869" s="1092"/>
    </row>
    <row r="17870" spans="8:9">
      <c r="H17870" s="1092"/>
      <c r="I17870" s="1092"/>
    </row>
    <row r="17871" spans="8:9">
      <c r="H17871" s="1092"/>
      <c r="I17871" s="1092"/>
    </row>
    <row r="17872" spans="8:9">
      <c r="H17872" s="1092"/>
      <c r="I17872" s="1092"/>
    </row>
    <row r="17873" spans="8:9">
      <c r="H17873" s="1092"/>
      <c r="I17873" s="1092"/>
    </row>
    <row r="17874" spans="8:9">
      <c r="H17874" s="1092"/>
      <c r="I17874" s="1092"/>
    </row>
    <row r="17875" spans="8:9">
      <c r="H17875" s="1092"/>
      <c r="I17875" s="1092"/>
    </row>
    <row r="17876" spans="8:9">
      <c r="H17876" s="1092"/>
      <c r="I17876" s="1092"/>
    </row>
    <row r="17877" spans="8:9">
      <c r="H17877" s="1092"/>
      <c r="I17877" s="1092"/>
    </row>
    <row r="17878" spans="8:9">
      <c r="H17878" s="1092"/>
      <c r="I17878" s="1092"/>
    </row>
    <row r="17879" spans="8:9">
      <c r="H17879" s="1092"/>
      <c r="I17879" s="1092"/>
    </row>
    <row r="17880" spans="8:9">
      <c r="H17880" s="1092"/>
      <c r="I17880" s="1092"/>
    </row>
    <row r="17881" spans="8:9">
      <c r="H17881" s="1092"/>
      <c r="I17881" s="1092"/>
    </row>
    <row r="17882" spans="8:9">
      <c r="H17882" s="1092"/>
      <c r="I17882" s="1092"/>
    </row>
    <row r="17883" spans="8:9">
      <c r="H17883" s="1092"/>
      <c r="I17883" s="1092"/>
    </row>
    <row r="17884" spans="8:9">
      <c r="H17884" s="1092"/>
      <c r="I17884" s="1092"/>
    </row>
    <row r="17885" spans="8:9">
      <c r="H17885" s="1092"/>
      <c r="I17885" s="1092"/>
    </row>
    <row r="17886" spans="8:9">
      <c r="H17886" s="1092"/>
      <c r="I17886" s="1092"/>
    </row>
    <row r="17887" spans="8:9">
      <c r="H17887" s="1092"/>
      <c r="I17887" s="1092"/>
    </row>
    <row r="17888" spans="8:9">
      <c r="H17888" s="1092"/>
      <c r="I17888" s="1092"/>
    </row>
    <row r="17889" spans="8:9">
      <c r="H17889" s="1092"/>
      <c r="I17889" s="1092"/>
    </row>
    <row r="17890" spans="8:9">
      <c r="H17890" s="1092"/>
      <c r="I17890" s="1092"/>
    </row>
    <row r="17891" spans="8:9">
      <c r="H17891" s="1092"/>
      <c r="I17891" s="1092"/>
    </row>
    <row r="17892" spans="8:9">
      <c r="H17892" s="1092"/>
      <c r="I17892" s="1092"/>
    </row>
    <row r="17893" spans="8:9">
      <c r="H17893" s="1092"/>
      <c r="I17893" s="1092"/>
    </row>
    <row r="17894" spans="8:9">
      <c r="H17894" s="1092"/>
      <c r="I17894" s="1092"/>
    </row>
    <row r="17895" spans="8:9">
      <c r="H17895" s="1092"/>
      <c r="I17895" s="1092"/>
    </row>
    <row r="17896" spans="8:9">
      <c r="H17896" s="1092"/>
      <c r="I17896" s="1092"/>
    </row>
    <row r="17897" spans="8:9">
      <c r="H17897" s="1092"/>
      <c r="I17897" s="1092"/>
    </row>
    <row r="17898" spans="8:9">
      <c r="H17898" s="1092"/>
      <c r="I17898" s="1092"/>
    </row>
    <row r="17899" spans="8:9">
      <c r="H17899" s="1092"/>
      <c r="I17899" s="1092"/>
    </row>
    <row r="17900" spans="8:9">
      <c r="H17900" s="1092"/>
      <c r="I17900" s="1092"/>
    </row>
    <row r="17901" spans="8:9">
      <c r="H17901" s="1092"/>
      <c r="I17901" s="1092"/>
    </row>
    <row r="17902" spans="8:9">
      <c r="H17902" s="1092"/>
      <c r="I17902" s="1092"/>
    </row>
    <row r="17903" spans="8:9">
      <c r="H17903" s="1092"/>
      <c r="I17903" s="1092"/>
    </row>
    <row r="17904" spans="8:9">
      <c r="H17904" s="1092"/>
      <c r="I17904" s="1092"/>
    </row>
    <row r="17905" spans="8:9">
      <c r="H17905" s="1092"/>
      <c r="I17905" s="1092"/>
    </row>
    <row r="17906" spans="8:9">
      <c r="H17906" s="1092"/>
      <c r="I17906" s="1092"/>
    </row>
    <row r="17907" spans="8:9">
      <c r="H17907" s="1092"/>
      <c r="I17907" s="1092"/>
    </row>
    <row r="17908" spans="8:9">
      <c r="H17908" s="1092"/>
      <c r="I17908" s="1092"/>
    </row>
    <row r="17909" spans="8:9">
      <c r="H17909" s="1092"/>
      <c r="I17909" s="1092"/>
    </row>
    <row r="17910" spans="8:9">
      <c r="H17910" s="1092"/>
      <c r="I17910" s="1092"/>
    </row>
    <row r="17911" spans="8:9">
      <c r="H17911" s="1092"/>
      <c r="I17911" s="1092"/>
    </row>
    <row r="17912" spans="8:9">
      <c r="H17912" s="1092"/>
      <c r="I17912" s="1092"/>
    </row>
    <row r="17913" spans="8:9">
      <c r="H17913" s="1092"/>
      <c r="I17913" s="1092"/>
    </row>
    <row r="17914" spans="8:9">
      <c r="H17914" s="1092"/>
      <c r="I17914" s="1092"/>
    </row>
    <row r="17915" spans="8:9">
      <c r="H17915" s="1092"/>
      <c r="I17915" s="1092"/>
    </row>
    <row r="17916" spans="8:9">
      <c r="H17916" s="1092"/>
      <c r="I17916" s="1092"/>
    </row>
    <row r="17917" spans="8:9">
      <c r="H17917" s="1092"/>
      <c r="I17917" s="1092"/>
    </row>
    <row r="17918" spans="8:9">
      <c r="H17918" s="1092"/>
      <c r="I17918" s="1092"/>
    </row>
    <row r="17919" spans="8:9">
      <c r="H17919" s="1092"/>
      <c r="I17919" s="1092"/>
    </row>
    <row r="17920" spans="8:9">
      <c r="H17920" s="1092"/>
      <c r="I17920" s="1092"/>
    </row>
    <row r="17921" spans="8:9">
      <c r="H17921" s="1092"/>
      <c r="I17921" s="1092"/>
    </row>
    <row r="17922" spans="8:9">
      <c r="H17922" s="1092"/>
      <c r="I17922" s="1092"/>
    </row>
    <row r="17923" spans="8:9">
      <c r="H17923" s="1092"/>
      <c r="I17923" s="1092"/>
    </row>
    <row r="17924" spans="8:9">
      <c r="H17924" s="1092"/>
      <c r="I17924" s="1092"/>
    </row>
    <row r="17925" spans="8:9">
      <c r="H17925" s="1092"/>
      <c r="I17925" s="1092"/>
    </row>
    <row r="17926" spans="8:9">
      <c r="H17926" s="1092"/>
      <c r="I17926" s="1092"/>
    </row>
    <row r="17927" spans="8:9">
      <c r="H17927" s="1092"/>
      <c r="I17927" s="1092"/>
    </row>
    <row r="17928" spans="8:9">
      <c r="H17928" s="1092"/>
      <c r="I17928" s="1092"/>
    </row>
    <row r="17929" spans="8:9">
      <c r="H17929" s="1092"/>
      <c r="I17929" s="1092"/>
    </row>
    <row r="17930" spans="8:9">
      <c r="H17930" s="1092"/>
      <c r="I17930" s="1092"/>
    </row>
    <row r="17931" spans="8:9">
      <c r="H17931" s="1092"/>
      <c r="I17931" s="1092"/>
    </row>
    <row r="17932" spans="8:9">
      <c r="H17932" s="1092"/>
      <c r="I17932" s="1092"/>
    </row>
    <row r="17933" spans="8:9">
      <c r="H17933" s="1092"/>
      <c r="I17933" s="1092"/>
    </row>
    <row r="17934" spans="8:9">
      <c r="H17934" s="1092"/>
      <c r="I17934" s="1092"/>
    </row>
    <row r="17935" spans="8:9">
      <c r="H17935" s="1092"/>
      <c r="I17935" s="1092"/>
    </row>
    <row r="17936" spans="8:9">
      <c r="H17936" s="1092"/>
      <c r="I17936" s="1092"/>
    </row>
    <row r="17937" spans="8:9">
      <c r="H17937" s="1092"/>
      <c r="I17937" s="1092"/>
    </row>
    <row r="17938" spans="8:9">
      <c r="H17938" s="1092"/>
      <c r="I17938" s="1092"/>
    </row>
    <row r="17939" spans="8:9">
      <c r="H17939" s="1092"/>
      <c r="I17939" s="1092"/>
    </row>
    <row r="17940" spans="8:9">
      <c r="H17940" s="1092"/>
      <c r="I17940" s="1092"/>
    </row>
    <row r="17941" spans="8:9">
      <c r="H17941" s="1092"/>
      <c r="I17941" s="1092"/>
    </row>
    <row r="17942" spans="8:9">
      <c r="H17942" s="1092"/>
      <c r="I17942" s="1092"/>
    </row>
    <row r="17943" spans="8:9">
      <c r="H17943" s="1092"/>
      <c r="I17943" s="1092"/>
    </row>
    <row r="17944" spans="8:9">
      <c r="H17944" s="1092"/>
      <c r="I17944" s="1092"/>
    </row>
    <row r="17945" spans="8:9">
      <c r="H17945" s="1092"/>
      <c r="I17945" s="1092"/>
    </row>
    <row r="17946" spans="8:9">
      <c r="H17946" s="1092"/>
      <c r="I17946" s="1092"/>
    </row>
    <row r="17947" spans="8:9">
      <c r="H17947" s="1092"/>
      <c r="I17947" s="1092"/>
    </row>
    <row r="17948" spans="8:9">
      <c r="H17948" s="1092"/>
      <c r="I17948" s="1092"/>
    </row>
    <row r="17949" spans="8:9">
      <c r="H17949" s="1092"/>
      <c r="I17949" s="1092"/>
    </row>
    <row r="17950" spans="8:9">
      <c r="H17950" s="1092"/>
      <c r="I17950" s="1092"/>
    </row>
    <row r="17951" spans="8:9">
      <c r="H17951" s="1092"/>
      <c r="I17951" s="1092"/>
    </row>
    <row r="17952" spans="8:9">
      <c r="H17952" s="1092"/>
      <c r="I17952" s="1092"/>
    </row>
    <row r="17953" spans="8:9">
      <c r="H17953" s="1092"/>
      <c r="I17953" s="1092"/>
    </row>
    <row r="17954" spans="8:9">
      <c r="H17954" s="1092"/>
      <c r="I17954" s="1092"/>
    </row>
    <row r="17955" spans="8:9">
      <c r="H17955" s="1092"/>
      <c r="I17955" s="1092"/>
    </row>
    <row r="17956" spans="8:9">
      <c r="H17956" s="1092"/>
      <c r="I17956" s="1092"/>
    </row>
    <row r="17957" spans="8:9">
      <c r="H17957" s="1092"/>
      <c r="I17957" s="1092"/>
    </row>
    <row r="17958" spans="8:9">
      <c r="H17958" s="1092"/>
      <c r="I17958" s="1092"/>
    </row>
    <row r="17959" spans="8:9">
      <c r="H17959" s="1092"/>
      <c r="I17959" s="1092"/>
    </row>
    <row r="17960" spans="8:9">
      <c r="H17960" s="1092"/>
      <c r="I17960" s="1092"/>
    </row>
    <row r="17961" spans="8:9">
      <c r="H17961" s="1092"/>
      <c r="I17961" s="1092"/>
    </row>
    <row r="17962" spans="8:9">
      <c r="H17962" s="1092"/>
      <c r="I17962" s="1092"/>
    </row>
    <row r="17963" spans="8:9">
      <c r="H17963" s="1092"/>
      <c r="I17963" s="1092"/>
    </row>
    <row r="17964" spans="8:9">
      <c r="H17964" s="1092"/>
      <c r="I17964" s="1092"/>
    </row>
    <row r="17965" spans="8:9">
      <c r="H17965" s="1092"/>
      <c r="I17965" s="1092"/>
    </row>
    <row r="17966" spans="8:9">
      <c r="H17966" s="1092"/>
      <c r="I17966" s="1092"/>
    </row>
    <row r="17967" spans="8:9">
      <c r="H17967" s="1092"/>
      <c r="I17967" s="1092"/>
    </row>
    <row r="17968" spans="8:9">
      <c r="H17968" s="1092"/>
      <c r="I17968" s="1092"/>
    </row>
    <row r="17969" spans="8:9">
      <c r="H17969" s="1092"/>
      <c r="I17969" s="1092"/>
    </row>
    <row r="17970" spans="8:9">
      <c r="H17970" s="1092"/>
      <c r="I17970" s="1092"/>
    </row>
    <row r="17971" spans="8:9">
      <c r="H17971" s="1092"/>
      <c r="I17971" s="1092"/>
    </row>
    <row r="17972" spans="8:9">
      <c r="H17972" s="1092"/>
      <c r="I17972" s="1092"/>
    </row>
    <row r="17973" spans="8:9">
      <c r="H17973" s="1092"/>
      <c r="I17973" s="1092"/>
    </row>
    <row r="17974" spans="8:9">
      <c r="H17974" s="1092"/>
      <c r="I17974" s="1092"/>
    </row>
    <row r="17975" spans="8:9">
      <c r="H17975" s="1092"/>
      <c r="I17975" s="1092"/>
    </row>
    <row r="17976" spans="8:9">
      <c r="H17976" s="1092"/>
      <c r="I17976" s="1092"/>
    </row>
    <row r="17977" spans="8:9">
      <c r="H17977" s="1092"/>
      <c r="I17977" s="1092"/>
    </row>
    <row r="17978" spans="8:9">
      <c r="H17978" s="1092"/>
      <c r="I17978" s="1092"/>
    </row>
    <row r="17979" spans="8:9">
      <c r="H17979" s="1092"/>
      <c r="I17979" s="1092"/>
    </row>
    <row r="17980" spans="8:9">
      <c r="H17980" s="1092"/>
      <c r="I17980" s="1092"/>
    </row>
    <row r="17981" spans="8:9">
      <c r="H17981" s="1092"/>
      <c r="I17981" s="1092"/>
    </row>
    <row r="17982" spans="8:9">
      <c r="H17982" s="1092"/>
      <c r="I17982" s="1092"/>
    </row>
    <row r="17983" spans="8:9">
      <c r="H17983" s="1092"/>
      <c r="I17983" s="1092"/>
    </row>
    <row r="17984" spans="8:9">
      <c r="H17984" s="1092"/>
      <c r="I17984" s="1092"/>
    </row>
    <row r="17985" spans="8:9">
      <c r="H17985" s="1092"/>
      <c r="I17985" s="1092"/>
    </row>
    <row r="17986" spans="8:9">
      <c r="H17986" s="1092"/>
      <c r="I17986" s="1092"/>
    </row>
    <row r="17987" spans="8:9">
      <c r="H17987" s="1092"/>
      <c r="I17987" s="1092"/>
    </row>
    <row r="17988" spans="8:9">
      <c r="H17988" s="1092"/>
      <c r="I17988" s="1092"/>
    </row>
    <row r="17989" spans="8:9">
      <c r="H17989" s="1092"/>
      <c r="I17989" s="1092"/>
    </row>
    <row r="17990" spans="8:9">
      <c r="H17990" s="1092"/>
      <c r="I17990" s="1092"/>
    </row>
    <row r="17991" spans="8:9">
      <c r="H17991" s="1092"/>
      <c r="I17991" s="1092"/>
    </row>
    <row r="17992" spans="8:9">
      <c r="H17992" s="1092"/>
      <c r="I17992" s="1092"/>
    </row>
    <row r="17993" spans="8:9">
      <c r="H17993" s="1092"/>
      <c r="I17993" s="1092"/>
    </row>
    <row r="17994" spans="8:9">
      <c r="H17994" s="1092"/>
      <c r="I17994" s="1092"/>
    </row>
    <row r="17995" spans="8:9">
      <c r="H17995" s="1092"/>
      <c r="I17995" s="1092"/>
    </row>
    <row r="17996" spans="8:9">
      <c r="H17996" s="1092"/>
      <c r="I17996" s="1092"/>
    </row>
    <row r="17997" spans="8:9">
      <c r="H17997" s="1092"/>
      <c r="I17997" s="1092"/>
    </row>
    <row r="17998" spans="8:9">
      <c r="H17998" s="1092"/>
      <c r="I17998" s="1092"/>
    </row>
    <row r="17999" spans="8:9">
      <c r="H17999" s="1092"/>
      <c r="I17999" s="1092"/>
    </row>
    <row r="18000" spans="8:9">
      <c r="H18000" s="1092"/>
      <c r="I18000" s="1092"/>
    </row>
    <row r="18001" spans="8:9">
      <c r="H18001" s="1092"/>
      <c r="I18001" s="1092"/>
    </row>
    <row r="18002" spans="8:9">
      <c r="H18002" s="1092"/>
      <c r="I18002" s="1092"/>
    </row>
    <row r="18003" spans="8:9">
      <c r="H18003" s="1092"/>
      <c r="I18003" s="1092"/>
    </row>
    <row r="18004" spans="8:9">
      <c r="H18004" s="1092"/>
      <c r="I18004" s="1092"/>
    </row>
    <row r="18005" spans="8:9">
      <c r="H18005" s="1092"/>
      <c r="I18005" s="1092"/>
    </row>
    <row r="18006" spans="8:9">
      <c r="H18006" s="1092"/>
      <c r="I18006" s="1092"/>
    </row>
    <row r="18007" spans="8:9">
      <c r="H18007" s="1092"/>
      <c r="I18007" s="1092"/>
    </row>
    <row r="18008" spans="8:9">
      <c r="H18008" s="1092"/>
      <c r="I18008" s="1092"/>
    </row>
    <row r="18009" spans="8:9">
      <c r="H18009" s="1092"/>
      <c r="I18009" s="1092"/>
    </row>
    <row r="18010" spans="8:9">
      <c r="H18010" s="1092"/>
      <c r="I18010" s="1092"/>
    </row>
    <row r="18011" spans="8:9">
      <c r="H18011" s="1092"/>
      <c r="I18011" s="1092"/>
    </row>
    <row r="18012" spans="8:9">
      <c r="H18012" s="1092"/>
      <c r="I18012" s="1092"/>
    </row>
    <row r="18013" spans="8:9">
      <c r="H18013" s="1092"/>
      <c r="I18013" s="1092"/>
    </row>
    <row r="18014" spans="8:9">
      <c r="H18014" s="1092"/>
      <c r="I18014" s="1092"/>
    </row>
    <row r="18015" spans="8:9">
      <c r="H18015" s="1092"/>
      <c r="I18015" s="1092"/>
    </row>
    <row r="18016" spans="8:9">
      <c r="H18016" s="1092"/>
      <c r="I18016" s="1092"/>
    </row>
    <row r="18017" spans="8:9">
      <c r="H18017" s="1092"/>
      <c r="I18017" s="1092"/>
    </row>
    <row r="18018" spans="8:9">
      <c r="H18018" s="1092"/>
      <c r="I18018" s="1092"/>
    </row>
    <row r="18019" spans="8:9">
      <c r="H18019" s="1092"/>
      <c r="I18019" s="1092"/>
    </row>
    <row r="18020" spans="8:9">
      <c r="H18020" s="1092"/>
      <c r="I18020" s="1092"/>
    </row>
    <row r="18021" spans="8:9">
      <c r="H18021" s="1092"/>
      <c r="I18021" s="1092"/>
    </row>
    <row r="18022" spans="8:9">
      <c r="H18022" s="1092"/>
      <c r="I18022" s="1092"/>
    </row>
    <row r="18023" spans="8:9">
      <c r="H18023" s="1092"/>
      <c r="I18023" s="1092"/>
    </row>
    <row r="18024" spans="8:9">
      <c r="H18024" s="1092"/>
      <c r="I18024" s="1092"/>
    </row>
    <row r="18025" spans="8:9">
      <c r="H18025" s="1092"/>
      <c r="I18025" s="1092"/>
    </row>
    <row r="18026" spans="8:9">
      <c r="H18026" s="1092"/>
      <c r="I18026" s="1092"/>
    </row>
    <row r="18027" spans="8:9">
      <c r="H18027" s="1092"/>
      <c r="I18027" s="1092"/>
    </row>
    <row r="18028" spans="8:9">
      <c r="H18028" s="1092"/>
      <c r="I18028" s="1092"/>
    </row>
    <row r="18029" spans="8:9">
      <c r="H18029" s="1092"/>
      <c r="I18029" s="1092"/>
    </row>
    <row r="18030" spans="8:9">
      <c r="H18030" s="1092"/>
      <c r="I18030" s="1092"/>
    </row>
    <row r="18031" spans="8:9">
      <c r="H18031" s="1092"/>
      <c r="I18031" s="1092"/>
    </row>
    <row r="18032" spans="8:9">
      <c r="H18032" s="1092"/>
      <c r="I18032" s="1092"/>
    </row>
    <row r="18033" spans="8:9">
      <c r="H18033" s="1092"/>
      <c r="I18033" s="1092"/>
    </row>
    <row r="18034" spans="8:9">
      <c r="H18034" s="1092"/>
      <c r="I18034" s="1092"/>
    </row>
    <row r="18035" spans="8:9">
      <c r="H18035" s="1092"/>
      <c r="I18035" s="1092"/>
    </row>
    <row r="18036" spans="8:9">
      <c r="H18036" s="1092"/>
      <c r="I18036" s="1092"/>
    </row>
    <row r="18037" spans="8:9">
      <c r="H18037" s="1092"/>
      <c r="I18037" s="1092"/>
    </row>
    <row r="18038" spans="8:9">
      <c r="H18038" s="1092"/>
      <c r="I18038" s="1092"/>
    </row>
    <row r="18039" spans="8:9">
      <c r="H18039" s="1092"/>
      <c r="I18039" s="1092"/>
    </row>
    <row r="18040" spans="8:9">
      <c r="H18040" s="1092"/>
      <c r="I18040" s="1092"/>
    </row>
    <row r="18041" spans="8:9">
      <c r="H18041" s="1092"/>
      <c r="I18041" s="1092"/>
    </row>
    <row r="18042" spans="8:9">
      <c r="H18042" s="1092"/>
      <c r="I18042" s="1092"/>
    </row>
    <row r="18043" spans="8:9">
      <c r="H18043" s="1092"/>
      <c r="I18043" s="1092"/>
    </row>
    <row r="18044" spans="8:9">
      <c r="H18044" s="1092"/>
      <c r="I18044" s="1092"/>
    </row>
    <row r="18045" spans="8:9">
      <c r="H18045" s="1092"/>
      <c r="I18045" s="1092"/>
    </row>
    <row r="18046" spans="8:9">
      <c r="H18046" s="1092"/>
      <c r="I18046" s="1092"/>
    </row>
    <row r="18047" spans="8:9">
      <c r="H18047" s="1092"/>
      <c r="I18047" s="1092"/>
    </row>
    <row r="18048" spans="8:9">
      <c r="H18048" s="1092"/>
      <c r="I18048" s="1092"/>
    </row>
    <row r="18049" spans="8:9">
      <c r="H18049" s="1092"/>
      <c r="I18049" s="1092"/>
    </row>
    <row r="18050" spans="8:9">
      <c r="H18050" s="1092"/>
      <c r="I18050" s="1092"/>
    </row>
    <row r="18051" spans="8:9">
      <c r="H18051" s="1092"/>
      <c r="I18051" s="1092"/>
    </row>
    <row r="18052" spans="8:9">
      <c r="H18052" s="1092"/>
      <c r="I18052" s="1092"/>
    </row>
    <row r="18053" spans="8:9">
      <c r="H18053" s="1092"/>
      <c r="I18053" s="1092"/>
    </row>
    <row r="18054" spans="8:9">
      <c r="H18054" s="1092"/>
      <c r="I18054" s="1092"/>
    </row>
    <row r="18055" spans="8:9">
      <c r="H18055" s="1092"/>
      <c r="I18055" s="1092"/>
    </row>
    <row r="18056" spans="8:9">
      <c r="H18056" s="1092"/>
      <c r="I18056" s="1092"/>
    </row>
    <row r="18057" spans="8:9">
      <c r="H18057" s="1092"/>
      <c r="I18057" s="1092"/>
    </row>
    <row r="18058" spans="8:9">
      <c r="H18058" s="1092"/>
      <c r="I18058" s="1092"/>
    </row>
    <row r="18059" spans="8:9">
      <c r="H18059" s="1092"/>
      <c r="I18059" s="1092"/>
    </row>
    <row r="18060" spans="8:9">
      <c r="H18060" s="1092"/>
      <c r="I18060" s="1092"/>
    </row>
    <row r="18061" spans="8:9">
      <c r="H18061" s="1092"/>
      <c r="I18061" s="1092"/>
    </row>
    <row r="18062" spans="8:9">
      <c r="H18062" s="1092"/>
      <c r="I18062" s="1092"/>
    </row>
    <row r="18063" spans="8:9">
      <c r="H18063" s="1092"/>
      <c r="I18063" s="1092"/>
    </row>
    <row r="18064" spans="8:9">
      <c r="H18064" s="1092"/>
      <c r="I18064" s="1092"/>
    </row>
    <row r="18065" spans="8:9">
      <c r="H18065" s="1092"/>
      <c r="I18065" s="1092"/>
    </row>
    <row r="18066" spans="8:9">
      <c r="H18066" s="1092"/>
      <c r="I18066" s="1092"/>
    </row>
    <row r="18067" spans="8:9">
      <c r="H18067" s="1092"/>
      <c r="I18067" s="1092"/>
    </row>
    <row r="18068" spans="8:9">
      <c r="H18068" s="1092"/>
      <c r="I18068" s="1092"/>
    </row>
    <row r="18069" spans="8:9">
      <c r="H18069" s="1092"/>
      <c r="I18069" s="1092"/>
    </row>
    <row r="18070" spans="8:9">
      <c r="H18070" s="1092"/>
      <c r="I18070" s="1092"/>
    </row>
    <row r="18071" spans="8:9">
      <c r="H18071" s="1092"/>
      <c r="I18071" s="1092"/>
    </row>
    <row r="18072" spans="8:9">
      <c r="H18072" s="1092"/>
      <c r="I18072" s="1092"/>
    </row>
    <row r="18073" spans="8:9">
      <c r="H18073" s="1092"/>
      <c r="I18073" s="1092"/>
    </row>
    <row r="18074" spans="8:9">
      <c r="H18074" s="1092"/>
      <c r="I18074" s="1092"/>
    </row>
    <row r="18075" spans="8:9">
      <c r="H18075" s="1092"/>
      <c r="I18075" s="1092"/>
    </row>
    <row r="18076" spans="8:9">
      <c r="H18076" s="1092"/>
      <c r="I18076" s="1092"/>
    </row>
    <row r="18077" spans="8:9">
      <c r="H18077" s="1092"/>
      <c r="I18077" s="1092"/>
    </row>
    <row r="18078" spans="8:9">
      <c r="H18078" s="1092"/>
      <c r="I18078" s="1092"/>
    </row>
    <row r="18079" spans="8:9">
      <c r="H18079" s="1092"/>
      <c r="I18079" s="1092"/>
    </row>
    <row r="18080" spans="8:9">
      <c r="H18080" s="1092"/>
      <c r="I18080" s="1092"/>
    </row>
    <row r="18081" spans="8:9">
      <c r="H18081" s="1092"/>
      <c r="I18081" s="1092"/>
    </row>
    <row r="18082" spans="8:9">
      <c r="H18082" s="1092"/>
      <c r="I18082" s="1092"/>
    </row>
    <row r="18083" spans="8:9">
      <c r="H18083" s="1092"/>
      <c r="I18083" s="1092"/>
    </row>
    <row r="18084" spans="8:9">
      <c r="H18084" s="1092"/>
      <c r="I18084" s="1092"/>
    </row>
    <row r="18085" spans="8:9">
      <c r="H18085" s="1092"/>
      <c r="I18085" s="1092"/>
    </row>
    <row r="18086" spans="8:9">
      <c r="H18086" s="1092"/>
      <c r="I18086" s="1092"/>
    </row>
    <row r="18087" spans="8:9">
      <c r="H18087" s="1092"/>
      <c r="I18087" s="1092"/>
    </row>
    <row r="18088" spans="8:9">
      <c r="H18088" s="1092"/>
      <c r="I18088" s="1092"/>
    </row>
    <row r="18089" spans="8:9">
      <c r="H18089" s="1092"/>
      <c r="I18089" s="1092"/>
    </row>
    <row r="18090" spans="8:9">
      <c r="H18090" s="1092"/>
      <c r="I18090" s="1092"/>
    </row>
    <row r="18091" spans="8:9">
      <c r="H18091" s="1092"/>
      <c r="I18091" s="1092"/>
    </row>
    <row r="18092" spans="8:9">
      <c r="H18092" s="1092"/>
      <c r="I18092" s="1092"/>
    </row>
    <row r="18093" spans="8:9">
      <c r="H18093" s="1092"/>
      <c r="I18093" s="1092"/>
    </row>
    <row r="18094" spans="8:9">
      <c r="H18094" s="1092"/>
      <c r="I18094" s="1092"/>
    </row>
    <row r="18095" spans="8:9">
      <c r="H18095" s="1092"/>
      <c r="I18095" s="1092"/>
    </row>
    <row r="18096" spans="8:9">
      <c r="H18096" s="1092"/>
      <c r="I18096" s="1092"/>
    </row>
    <row r="18097" spans="8:9">
      <c r="H18097" s="1092"/>
      <c r="I18097" s="1092"/>
    </row>
    <row r="18098" spans="8:9">
      <c r="H18098" s="1092"/>
      <c r="I18098" s="1092"/>
    </row>
    <row r="18099" spans="8:9">
      <c r="H18099" s="1092"/>
      <c r="I18099" s="1092"/>
    </row>
    <row r="18100" spans="8:9">
      <c r="H18100" s="1092"/>
      <c r="I18100" s="1092"/>
    </row>
    <row r="18101" spans="8:9">
      <c r="H18101" s="1092"/>
      <c r="I18101" s="1092"/>
    </row>
    <row r="18102" spans="8:9">
      <c r="H18102" s="1092"/>
      <c r="I18102" s="1092"/>
    </row>
    <row r="18103" spans="8:9">
      <c r="H18103" s="1092"/>
      <c r="I18103" s="1092"/>
    </row>
    <row r="18104" spans="8:9">
      <c r="H18104" s="1092"/>
      <c r="I18104" s="1092"/>
    </row>
    <row r="18105" spans="8:9">
      <c r="H18105" s="1092"/>
      <c r="I18105" s="1092"/>
    </row>
    <row r="18106" spans="8:9">
      <c r="H18106" s="1092"/>
      <c r="I18106" s="1092"/>
    </row>
    <row r="18107" spans="8:9">
      <c r="H18107" s="1092"/>
      <c r="I18107" s="1092"/>
    </row>
    <row r="18108" spans="8:9">
      <c r="H18108" s="1092"/>
      <c r="I18108" s="1092"/>
    </row>
    <row r="18109" spans="8:9">
      <c r="H18109" s="1092"/>
      <c r="I18109" s="1092"/>
    </row>
    <row r="18110" spans="8:9">
      <c r="H18110" s="1092"/>
      <c r="I18110" s="1092"/>
    </row>
    <row r="18111" spans="8:9">
      <c r="H18111" s="1092"/>
      <c r="I18111" s="1092"/>
    </row>
    <row r="18112" spans="8:9">
      <c r="H18112" s="1092"/>
      <c r="I18112" s="1092"/>
    </row>
    <row r="18113" spans="8:9">
      <c r="H18113" s="1092"/>
      <c r="I18113" s="1092"/>
    </row>
    <row r="18114" spans="8:9">
      <c r="H18114" s="1092"/>
      <c r="I18114" s="1092"/>
    </row>
    <row r="18115" spans="8:9">
      <c r="H18115" s="1092"/>
      <c r="I18115" s="1092"/>
    </row>
    <row r="18116" spans="8:9">
      <c r="H18116" s="1092"/>
      <c r="I18116" s="1092"/>
    </row>
    <row r="18117" spans="8:9">
      <c r="H18117" s="1092"/>
      <c r="I18117" s="1092"/>
    </row>
    <row r="18118" spans="8:9">
      <c r="H18118" s="1092"/>
      <c r="I18118" s="1092"/>
    </row>
    <row r="18119" spans="8:9">
      <c r="H18119" s="1092"/>
      <c r="I18119" s="1092"/>
    </row>
    <row r="18120" spans="8:9">
      <c r="H18120" s="1092"/>
      <c r="I18120" s="1092"/>
    </row>
    <row r="18121" spans="8:9">
      <c r="H18121" s="1092"/>
      <c r="I18121" s="1092"/>
    </row>
    <row r="18122" spans="8:9">
      <c r="H18122" s="1092"/>
      <c r="I18122" s="1092"/>
    </row>
    <row r="18123" spans="8:9">
      <c r="H18123" s="1092"/>
      <c r="I18123" s="1092"/>
    </row>
    <row r="18124" spans="8:9">
      <c r="H18124" s="1092"/>
      <c r="I18124" s="1092"/>
    </row>
    <row r="18125" spans="8:9">
      <c r="H18125" s="1092"/>
      <c r="I18125" s="1092"/>
    </row>
    <row r="18126" spans="8:9">
      <c r="H18126" s="1092"/>
      <c r="I18126" s="1092"/>
    </row>
    <row r="18127" spans="8:9">
      <c r="H18127" s="1092"/>
      <c r="I18127" s="1092"/>
    </row>
    <row r="18128" spans="8:9">
      <c r="H18128" s="1092"/>
      <c r="I18128" s="1092"/>
    </row>
    <row r="18129" spans="8:9">
      <c r="H18129" s="1092"/>
      <c r="I18129" s="1092"/>
    </row>
    <row r="18130" spans="8:9">
      <c r="H18130" s="1092"/>
      <c r="I18130" s="1092"/>
    </row>
    <row r="18131" spans="8:9">
      <c r="H18131" s="1092"/>
      <c r="I18131" s="1092"/>
    </row>
    <row r="18132" spans="8:9">
      <c r="H18132" s="1092"/>
      <c r="I18132" s="1092"/>
    </row>
    <row r="18133" spans="8:9">
      <c r="H18133" s="1092"/>
      <c r="I18133" s="1092"/>
    </row>
    <row r="18134" spans="8:9">
      <c r="H18134" s="1092"/>
      <c r="I18134" s="1092"/>
    </row>
    <row r="18135" spans="8:9">
      <c r="H18135" s="1092"/>
      <c r="I18135" s="1092"/>
    </row>
    <row r="18136" spans="8:9">
      <c r="H18136" s="1092"/>
      <c r="I18136" s="1092"/>
    </row>
    <row r="18137" spans="8:9">
      <c r="H18137" s="1092"/>
      <c r="I18137" s="1092"/>
    </row>
    <row r="18138" spans="8:9">
      <c r="H18138" s="1092"/>
      <c r="I18138" s="1092"/>
    </row>
    <row r="18139" spans="8:9">
      <c r="H18139" s="1092"/>
      <c r="I18139" s="1092"/>
    </row>
    <row r="18140" spans="8:9">
      <c r="H18140" s="1092"/>
      <c r="I18140" s="1092"/>
    </row>
    <row r="18141" spans="8:9">
      <c r="H18141" s="1092"/>
      <c r="I18141" s="1092"/>
    </row>
    <row r="18142" spans="8:9">
      <c r="H18142" s="1092"/>
      <c r="I18142" s="1092"/>
    </row>
    <row r="18143" spans="8:9">
      <c r="H18143" s="1092"/>
      <c r="I18143" s="1092"/>
    </row>
    <row r="18144" spans="8:9">
      <c r="H18144" s="1092"/>
      <c r="I18144" s="1092"/>
    </row>
    <row r="18145" spans="8:9">
      <c r="H18145" s="1092"/>
      <c r="I18145" s="1092"/>
    </row>
    <row r="18146" spans="8:9">
      <c r="H18146" s="1092"/>
      <c r="I18146" s="1092"/>
    </row>
    <row r="18147" spans="8:9">
      <c r="H18147" s="1092"/>
      <c r="I18147" s="1092"/>
    </row>
    <row r="18148" spans="8:9">
      <c r="H18148" s="1092"/>
      <c r="I18148" s="1092"/>
    </row>
    <row r="18149" spans="8:9">
      <c r="H18149" s="1092"/>
      <c r="I18149" s="1092"/>
    </row>
    <row r="18150" spans="8:9">
      <c r="H18150" s="1092"/>
      <c r="I18150" s="1092"/>
    </row>
    <row r="18151" spans="8:9">
      <c r="H18151" s="1092"/>
      <c r="I18151" s="1092"/>
    </row>
    <row r="18152" spans="8:9">
      <c r="H18152" s="1092"/>
      <c r="I18152" s="1092"/>
    </row>
    <row r="18153" spans="8:9">
      <c r="H18153" s="1092"/>
      <c r="I18153" s="1092"/>
    </row>
    <row r="18154" spans="8:9">
      <c r="H18154" s="1092"/>
      <c r="I18154" s="1092"/>
    </row>
    <row r="18155" spans="8:9">
      <c r="H18155" s="1092"/>
      <c r="I18155" s="1092"/>
    </row>
    <row r="18156" spans="8:9">
      <c r="H18156" s="1092"/>
      <c r="I18156" s="1092"/>
    </row>
    <row r="18157" spans="8:9">
      <c r="H18157" s="1092"/>
      <c r="I18157" s="1092"/>
    </row>
    <row r="18158" spans="8:9">
      <c r="H18158" s="1092"/>
      <c r="I18158" s="1092"/>
    </row>
    <row r="18159" spans="8:9">
      <c r="H18159" s="1092"/>
      <c r="I18159" s="1092"/>
    </row>
    <row r="18160" spans="8:9">
      <c r="H18160" s="1092"/>
      <c r="I18160" s="1092"/>
    </row>
    <row r="18161" spans="8:9">
      <c r="H18161" s="1092"/>
      <c r="I18161" s="1092"/>
    </row>
    <row r="18162" spans="8:9">
      <c r="H18162" s="1092"/>
      <c r="I18162" s="1092"/>
    </row>
    <row r="18163" spans="8:9">
      <c r="H18163" s="1092"/>
      <c r="I18163" s="1092"/>
    </row>
    <row r="18164" spans="8:9">
      <c r="H18164" s="1092"/>
      <c r="I18164" s="1092"/>
    </row>
    <row r="18165" spans="8:9">
      <c r="H18165" s="1092"/>
      <c r="I18165" s="1092"/>
    </row>
    <row r="18166" spans="8:9">
      <c r="H18166" s="1092"/>
      <c r="I18166" s="1092"/>
    </row>
    <row r="18167" spans="8:9">
      <c r="H18167" s="1092"/>
      <c r="I18167" s="1092"/>
    </row>
    <row r="18168" spans="8:9">
      <c r="H18168" s="1092"/>
      <c r="I18168" s="1092"/>
    </row>
    <row r="18169" spans="8:9">
      <c r="H18169" s="1092"/>
      <c r="I18169" s="1092"/>
    </row>
    <row r="18170" spans="8:9">
      <c r="H18170" s="1092"/>
      <c r="I18170" s="1092"/>
    </row>
    <row r="18171" spans="8:9">
      <c r="H18171" s="1092"/>
      <c r="I18171" s="1092"/>
    </row>
    <row r="18172" spans="8:9">
      <c r="H18172" s="1092"/>
      <c r="I18172" s="1092"/>
    </row>
    <row r="18173" spans="8:9">
      <c r="H18173" s="1092"/>
      <c r="I18173" s="1092"/>
    </row>
    <row r="18174" spans="8:9">
      <c r="H18174" s="1092"/>
      <c r="I18174" s="1092"/>
    </row>
    <row r="18175" spans="8:9">
      <c r="H18175" s="1092"/>
      <c r="I18175" s="1092"/>
    </row>
    <row r="18176" spans="8:9">
      <c r="H18176" s="1092"/>
      <c r="I18176" s="1092"/>
    </row>
    <row r="18177" spans="8:9">
      <c r="H18177" s="1092"/>
      <c r="I18177" s="1092"/>
    </row>
    <row r="18178" spans="8:9">
      <c r="H18178" s="1092"/>
      <c r="I18178" s="1092"/>
    </row>
    <row r="18179" spans="8:9">
      <c r="H18179" s="1092"/>
      <c r="I18179" s="1092"/>
    </row>
    <row r="18180" spans="8:9">
      <c r="H18180" s="1092"/>
      <c r="I18180" s="1092"/>
    </row>
    <row r="18181" spans="8:9">
      <c r="H18181" s="1092"/>
      <c r="I18181" s="1092"/>
    </row>
    <row r="18182" spans="8:9">
      <c r="H18182" s="1092"/>
      <c r="I18182" s="1092"/>
    </row>
    <row r="18183" spans="8:9">
      <c r="H18183" s="1092"/>
      <c r="I18183" s="1092"/>
    </row>
    <row r="18184" spans="8:9">
      <c r="H18184" s="1092"/>
      <c r="I18184" s="1092"/>
    </row>
    <row r="18185" spans="8:9">
      <c r="H18185" s="1092"/>
      <c r="I18185" s="1092"/>
    </row>
    <row r="18186" spans="8:9">
      <c r="H18186" s="1092"/>
      <c r="I18186" s="1092"/>
    </row>
    <row r="18187" spans="8:9">
      <c r="H18187" s="1092"/>
      <c r="I18187" s="1092"/>
    </row>
    <row r="18188" spans="8:9">
      <c r="H18188" s="1092"/>
      <c r="I18188" s="1092"/>
    </row>
    <row r="18189" spans="8:9">
      <c r="H18189" s="1092"/>
      <c r="I18189" s="1092"/>
    </row>
    <row r="18190" spans="8:9">
      <c r="H18190" s="1092"/>
      <c r="I18190" s="1092"/>
    </row>
    <row r="18191" spans="8:9">
      <c r="H18191" s="1092"/>
      <c r="I18191" s="1092"/>
    </row>
    <row r="18192" spans="8:9">
      <c r="H18192" s="1092"/>
      <c r="I18192" s="1092"/>
    </row>
    <row r="18193" spans="8:9">
      <c r="H18193" s="1092"/>
      <c r="I18193" s="1092"/>
    </row>
    <row r="18194" spans="8:9">
      <c r="H18194" s="1092"/>
      <c r="I18194" s="1092"/>
    </row>
    <row r="18195" spans="8:9">
      <c r="H18195" s="1092"/>
      <c r="I18195" s="1092"/>
    </row>
    <row r="18196" spans="8:9">
      <c r="H18196" s="1092"/>
      <c r="I18196" s="1092"/>
    </row>
    <row r="18197" spans="8:9">
      <c r="H18197" s="1092"/>
      <c r="I18197" s="1092"/>
    </row>
    <row r="18198" spans="8:9">
      <c r="H18198" s="1092"/>
      <c r="I18198" s="1092"/>
    </row>
    <row r="18199" spans="8:9">
      <c r="H18199" s="1092"/>
      <c r="I18199" s="1092"/>
    </row>
    <row r="18200" spans="8:9">
      <c r="H18200" s="1092"/>
      <c r="I18200" s="1092"/>
    </row>
    <row r="18201" spans="8:9">
      <c r="H18201" s="1092"/>
      <c r="I18201" s="1092"/>
    </row>
    <row r="18202" spans="8:9">
      <c r="H18202" s="1092"/>
      <c r="I18202" s="1092"/>
    </row>
    <row r="18203" spans="8:9">
      <c r="H18203" s="1092"/>
      <c r="I18203" s="1092"/>
    </row>
    <row r="18204" spans="8:9">
      <c r="H18204" s="1092"/>
      <c r="I18204" s="1092"/>
    </row>
    <row r="18205" spans="8:9">
      <c r="H18205" s="1092"/>
      <c r="I18205" s="1092"/>
    </row>
    <row r="18206" spans="8:9">
      <c r="H18206" s="1092"/>
      <c r="I18206" s="1092"/>
    </row>
    <row r="18207" spans="8:9">
      <c r="H18207" s="1092"/>
      <c r="I18207" s="1092"/>
    </row>
    <row r="18208" spans="8:9">
      <c r="H18208" s="1092"/>
      <c r="I18208" s="1092"/>
    </row>
    <row r="18209" spans="8:9">
      <c r="H18209" s="1092"/>
      <c r="I18209" s="1092"/>
    </row>
    <row r="18210" spans="8:9">
      <c r="H18210" s="1092"/>
      <c r="I18210" s="1092"/>
    </row>
    <row r="18211" spans="8:9">
      <c r="H18211" s="1092"/>
      <c r="I18211" s="1092"/>
    </row>
    <row r="18212" spans="8:9">
      <c r="H18212" s="1092"/>
      <c r="I18212" s="1092"/>
    </row>
    <row r="18213" spans="8:9">
      <c r="H18213" s="1092"/>
      <c r="I18213" s="1092"/>
    </row>
    <row r="18214" spans="8:9">
      <c r="H18214" s="1092"/>
      <c r="I18214" s="1092"/>
    </row>
    <row r="18215" spans="8:9">
      <c r="H18215" s="1092"/>
      <c r="I18215" s="1092"/>
    </row>
    <row r="18216" spans="8:9">
      <c r="H18216" s="1092"/>
      <c r="I18216" s="1092"/>
    </row>
    <row r="18217" spans="8:9">
      <c r="H18217" s="1092"/>
      <c r="I18217" s="1092"/>
    </row>
    <row r="18218" spans="8:9">
      <c r="H18218" s="1092"/>
      <c r="I18218" s="1092"/>
    </row>
    <row r="18219" spans="8:9">
      <c r="H18219" s="1092"/>
      <c r="I18219" s="1092"/>
    </row>
    <row r="18220" spans="8:9">
      <c r="H18220" s="1092"/>
      <c r="I18220" s="1092"/>
    </row>
    <row r="18221" spans="8:9">
      <c r="H18221" s="1092"/>
      <c r="I18221" s="1092"/>
    </row>
    <row r="18222" spans="8:9">
      <c r="H18222" s="1092"/>
      <c r="I18222" s="1092"/>
    </row>
    <row r="18223" spans="8:9">
      <c r="H18223" s="1092"/>
      <c r="I18223" s="1092"/>
    </row>
    <row r="18224" spans="8:9">
      <c r="H18224" s="1092"/>
      <c r="I18224" s="1092"/>
    </row>
    <row r="18225" spans="8:9">
      <c r="H18225" s="1092"/>
      <c r="I18225" s="1092"/>
    </row>
    <row r="18226" spans="8:9">
      <c r="H18226" s="1092"/>
      <c r="I18226" s="1092"/>
    </row>
    <row r="18227" spans="8:9">
      <c r="H18227" s="1092"/>
      <c r="I18227" s="1092"/>
    </row>
    <row r="18228" spans="8:9">
      <c r="H18228" s="1092"/>
      <c r="I18228" s="1092"/>
    </row>
    <row r="18229" spans="8:9">
      <c r="H18229" s="1092"/>
      <c r="I18229" s="1092"/>
    </row>
    <row r="18230" spans="8:9">
      <c r="H18230" s="1092"/>
      <c r="I18230" s="1092"/>
    </row>
    <row r="18231" spans="8:9">
      <c r="H18231" s="1092"/>
      <c r="I18231" s="1092"/>
    </row>
    <row r="18232" spans="8:9">
      <c r="H18232" s="1092"/>
      <c r="I18232" s="1092"/>
    </row>
    <row r="18233" spans="8:9">
      <c r="H18233" s="1092"/>
      <c r="I18233" s="1092"/>
    </row>
    <row r="18234" spans="8:9">
      <c r="H18234" s="1092"/>
      <c r="I18234" s="1092"/>
    </row>
    <row r="18235" spans="8:9">
      <c r="H18235" s="1092"/>
      <c r="I18235" s="1092"/>
    </row>
    <row r="18236" spans="8:9">
      <c r="H18236" s="1092"/>
      <c r="I18236" s="1092"/>
    </row>
    <row r="18237" spans="8:9">
      <c r="H18237" s="1092"/>
      <c r="I18237" s="1092"/>
    </row>
    <row r="18238" spans="8:9">
      <c r="H18238" s="1092"/>
      <c r="I18238" s="1092"/>
    </row>
    <row r="18239" spans="8:9">
      <c r="H18239" s="1092"/>
      <c r="I18239" s="1092"/>
    </row>
    <row r="18240" spans="8:9">
      <c r="H18240" s="1092"/>
      <c r="I18240" s="1092"/>
    </row>
    <row r="18241" spans="8:9">
      <c r="H18241" s="1092"/>
      <c r="I18241" s="1092"/>
    </row>
    <row r="18242" spans="8:9">
      <c r="H18242" s="1092"/>
      <c r="I18242" s="1092"/>
    </row>
    <row r="18243" spans="8:9">
      <c r="H18243" s="1092"/>
      <c r="I18243" s="1092"/>
    </row>
    <row r="18244" spans="8:9">
      <c r="H18244" s="1092"/>
      <c r="I18244" s="1092"/>
    </row>
    <row r="18245" spans="8:9">
      <c r="H18245" s="1092"/>
      <c r="I18245" s="1092"/>
    </row>
    <row r="18246" spans="8:9">
      <c r="H18246" s="1092"/>
      <c r="I18246" s="1092"/>
    </row>
    <row r="18247" spans="8:9">
      <c r="H18247" s="1092"/>
      <c r="I18247" s="1092"/>
    </row>
    <row r="18248" spans="8:9">
      <c r="H18248" s="1092"/>
      <c r="I18248" s="1092"/>
    </row>
    <row r="18249" spans="8:9">
      <c r="H18249" s="1092"/>
      <c r="I18249" s="1092"/>
    </row>
    <row r="18250" spans="8:9">
      <c r="H18250" s="1092"/>
      <c r="I18250" s="1092"/>
    </row>
    <row r="18251" spans="8:9">
      <c r="H18251" s="1092"/>
      <c r="I18251" s="1092"/>
    </row>
    <row r="18252" spans="8:9">
      <c r="H18252" s="1092"/>
      <c r="I18252" s="1092"/>
    </row>
    <row r="18253" spans="8:9">
      <c r="H18253" s="1092"/>
      <c r="I18253" s="1092"/>
    </row>
    <row r="18254" spans="8:9">
      <c r="H18254" s="1092"/>
      <c r="I18254" s="1092"/>
    </row>
    <row r="18255" spans="8:9">
      <c r="H18255" s="1092"/>
      <c r="I18255" s="1092"/>
    </row>
    <row r="18256" spans="8:9">
      <c r="H18256" s="1092"/>
      <c r="I18256" s="1092"/>
    </row>
    <row r="18257" spans="8:9">
      <c r="H18257" s="1092"/>
      <c r="I18257" s="1092"/>
    </row>
    <row r="18258" spans="8:9">
      <c r="H18258" s="1092"/>
      <c r="I18258" s="1092"/>
    </row>
    <row r="18259" spans="8:9">
      <c r="H18259" s="1092"/>
      <c r="I18259" s="1092"/>
    </row>
    <row r="18260" spans="8:9">
      <c r="H18260" s="1092"/>
      <c r="I18260" s="1092"/>
    </row>
    <row r="18261" spans="8:9">
      <c r="H18261" s="1092"/>
      <c r="I18261" s="1092"/>
    </row>
    <row r="18262" spans="8:9">
      <c r="H18262" s="1092"/>
      <c r="I18262" s="1092"/>
    </row>
    <row r="18263" spans="8:9">
      <c r="H18263" s="1092"/>
      <c r="I18263" s="1092"/>
    </row>
    <row r="18264" spans="8:9">
      <c r="H18264" s="1092"/>
      <c r="I18264" s="1092"/>
    </row>
    <row r="18265" spans="8:9">
      <c r="H18265" s="1092"/>
      <c r="I18265" s="1092"/>
    </row>
    <row r="18266" spans="8:9">
      <c r="H18266" s="1092"/>
      <c r="I18266" s="1092"/>
    </row>
    <row r="18267" spans="8:9">
      <c r="H18267" s="1092"/>
      <c r="I18267" s="1092"/>
    </row>
    <row r="18268" spans="8:9">
      <c r="H18268" s="1092"/>
      <c r="I18268" s="1092"/>
    </row>
    <row r="18269" spans="8:9">
      <c r="H18269" s="1092"/>
      <c r="I18269" s="1092"/>
    </row>
    <row r="18270" spans="8:9">
      <c r="H18270" s="1092"/>
      <c r="I18270" s="1092"/>
    </row>
    <row r="18271" spans="8:9">
      <c r="H18271" s="1092"/>
      <c r="I18271" s="1092"/>
    </row>
    <row r="18272" spans="8:9">
      <c r="H18272" s="1092"/>
      <c r="I18272" s="1092"/>
    </row>
    <row r="18273" spans="8:9">
      <c r="H18273" s="1092"/>
      <c r="I18273" s="1092"/>
    </row>
    <row r="18274" spans="8:9">
      <c r="H18274" s="1092"/>
      <c r="I18274" s="1092"/>
    </row>
    <row r="18275" spans="8:9">
      <c r="H18275" s="1092"/>
      <c r="I18275" s="1092"/>
    </row>
    <row r="18276" spans="8:9">
      <c r="H18276" s="1092"/>
      <c r="I18276" s="1092"/>
    </row>
    <row r="18277" spans="8:9">
      <c r="H18277" s="1092"/>
      <c r="I18277" s="1092"/>
    </row>
    <row r="18278" spans="8:9">
      <c r="H18278" s="1092"/>
      <c r="I18278" s="1092"/>
    </row>
    <row r="18279" spans="8:9">
      <c r="H18279" s="1092"/>
      <c r="I18279" s="1092"/>
    </row>
    <row r="18280" spans="8:9">
      <c r="H18280" s="1092"/>
      <c r="I18280" s="1092"/>
    </row>
    <row r="18281" spans="8:9">
      <c r="H18281" s="1092"/>
      <c r="I18281" s="1092"/>
    </row>
    <row r="18282" spans="8:9">
      <c r="H18282" s="1092"/>
      <c r="I18282" s="1092"/>
    </row>
    <row r="18283" spans="8:9">
      <c r="H18283" s="1092"/>
      <c r="I18283" s="1092"/>
    </row>
    <row r="18284" spans="8:9">
      <c r="H18284" s="1092"/>
      <c r="I18284" s="1092"/>
    </row>
    <row r="18285" spans="8:9">
      <c r="H18285" s="1092"/>
      <c r="I18285" s="1092"/>
    </row>
    <row r="18286" spans="8:9">
      <c r="H18286" s="1092"/>
      <c r="I18286" s="1092"/>
    </row>
    <row r="18287" spans="8:9">
      <c r="H18287" s="1092"/>
      <c r="I18287" s="1092"/>
    </row>
    <row r="18288" spans="8:9">
      <c r="H18288" s="1092"/>
      <c r="I18288" s="1092"/>
    </row>
    <row r="18289" spans="8:9">
      <c r="H18289" s="1092"/>
      <c r="I18289" s="1092"/>
    </row>
    <row r="18290" spans="8:9">
      <c r="H18290" s="1092"/>
      <c r="I18290" s="1092"/>
    </row>
    <row r="18291" spans="8:9">
      <c r="H18291" s="1092"/>
      <c r="I18291" s="1092"/>
    </row>
    <row r="18292" spans="8:9">
      <c r="H18292" s="1092"/>
      <c r="I18292" s="1092"/>
    </row>
    <row r="18293" spans="8:9">
      <c r="H18293" s="1092"/>
      <c r="I18293" s="1092"/>
    </row>
    <row r="18294" spans="8:9">
      <c r="H18294" s="1092"/>
      <c r="I18294" s="1092"/>
    </row>
    <row r="18295" spans="8:9">
      <c r="H18295" s="1092"/>
      <c r="I18295" s="1092"/>
    </row>
    <row r="18296" spans="8:9">
      <c r="H18296" s="1092"/>
      <c r="I18296" s="1092"/>
    </row>
    <row r="18297" spans="8:9">
      <c r="H18297" s="1092"/>
      <c r="I18297" s="1092"/>
    </row>
    <row r="18298" spans="8:9">
      <c r="H18298" s="1092"/>
      <c r="I18298" s="1092"/>
    </row>
    <row r="18299" spans="8:9">
      <c r="H18299" s="1092"/>
      <c r="I18299" s="1092"/>
    </row>
    <row r="18300" spans="8:9">
      <c r="H18300" s="1092"/>
      <c r="I18300" s="1092"/>
    </row>
    <row r="18301" spans="8:9">
      <c r="H18301" s="1092"/>
      <c r="I18301" s="1092"/>
    </row>
    <row r="18302" spans="8:9">
      <c r="H18302" s="1092"/>
      <c r="I18302" s="1092"/>
    </row>
    <row r="18303" spans="8:9">
      <c r="H18303" s="1092"/>
      <c r="I18303" s="1092"/>
    </row>
    <row r="18304" spans="8:9">
      <c r="H18304" s="1092"/>
      <c r="I18304" s="1092"/>
    </row>
    <row r="18305" spans="8:9">
      <c r="H18305" s="1092"/>
      <c r="I18305" s="1092"/>
    </row>
    <row r="18306" spans="8:9">
      <c r="H18306" s="1092"/>
      <c r="I18306" s="1092"/>
    </row>
    <row r="18307" spans="8:9">
      <c r="H18307" s="1092"/>
      <c r="I18307" s="1092"/>
    </row>
    <row r="18308" spans="8:9">
      <c r="H18308" s="1092"/>
      <c r="I18308" s="1092"/>
    </row>
    <row r="18309" spans="8:9">
      <c r="H18309" s="1092"/>
      <c r="I18309" s="1092"/>
    </row>
    <row r="18310" spans="8:9">
      <c r="H18310" s="1092"/>
      <c r="I18310" s="1092"/>
    </row>
    <row r="18311" spans="8:9">
      <c r="H18311" s="1092"/>
      <c r="I18311" s="1092"/>
    </row>
    <row r="18312" spans="8:9">
      <c r="H18312" s="1092"/>
      <c r="I18312" s="1092"/>
    </row>
    <row r="18313" spans="8:9">
      <c r="H18313" s="1092"/>
      <c r="I18313" s="1092"/>
    </row>
    <row r="18314" spans="8:9">
      <c r="H18314" s="1092"/>
      <c r="I18314" s="1092"/>
    </row>
    <row r="18315" spans="8:9">
      <c r="H18315" s="1092"/>
      <c r="I18315" s="1092"/>
    </row>
    <row r="18316" spans="8:9">
      <c r="H18316" s="1092"/>
      <c r="I18316" s="1092"/>
    </row>
    <row r="18317" spans="8:9">
      <c r="H18317" s="1092"/>
      <c r="I18317" s="1092"/>
    </row>
    <row r="18318" spans="8:9">
      <c r="H18318" s="1092"/>
      <c r="I18318" s="1092"/>
    </row>
    <row r="18319" spans="8:9">
      <c r="H18319" s="1092"/>
      <c r="I18319" s="1092"/>
    </row>
    <row r="18320" spans="8:9">
      <c r="H18320" s="1092"/>
      <c r="I18320" s="1092"/>
    </row>
    <row r="18321" spans="8:9">
      <c r="H18321" s="1092"/>
      <c r="I18321" s="1092"/>
    </row>
    <row r="18322" spans="8:9">
      <c r="H18322" s="1092"/>
      <c r="I18322" s="1092"/>
    </row>
    <row r="18323" spans="8:9">
      <c r="H18323" s="1092"/>
      <c r="I18323" s="1092"/>
    </row>
    <row r="18324" spans="8:9">
      <c r="H18324" s="1092"/>
      <c r="I18324" s="1092"/>
    </row>
    <row r="18325" spans="8:9">
      <c r="H18325" s="1092"/>
      <c r="I18325" s="1092"/>
    </row>
    <row r="18326" spans="8:9">
      <c r="H18326" s="1092"/>
      <c r="I18326" s="1092"/>
    </row>
    <row r="18327" spans="8:9">
      <c r="H18327" s="1092"/>
      <c r="I18327" s="1092"/>
    </row>
    <row r="18328" spans="8:9">
      <c r="H18328" s="1092"/>
      <c r="I18328" s="1092"/>
    </row>
    <row r="18329" spans="8:9">
      <c r="H18329" s="1092"/>
      <c r="I18329" s="1092"/>
    </row>
    <row r="18330" spans="8:9">
      <c r="H18330" s="1092"/>
      <c r="I18330" s="1092"/>
    </row>
    <row r="18331" spans="8:9">
      <c r="H18331" s="1092"/>
      <c r="I18331" s="1092"/>
    </row>
    <row r="18332" spans="8:9">
      <c r="H18332" s="1092"/>
      <c r="I18332" s="1092"/>
    </row>
    <row r="18333" spans="8:9">
      <c r="H18333" s="1092"/>
      <c r="I18333" s="1092"/>
    </row>
    <row r="18334" spans="8:9">
      <c r="H18334" s="1092"/>
      <c r="I18334" s="1092"/>
    </row>
    <row r="18335" spans="8:9">
      <c r="H18335" s="1092"/>
      <c r="I18335" s="1092"/>
    </row>
    <row r="18336" spans="8:9">
      <c r="H18336" s="1092"/>
      <c r="I18336" s="1092"/>
    </row>
    <row r="18337" spans="8:9">
      <c r="H18337" s="1092"/>
      <c r="I18337" s="1092"/>
    </row>
    <row r="18338" spans="8:9">
      <c r="H18338" s="1092"/>
      <c r="I18338" s="1092"/>
    </row>
    <row r="18339" spans="8:9">
      <c r="H18339" s="1092"/>
      <c r="I18339" s="1092"/>
    </row>
    <row r="18340" spans="8:9">
      <c r="H18340" s="1092"/>
      <c r="I18340" s="1092"/>
    </row>
    <row r="18341" spans="8:9">
      <c r="H18341" s="1092"/>
      <c r="I18341" s="1092"/>
    </row>
    <row r="18342" spans="8:9">
      <c r="H18342" s="1092"/>
      <c r="I18342" s="1092"/>
    </row>
    <row r="18343" spans="8:9">
      <c r="H18343" s="1092"/>
      <c r="I18343" s="1092"/>
    </row>
    <row r="18344" spans="8:9">
      <c r="H18344" s="1092"/>
      <c r="I18344" s="1092"/>
    </row>
    <row r="18345" spans="8:9">
      <c r="H18345" s="1092"/>
      <c r="I18345" s="1092"/>
    </row>
    <row r="18346" spans="8:9">
      <c r="H18346" s="1092"/>
      <c r="I18346" s="1092"/>
    </row>
    <row r="18347" spans="8:9">
      <c r="H18347" s="1092"/>
      <c r="I18347" s="1092"/>
    </row>
    <row r="18348" spans="8:9">
      <c r="H18348" s="1092"/>
      <c r="I18348" s="1092"/>
    </row>
    <row r="18349" spans="8:9">
      <c r="H18349" s="1092"/>
      <c r="I18349" s="1092"/>
    </row>
    <row r="18350" spans="8:9">
      <c r="H18350" s="1092"/>
      <c r="I18350" s="1092"/>
    </row>
    <row r="18351" spans="8:9">
      <c r="H18351" s="1092"/>
      <c r="I18351" s="1092"/>
    </row>
    <row r="18352" spans="8:9">
      <c r="H18352" s="1092"/>
      <c r="I18352" s="1092"/>
    </row>
    <row r="18353" spans="8:9">
      <c r="H18353" s="1092"/>
      <c r="I18353" s="1092"/>
    </row>
    <row r="18354" spans="8:9">
      <c r="H18354" s="1092"/>
      <c r="I18354" s="1092"/>
    </row>
    <row r="18355" spans="8:9">
      <c r="H18355" s="1092"/>
      <c r="I18355" s="1092"/>
    </row>
    <row r="18356" spans="8:9">
      <c r="H18356" s="1092"/>
      <c r="I18356" s="1092"/>
    </row>
    <row r="18357" spans="8:9">
      <c r="H18357" s="1092"/>
      <c r="I18357" s="1092"/>
    </row>
    <row r="18358" spans="8:9">
      <c r="H18358" s="1092"/>
      <c r="I18358" s="1092"/>
    </row>
    <row r="18359" spans="8:9">
      <c r="H18359" s="1092"/>
      <c r="I18359" s="1092"/>
    </row>
    <row r="18360" spans="8:9">
      <c r="H18360" s="1092"/>
      <c r="I18360" s="1092"/>
    </row>
    <row r="18361" spans="8:9">
      <c r="H18361" s="1092"/>
      <c r="I18361" s="1092"/>
    </row>
    <row r="18362" spans="8:9">
      <c r="H18362" s="1092"/>
      <c r="I18362" s="1092"/>
    </row>
    <row r="18363" spans="8:9">
      <c r="H18363" s="1092"/>
      <c r="I18363" s="1092"/>
    </row>
    <row r="18364" spans="8:9">
      <c r="H18364" s="1092"/>
      <c r="I18364" s="1092"/>
    </row>
    <row r="18365" spans="8:9">
      <c r="H18365" s="1092"/>
      <c r="I18365" s="1092"/>
    </row>
    <row r="18366" spans="8:9">
      <c r="H18366" s="1092"/>
      <c r="I18366" s="1092"/>
    </row>
    <row r="18367" spans="8:9">
      <c r="H18367" s="1092"/>
      <c r="I18367" s="1092"/>
    </row>
    <row r="18368" spans="8:9">
      <c r="H18368" s="1092"/>
      <c r="I18368" s="1092"/>
    </row>
    <row r="18369" spans="8:9">
      <c r="H18369" s="1092"/>
      <c r="I18369" s="1092"/>
    </row>
    <row r="18370" spans="8:9">
      <c r="H18370" s="1092"/>
      <c r="I18370" s="1092"/>
    </row>
    <row r="18371" spans="8:9">
      <c r="H18371" s="1092"/>
      <c r="I18371" s="1092"/>
    </row>
    <row r="18372" spans="8:9">
      <c r="H18372" s="1092"/>
      <c r="I18372" s="1092"/>
    </row>
    <row r="18373" spans="8:9">
      <c r="H18373" s="1092"/>
      <c r="I18373" s="1092"/>
    </row>
    <row r="18374" spans="8:9">
      <c r="H18374" s="1092"/>
      <c r="I18374" s="1092"/>
    </row>
    <row r="18375" spans="8:9">
      <c r="H18375" s="1092"/>
      <c r="I18375" s="1092"/>
    </row>
    <row r="18376" spans="8:9">
      <c r="H18376" s="1092"/>
      <c r="I18376" s="1092"/>
    </row>
    <row r="18377" spans="8:9">
      <c r="H18377" s="1092"/>
      <c r="I18377" s="1092"/>
    </row>
    <row r="18378" spans="8:9">
      <c r="H18378" s="1092"/>
      <c r="I18378" s="1092"/>
    </row>
    <row r="18379" spans="8:9">
      <c r="H18379" s="1092"/>
      <c r="I18379" s="1092"/>
    </row>
    <row r="18380" spans="8:9">
      <c r="H18380" s="1092"/>
      <c r="I18380" s="1092"/>
    </row>
    <row r="18381" spans="8:9">
      <c r="H18381" s="1092"/>
      <c r="I18381" s="1092"/>
    </row>
    <row r="18382" spans="8:9">
      <c r="H18382" s="1092"/>
      <c r="I18382" s="1092"/>
    </row>
    <row r="18383" spans="8:9">
      <c r="H18383" s="1092"/>
      <c r="I18383" s="1092"/>
    </row>
    <row r="18384" spans="8:9">
      <c r="H18384" s="1092"/>
      <c r="I18384" s="1092"/>
    </row>
    <row r="18385" spans="8:9">
      <c r="H18385" s="1092"/>
      <c r="I18385" s="1092"/>
    </row>
    <row r="18386" spans="8:9">
      <c r="H18386" s="1092"/>
      <c r="I18386" s="1092"/>
    </row>
    <row r="18387" spans="8:9">
      <c r="H18387" s="1092"/>
      <c r="I18387" s="1092"/>
    </row>
    <row r="18388" spans="8:9">
      <c r="H18388" s="1092"/>
      <c r="I18388" s="1092"/>
    </row>
    <row r="18389" spans="8:9">
      <c r="H18389" s="1092"/>
      <c r="I18389" s="1092"/>
    </row>
    <row r="18390" spans="8:9">
      <c r="H18390" s="1092"/>
      <c r="I18390" s="1092"/>
    </row>
    <row r="18391" spans="8:9">
      <c r="H18391" s="1092"/>
      <c r="I18391" s="1092"/>
    </row>
    <row r="18392" spans="8:9">
      <c r="H18392" s="1092"/>
      <c r="I18392" s="1092"/>
    </row>
    <row r="18393" spans="8:9">
      <c r="H18393" s="1092"/>
      <c r="I18393" s="1092"/>
    </row>
    <row r="18394" spans="8:9">
      <c r="H18394" s="1092"/>
      <c r="I18394" s="1092"/>
    </row>
    <row r="18395" spans="8:9">
      <c r="H18395" s="1092"/>
      <c r="I18395" s="1092"/>
    </row>
    <row r="18396" spans="8:9">
      <c r="H18396" s="1092"/>
      <c r="I18396" s="1092"/>
    </row>
    <row r="18397" spans="8:9">
      <c r="H18397" s="1092"/>
      <c r="I18397" s="1092"/>
    </row>
    <row r="18398" spans="8:9">
      <c r="H18398" s="1092"/>
      <c r="I18398" s="1092"/>
    </row>
    <row r="18399" spans="8:9">
      <c r="H18399" s="1092"/>
      <c r="I18399" s="1092"/>
    </row>
    <row r="18400" spans="8:9">
      <c r="H18400" s="1092"/>
      <c r="I18400" s="1092"/>
    </row>
    <row r="18401" spans="8:9">
      <c r="H18401" s="1092"/>
      <c r="I18401" s="1092"/>
    </row>
    <row r="18402" spans="8:9">
      <c r="H18402" s="1092"/>
      <c r="I18402" s="1092"/>
    </row>
    <row r="18403" spans="8:9">
      <c r="H18403" s="1092"/>
      <c r="I18403" s="1092"/>
    </row>
    <row r="18404" spans="8:9">
      <c r="H18404" s="1092"/>
      <c r="I18404" s="1092"/>
    </row>
    <row r="18405" spans="8:9">
      <c r="H18405" s="1092"/>
      <c r="I18405" s="1092"/>
    </row>
    <row r="18406" spans="8:9">
      <c r="H18406" s="1092"/>
      <c r="I18406" s="1092"/>
    </row>
    <row r="18407" spans="8:9">
      <c r="H18407" s="1092"/>
      <c r="I18407" s="1092"/>
    </row>
    <row r="18408" spans="8:9">
      <c r="H18408" s="1092"/>
      <c r="I18408" s="1092"/>
    </row>
    <row r="18409" spans="8:9">
      <c r="H18409" s="1092"/>
      <c r="I18409" s="1092"/>
    </row>
    <row r="18410" spans="8:9">
      <c r="H18410" s="1092"/>
      <c r="I18410" s="1092"/>
    </row>
    <row r="18411" spans="8:9">
      <c r="H18411" s="1092"/>
      <c r="I18411" s="1092"/>
    </row>
    <row r="18412" spans="8:9">
      <c r="H18412" s="1092"/>
      <c r="I18412" s="1092"/>
    </row>
    <row r="18413" spans="8:9">
      <c r="H18413" s="1092"/>
      <c r="I18413" s="1092"/>
    </row>
    <row r="18414" spans="8:9">
      <c r="H18414" s="1092"/>
      <c r="I18414" s="1092"/>
    </row>
    <row r="18415" spans="8:9">
      <c r="H18415" s="1092"/>
      <c r="I18415" s="1092"/>
    </row>
    <row r="18416" spans="8:9">
      <c r="H18416" s="1092"/>
      <c r="I18416" s="1092"/>
    </row>
    <row r="18417" spans="8:9">
      <c r="H18417" s="1092"/>
      <c r="I18417" s="1092"/>
    </row>
    <row r="18418" spans="8:9">
      <c r="H18418" s="1092"/>
      <c r="I18418" s="1092"/>
    </row>
    <row r="18419" spans="8:9">
      <c r="H18419" s="1092"/>
      <c r="I18419" s="1092"/>
    </row>
    <row r="18420" spans="8:9">
      <c r="H18420" s="1092"/>
      <c r="I18420" s="1092"/>
    </row>
    <row r="18421" spans="8:9">
      <c r="H18421" s="1092"/>
      <c r="I18421" s="1092"/>
    </row>
    <row r="18422" spans="8:9">
      <c r="H18422" s="1092"/>
      <c r="I18422" s="1092"/>
    </row>
    <row r="18423" spans="8:9">
      <c r="H18423" s="1092"/>
      <c r="I18423" s="1092"/>
    </row>
    <row r="18424" spans="8:9">
      <c r="H18424" s="1092"/>
      <c r="I18424" s="1092"/>
    </row>
    <row r="18425" spans="8:9">
      <c r="H18425" s="1092"/>
      <c r="I18425" s="1092"/>
    </row>
    <row r="18426" spans="8:9">
      <c r="H18426" s="1092"/>
      <c r="I18426" s="1092"/>
    </row>
    <row r="18427" spans="8:9">
      <c r="H18427" s="1092"/>
      <c r="I18427" s="1092"/>
    </row>
    <row r="18428" spans="8:9">
      <c r="H18428" s="1092"/>
      <c r="I18428" s="1092"/>
    </row>
    <row r="18429" spans="8:9">
      <c r="H18429" s="1092"/>
      <c r="I18429" s="1092"/>
    </row>
    <row r="18430" spans="8:9">
      <c r="H18430" s="1092"/>
      <c r="I18430" s="1092"/>
    </row>
    <row r="18431" spans="8:9">
      <c r="H18431" s="1092"/>
      <c r="I18431" s="1092"/>
    </row>
    <row r="18432" spans="8:9">
      <c r="H18432" s="1092"/>
      <c r="I18432" s="1092"/>
    </row>
    <row r="18433" spans="8:9">
      <c r="H18433" s="1092"/>
      <c r="I18433" s="1092"/>
    </row>
    <row r="18434" spans="8:9">
      <c r="H18434" s="1092"/>
      <c r="I18434" s="1092"/>
    </row>
    <row r="18435" spans="8:9">
      <c r="H18435" s="1092"/>
      <c r="I18435" s="1092"/>
    </row>
    <row r="18436" spans="8:9">
      <c r="H18436" s="1092"/>
      <c r="I18436" s="1092"/>
    </row>
    <row r="18437" spans="8:9">
      <c r="H18437" s="1092"/>
      <c r="I18437" s="1092"/>
    </row>
    <row r="18438" spans="8:9">
      <c r="H18438" s="1092"/>
      <c r="I18438" s="1092"/>
    </row>
    <row r="18439" spans="8:9">
      <c r="H18439" s="1092"/>
      <c r="I18439" s="1092"/>
    </row>
    <row r="18440" spans="8:9">
      <c r="H18440" s="1092"/>
      <c r="I18440" s="1092"/>
    </row>
    <row r="18441" spans="8:9">
      <c r="H18441" s="1092"/>
      <c r="I18441" s="1092"/>
    </row>
    <row r="18442" spans="8:9">
      <c r="H18442" s="1092"/>
      <c r="I18442" s="1092"/>
    </row>
    <row r="18443" spans="8:9">
      <c r="H18443" s="1092"/>
      <c r="I18443" s="1092"/>
    </row>
    <row r="18444" spans="8:9">
      <c r="H18444" s="1092"/>
      <c r="I18444" s="1092"/>
    </row>
    <row r="18445" spans="8:9">
      <c r="H18445" s="1092"/>
      <c r="I18445" s="1092"/>
    </row>
    <row r="18446" spans="8:9">
      <c r="H18446" s="1092"/>
      <c r="I18446" s="1092"/>
    </row>
    <row r="18447" spans="8:9">
      <c r="H18447" s="1092"/>
      <c r="I18447" s="1092"/>
    </row>
    <row r="18448" spans="8:9">
      <c r="H18448" s="1092"/>
      <c r="I18448" s="1092"/>
    </row>
    <row r="18449" spans="8:9">
      <c r="H18449" s="1092"/>
      <c r="I18449" s="1092"/>
    </row>
    <row r="18450" spans="8:9">
      <c r="H18450" s="1092"/>
      <c r="I18450" s="1092"/>
    </row>
    <row r="18451" spans="8:9">
      <c r="H18451" s="1092"/>
      <c r="I18451" s="1092"/>
    </row>
    <row r="18452" spans="8:9">
      <c r="H18452" s="1092"/>
      <c r="I18452" s="1092"/>
    </row>
    <row r="18453" spans="8:9">
      <c r="H18453" s="1092"/>
      <c r="I18453" s="1092"/>
    </row>
    <row r="18454" spans="8:9">
      <c r="H18454" s="1092"/>
      <c r="I18454" s="1092"/>
    </row>
    <row r="18455" spans="8:9">
      <c r="H18455" s="1092"/>
      <c r="I18455" s="1092"/>
    </row>
    <row r="18456" spans="8:9">
      <c r="H18456" s="1092"/>
      <c r="I18456" s="1092"/>
    </row>
    <row r="18457" spans="8:9">
      <c r="H18457" s="1092"/>
      <c r="I18457" s="1092"/>
    </row>
    <row r="18458" spans="8:9">
      <c r="H18458" s="1092"/>
      <c r="I18458" s="1092"/>
    </row>
    <row r="18459" spans="8:9">
      <c r="H18459" s="1092"/>
      <c r="I18459" s="1092"/>
    </row>
    <row r="18460" spans="8:9">
      <c r="H18460" s="1092"/>
      <c r="I18460" s="1092"/>
    </row>
    <row r="18461" spans="8:9">
      <c r="H18461" s="1092"/>
      <c r="I18461" s="1092"/>
    </row>
    <row r="18462" spans="8:9">
      <c r="H18462" s="1092"/>
      <c r="I18462" s="1092"/>
    </row>
    <row r="18463" spans="8:9">
      <c r="H18463" s="1092"/>
      <c r="I18463" s="1092"/>
    </row>
    <row r="18464" spans="8:9">
      <c r="H18464" s="1092"/>
      <c r="I18464" s="1092"/>
    </row>
    <row r="18465" spans="8:9">
      <c r="H18465" s="1092"/>
      <c r="I18465" s="1092"/>
    </row>
    <row r="18466" spans="8:9">
      <c r="H18466" s="1092"/>
      <c r="I18466" s="1092"/>
    </row>
    <row r="18467" spans="8:9">
      <c r="H18467" s="1092"/>
      <c r="I18467" s="1092"/>
    </row>
    <row r="18468" spans="8:9">
      <c r="H18468" s="1092"/>
      <c r="I18468" s="1092"/>
    </row>
    <row r="18469" spans="8:9">
      <c r="H18469" s="1092"/>
      <c r="I18469" s="1092"/>
    </row>
    <row r="18470" spans="8:9">
      <c r="H18470" s="1092"/>
      <c r="I18470" s="1092"/>
    </row>
    <row r="18471" spans="8:9">
      <c r="H18471" s="1092"/>
      <c r="I18471" s="1092"/>
    </row>
    <row r="18472" spans="8:9">
      <c r="H18472" s="1092"/>
      <c r="I18472" s="1092"/>
    </row>
    <row r="18473" spans="8:9">
      <c r="H18473" s="1092"/>
      <c r="I18473" s="1092"/>
    </row>
    <row r="18474" spans="8:9">
      <c r="H18474" s="1092"/>
      <c r="I18474" s="1092"/>
    </row>
    <row r="18475" spans="8:9">
      <c r="H18475" s="1092"/>
      <c r="I18475" s="1092"/>
    </row>
    <row r="18476" spans="8:9">
      <c r="H18476" s="1092"/>
      <c r="I18476" s="1092"/>
    </row>
    <row r="18477" spans="8:9">
      <c r="H18477" s="1092"/>
      <c r="I18477" s="1092"/>
    </row>
    <row r="18478" spans="8:9">
      <c r="H18478" s="1092"/>
      <c r="I18478" s="1092"/>
    </row>
    <row r="18479" spans="8:9">
      <c r="H18479" s="1092"/>
      <c r="I18479" s="1092"/>
    </row>
    <row r="18480" spans="8:9">
      <c r="H18480" s="1092"/>
      <c r="I18480" s="1092"/>
    </row>
    <row r="18481" spans="8:9">
      <c r="H18481" s="1092"/>
      <c r="I18481" s="1092"/>
    </row>
    <row r="18482" spans="8:9">
      <c r="H18482" s="1092"/>
      <c r="I18482" s="1092"/>
    </row>
    <row r="18483" spans="8:9">
      <c r="H18483" s="1092"/>
      <c r="I18483" s="1092"/>
    </row>
    <row r="18484" spans="8:9">
      <c r="H18484" s="1092"/>
      <c r="I18484" s="1092"/>
    </row>
    <row r="18485" spans="8:9">
      <c r="H18485" s="1092"/>
      <c r="I18485" s="1092"/>
    </row>
    <row r="18486" spans="8:9">
      <c r="H18486" s="1092"/>
      <c r="I18486" s="1092"/>
    </row>
    <row r="18487" spans="8:9">
      <c r="H18487" s="1092"/>
      <c r="I18487" s="1092"/>
    </row>
    <row r="18488" spans="8:9">
      <c r="H18488" s="1092"/>
      <c r="I18488" s="1092"/>
    </row>
    <row r="18489" spans="8:9">
      <c r="H18489" s="1092"/>
      <c r="I18489" s="1092"/>
    </row>
    <row r="18490" spans="8:9">
      <c r="H18490" s="1092"/>
      <c r="I18490" s="1092"/>
    </row>
    <row r="18491" spans="8:9">
      <c r="H18491" s="1092"/>
      <c r="I18491" s="1092"/>
    </row>
    <row r="18492" spans="8:9">
      <c r="H18492" s="1092"/>
      <c r="I18492" s="1092"/>
    </row>
    <row r="18493" spans="8:9">
      <c r="H18493" s="1092"/>
      <c r="I18493" s="1092"/>
    </row>
    <row r="18494" spans="8:9">
      <c r="H18494" s="1092"/>
      <c r="I18494" s="1092"/>
    </row>
    <row r="18495" spans="8:9">
      <c r="H18495" s="1092"/>
      <c r="I18495" s="1092"/>
    </row>
    <row r="18496" spans="8:9">
      <c r="H18496" s="1092"/>
      <c r="I18496" s="1092"/>
    </row>
    <row r="18497" spans="8:9">
      <c r="H18497" s="1092"/>
      <c r="I18497" s="1092"/>
    </row>
    <row r="18498" spans="8:9">
      <c r="H18498" s="1092"/>
      <c r="I18498" s="1092"/>
    </row>
    <row r="18499" spans="8:9">
      <c r="H18499" s="1092"/>
      <c r="I18499" s="1092"/>
    </row>
    <row r="18500" spans="8:9">
      <c r="H18500" s="1092"/>
      <c r="I18500" s="1092"/>
    </row>
    <row r="18501" spans="8:9">
      <c r="H18501" s="1092"/>
      <c r="I18501" s="1092"/>
    </row>
    <row r="18502" spans="8:9">
      <c r="H18502" s="1092"/>
      <c r="I18502" s="1092"/>
    </row>
    <row r="18503" spans="8:9">
      <c r="H18503" s="1092"/>
      <c r="I18503" s="1092"/>
    </row>
    <row r="18504" spans="8:9">
      <c r="H18504" s="1092"/>
      <c r="I18504" s="1092"/>
    </row>
    <row r="18505" spans="8:9">
      <c r="H18505" s="1092"/>
      <c r="I18505" s="1092"/>
    </row>
    <row r="18506" spans="8:9">
      <c r="H18506" s="1092"/>
      <c r="I18506" s="1092"/>
    </row>
    <row r="18507" spans="8:9">
      <c r="H18507" s="1092"/>
      <c r="I18507" s="1092"/>
    </row>
    <row r="18508" spans="8:9">
      <c r="H18508" s="1092"/>
      <c r="I18508" s="1092"/>
    </row>
    <row r="18509" spans="8:9">
      <c r="H18509" s="1092"/>
      <c r="I18509" s="1092"/>
    </row>
    <row r="18510" spans="8:9">
      <c r="H18510" s="1092"/>
      <c r="I18510" s="1092"/>
    </row>
    <row r="18511" spans="8:9">
      <c r="H18511" s="1092"/>
      <c r="I18511" s="1092"/>
    </row>
    <row r="18512" spans="8:9">
      <c r="H18512" s="1092"/>
      <c r="I18512" s="1092"/>
    </row>
    <row r="18513" spans="8:9">
      <c r="H18513" s="1092"/>
      <c r="I18513" s="1092"/>
    </row>
    <row r="18514" spans="8:9">
      <c r="H18514" s="1092"/>
      <c r="I18514" s="1092"/>
    </row>
    <row r="18515" spans="8:9">
      <c r="H18515" s="1092"/>
      <c r="I18515" s="1092"/>
    </row>
    <row r="18516" spans="8:9">
      <c r="H18516" s="1092"/>
      <c r="I18516" s="1092"/>
    </row>
    <row r="18517" spans="8:9">
      <c r="H18517" s="1092"/>
      <c r="I18517" s="1092"/>
    </row>
    <row r="18518" spans="8:9">
      <c r="H18518" s="1092"/>
      <c r="I18518" s="1092"/>
    </row>
    <row r="18519" spans="8:9">
      <c r="H18519" s="1092"/>
      <c r="I18519" s="1092"/>
    </row>
    <row r="18520" spans="8:9">
      <c r="H18520" s="1092"/>
      <c r="I18520" s="1092"/>
    </row>
    <row r="18521" spans="8:9">
      <c r="H18521" s="1092"/>
      <c r="I18521" s="1092"/>
    </row>
    <row r="18522" spans="8:9">
      <c r="H18522" s="1092"/>
      <c r="I18522" s="1092"/>
    </row>
    <row r="18523" spans="8:9">
      <c r="H18523" s="1092"/>
      <c r="I18523" s="1092"/>
    </row>
    <row r="18524" spans="8:9">
      <c r="H18524" s="1092"/>
      <c r="I18524" s="1092"/>
    </row>
    <row r="18525" spans="8:9">
      <c r="H18525" s="1092"/>
      <c r="I18525" s="1092"/>
    </row>
    <row r="18526" spans="8:9">
      <c r="H18526" s="1092"/>
      <c r="I18526" s="1092"/>
    </row>
    <row r="18527" spans="8:9">
      <c r="H18527" s="1092"/>
      <c r="I18527" s="1092"/>
    </row>
    <row r="18528" spans="8:9">
      <c r="H18528" s="1092"/>
      <c r="I18528" s="1092"/>
    </row>
    <row r="18529" spans="8:9">
      <c r="H18529" s="1092"/>
      <c r="I18529" s="1092"/>
    </row>
    <row r="18530" spans="8:9">
      <c r="H18530" s="1092"/>
      <c r="I18530" s="1092"/>
    </row>
    <row r="18531" spans="8:9">
      <c r="H18531" s="1092"/>
      <c r="I18531" s="1092"/>
    </row>
    <row r="18532" spans="8:9">
      <c r="H18532" s="1092"/>
      <c r="I18532" s="1092"/>
    </row>
    <row r="18533" spans="8:9">
      <c r="H18533" s="1092"/>
      <c r="I18533" s="1092"/>
    </row>
    <row r="18534" spans="8:9">
      <c r="H18534" s="1092"/>
      <c r="I18534" s="1092"/>
    </row>
    <row r="18535" spans="8:9">
      <c r="H18535" s="1092"/>
      <c r="I18535" s="1092"/>
    </row>
    <row r="18536" spans="8:9">
      <c r="H18536" s="1092"/>
      <c r="I18536" s="1092"/>
    </row>
    <row r="18537" spans="8:9">
      <c r="H18537" s="1092"/>
      <c r="I18537" s="1092"/>
    </row>
    <row r="18538" spans="8:9">
      <c r="H18538" s="1092"/>
      <c r="I18538" s="1092"/>
    </row>
    <row r="18539" spans="8:9">
      <c r="H18539" s="1092"/>
      <c r="I18539" s="1092"/>
    </row>
    <row r="18540" spans="8:9">
      <c r="H18540" s="1092"/>
      <c r="I18540" s="1092"/>
    </row>
    <row r="18541" spans="8:9">
      <c r="H18541" s="1092"/>
      <c r="I18541" s="1092"/>
    </row>
    <row r="18542" spans="8:9">
      <c r="H18542" s="1092"/>
      <c r="I18542" s="1092"/>
    </row>
    <row r="18543" spans="8:9">
      <c r="H18543" s="1092"/>
      <c r="I18543" s="1092"/>
    </row>
    <row r="18544" spans="8:9">
      <c r="H18544" s="1092"/>
      <c r="I18544" s="1092"/>
    </row>
    <row r="18545" spans="8:9">
      <c r="H18545" s="1092"/>
      <c r="I18545" s="1092"/>
    </row>
    <row r="18546" spans="8:9">
      <c r="H18546" s="1092"/>
      <c r="I18546" s="1092"/>
    </row>
    <row r="18547" spans="8:9">
      <c r="H18547" s="1092"/>
      <c r="I18547" s="1092"/>
    </row>
    <row r="18548" spans="8:9">
      <c r="H18548" s="1092"/>
      <c r="I18548" s="1092"/>
    </row>
    <row r="18549" spans="8:9">
      <c r="H18549" s="1092"/>
      <c r="I18549" s="1092"/>
    </row>
    <row r="18550" spans="8:9">
      <c r="H18550" s="1092"/>
      <c r="I18550" s="1092"/>
    </row>
    <row r="18551" spans="8:9">
      <c r="H18551" s="1092"/>
      <c r="I18551" s="1092"/>
    </row>
    <row r="18552" spans="8:9">
      <c r="H18552" s="1092"/>
      <c r="I18552" s="1092"/>
    </row>
    <row r="18553" spans="8:9">
      <c r="H18553" s="1092"/>
      <c r="I18553" s="1092"/>
    </row>
    <row r="18554" spans="8:9">
      <c r="H18554" s="1092"/>
      <c r="I18554" s="1092"/>
    </row>
    <row r="18555" spans="8:9">
      <c r="H18555" s="1092"/>
      <c r="I18555" s="1092"/>
    </row>
    <row r="18556" spans="8:9">
      <c r="H18556" s="1092"/>
      <c r="I18556" s="1092"/>
    </row>
    <row r="18557" spans="8:9">
      <c r="H18557" s="1092"/>
      <c r="I18557" s="1092"/>
    </row>
    <row r="18558" spans="8:9">
      <c r="H18558" s="1092"/>
      <c r="I18558" s="1092"/>
    </row>
    <row r="18559" spans="8:9">
      <c r="H18559" s="1092"/>
      <c r="I18559" s="1092"/>
    </row>
    <row r="18560" spans="8:9">
      <c r="H18560" s="1092"/>
      <c r="I18560" s="1092"/>
    </row>
    <row r="18561" spans="8:9">
      <c r="H18561" s="1092"/>
      <c r="I18561" s="1092"/>
    </row>
    <row r="18562" spans="8:9">
      <c r="H18562" s="1092"/>
      <c r="I18562" s="1092"/>
    </row>
    <row r="18563" spans="8:9">
      <c r="H18563" s="1092"/>
      <c r="I18563" s="1092"/>
    </row>
    <row r="18564" spans="8:9">
      <c r="H18564" s="1092"/>
      <c r="I18564" s="1092"/>
    </row>
    <row r="18565" spans="8:9">
      <c r="H18565" s="1092"/>
      <c r="I18565" s="1092"/>
    </row>
    <row r="18566" spans="8:9">
      <c r="H18566" s="1092"/>
      <c r="I18566" s="1092"/>
    </row>
    <row r="18567" spans="8:9">
      <c r="H18567" s="1092"/>
      <c r="I18567" s="1092"/>
    </row>
    <row r="18568" spans="8:9">
      <c r="H18568" s="1092"/>
      <c r="I18568" s="1092"/>
    </row>
    <row r="18569" spans="8:9">
      <c r="H18569" s="1092"/>
      <c r="I18569" s="1092"/>
    </row>
    <row r="18570" spans="8:9">
      <c r="H18570" s="1092"/>
      <c r="I18570" s="1092"/>
    </row>
    <row r="18571" spans="8:9">
      <c r="H18571" s="1092"/>
      <c r="I18571" s="1092"/>
    </row>
    <row r="18572" spans="8:9">
      <c r="H18572" s="1092"/>
      <c r="I18572" s="1092"/>
    </row>
    <row r="18573" spans="8:9">
      <c r="H18573" s="1092"/>
      <c r="I18573" s="1092"/>
    </row>
    <row r="18574" spans="8:9">
      <c r="H18574" s="1092"/>
      <c r="I18574" s="1092"/>
    </row>
    <row r="18575" spans="8:9">
      <c r="H18575" s="1092"/>
      <c r="I18575" s="1092"/>
    </row>
    <row r="18576" spans="8:9">
      <c r="H18576" s="1092"/>
      <c r="I18576" s="1092"/>
    </row>
    <row r="18577" spans="8:9">
      <c r="H18577" s="1092"/>
      <c r="I18577" s="1092"/>
    </row>
    <row r="18578" spans="8:9">
      <c r="H18578" s="1092"/>
      <c r="I18578" s="1092"/>
    </row>
    <row r="18579" spans="8:9">
      <c r="H18579" s="1092"/>
      <c r="I18579" s="1092"/>
    </row>
    <row r="18580" spans="8:9">
      <c r="H18580" s="1092"/>
      <c r="I18580" s="1092"/>
    </row>
    <row r="18581" spans="8:9">
      <c r="H18581" s="1092"/>
      <c r="I18581" s="1092"/>
    </row>
    <row r="18582" spans="8:9">
      <c r="H18582" s="1092"/>
      <c r="I18582" s="1092"/>
    </row>
    <row r="18583" spans="8:9">
      <c r="H18583" s="1092"/>
      <c r="I18583" s="1092"/>
    </row>
    <row r="18584" spans="8:9">
      <c r="H18584" s="1092"/>
      <c r="I18584" s="1092"/>
    </row>
    <row r="18585" spans="8:9">
      <c r="H18585" s="1092"/>
      <c r="I18585" s="1092"/>
    </row>
    <row r="18586" spans="8:9">
      <c r="H18586" s="1092"/>
      <c r="I18586" s="1092"/>
    </row>
    <row r="18587" spans="8:9">
      <c r="H18587" s="1092"/>
      <c r="I18587" s="1092"/>
    </row>
    <row r="18588" spans="8:9">
      <c r="H18588" s="1092"/>
      <c r="I18588" s="1092"/>
    </row>
    <row r="18589" spans="8:9">
      <c r="H18589" s="1092"/>
      <c r="I18589" s="1092"/>
    </row>
    <row r="18590" spans="8:9">
      <c r="H18590" s="1092"/>
      <c r="I18590" s="1092"/>
    </row>
    <row r="18591" spans="8:9">
      <c r="H18591" s="1092"/>
      <c r="I18591" s="1092"/>
    </row>
    <row r="18592" spans="8:9">
      <c r="H18592" s="1092"/>
      <c r="I18592" s="1092"/>
    </row>
    <row r="18593" spans="8:9">
      <c r="H18593" s="1092"/>
      <c r="I18593" s="1092"/>
    </row>
    <row r="18594" spans="8:9">
      <c r="H18594" s="1092"/>
      <c r="I18594" s="1092"/>
    </row>
    <row r="18595" spans="8:9">
      <c r="H18595" s="1092"/>
      <c r="I18595" s="1092"/>
    </row>
    <row r="18596" spans="8:9">
      <c r="H18596" s="1092"/>
      <c r="I18596" s="1092"/>
    </row>
    <row r="18597" spans="8:9">
      <c r="H18597" s="1092"/>
      <c r="I18597" s="1092"/>
    </row>
    <row r="18598" spans="8:9">
      <c r="H18598" s="1092"/>
      <c r="I18598" s="1092"/>
    </row>
    <row r="18599" spans="8:9">
      <c r="H18599" s="1092"/>
      <c r="I18599" s="1092"/>
    </row>
    <row r="18600" spans="8:9">
      <c r="H18600" s="1092"/>
      <c r="I18600" s="1092"/>
    </row>
    <row r="18601" spans="8:9">
      <c r="H18601" s="1092"/>
      <c r="I18601" s="1092"/>
    </row>
    <row r="18602" spans="8:9">
      <c r="H18602" s="1092"/>
      <c r="I18602" s="1092"/>
    </row>
    <row r="18603" spans="8:9">
      <c r="H18603" s="1092"/>
      <c r="I18603" s="1092"/>
    </row>
    <row r="18604" spans="8:9">
      <c r="H18604" s="1092"/>
      <c r="I18604" s="1092"/>
    </row>
    <row r="18605" spans="8:9">
      <c r="H18605" s="1092"/>
      <c r="I18605" s="1092"/>
    </row>
    <row r="18606" spans="8:9">
      <c r="H18606" s="1092"/>
      <c r="I18606" s="1092"/>
    </row>
    <row r="18607" spans="8:9">
      <c r="H18607" s="1092"/>
      <c r="I18607" s="1092"/>
    </row>
    <row r="18608" spans="8:9">
      <c r="H18608" s="1092"/>
      <c r="I18608" s="1092"/>
    </row>
    <row r="18609" spans="8:9">
      <c r="H18609" s="1092"/>
      <c r="I18609" s="1092"/>
    </row>
    <row r="18610" spans="8:9">
      <c r="H18610" s="1092"/>
      <c r="I18610" s="1092"/>
    </row>
    <row r="18611" spans="8:9">
      <c r="H18611" s="1092"/>
      <c r="I18611" s="1092"/>
    </row>
    <row r="18612" spans="8:9">
      <c r="H18612" s="1092"/>
      <c r="I18612" s="1092"/>
    </row>
    <row r="18613" spans="8:9">
      <c r="H18613" s="1092"/>
      <c r="I18613" s="1092"/>
    </row>
    <row r="18614" spans="8:9">
      <c r="H18614" s="1092"/>
      <c r="I18614" s="1092"/>
    </row>
    <row r="18615" spans="8:9">
      <c r="H18615" s="1092"/>
      <c r="I18615" s="1092"/>
    </row>
    <row r="18616" spans="8:9">
      <c r="H18616" s="1092"/>
      <c r="I18616" s="1092"/>
    </row>
    <row r="18617" spans="8:9">
      <c r="H18617" s="1092"/>
      <c r="I18617" s="1092"/>
    </row>
    <row r="18618" spans="8:9">
      <c r="H18618" s="1092"/>
      <c r="I18618" s="1092"/>
    </row>
    <row r="18619" spans="8:9">
      <c r="H18619" s="1092"/>
      <c r="I18619" s="1092"/>
    </row>
    <row r="18620" spans="8:9">
      <c r="H18620" s="1092"/>
      <c r="I18620" s="1092"/>
    </row>
    <row r="18621" spans="8:9">
      <c r="H18621" s="1092"/>
      <c r="I18621" s="1092"/>
    </row>
    <row r="18622" spans="8:9">
      <c r="H18622" s="1092"/>
      <c r="I18622" s="1092"/>
    </row>
    <row r="18623" spans="8:9">
      <c r="H18623" s="1092"/>
      <c r="I18623" s="1092"/>
    </row>
    <row r="18624" spans="8:9">
      <c r="H18624" s="1092"/>
      <c r="I18624" s="1092"/>
    </row>
    <row r="18625" spans="8:9">
      <c r="H18625" s="1092"/>
      <c r="I18625" s="1092"/>
    </row>
    <row r="18626" spans="8:9">
      <c r="H18626" s="1092"/>
      <c r="I18626" s="1092"/>
    </row>
    <row r="18627" spans="8:9">
      <c r="H18627" s="1092"/>
      <c r="I18627" s="1092"/>
    </row>
    <row r="18628" spans="8:9">
      <c r="H18628" s="1092"/>
      <c r="I18628" s="1092"/>
    </row>
    <row r="18629" spans="8:9">
      <c r="H18629" s="1092"/>
      <c r="I18629" s="1092"/>
    </row>
    <row r="18630" spans="8:9">
      <c r="H18630" s="1092"/>
      <c r="I18630" s="1092"/>
    </row>
    <row r="18631" spans="8:9">
      <c r="H18631" s="1092"/>
      <c r="I18631" s="1092"/>
    </row>
    <row r="18632" spans="8:9">
      <c r="H18632" s="1092"/>
      <c r="I18632" s="1092"/>
    </row>
    <row r="18633" spans="8:9">
      <c r="H18633" s="1092"/>
      <c r="I18633" s="1092"/>
    </row>
    <row r="18634" spans="8:9">
      <c r="H18634" s="1092"/>
      <c r="I18634" s="1092"/>
    </row>
    <row r="18635" spans="8:9">
      <c r="H18635" s="1092"/>
      <c r="I18635" s="1092"/>
    </row>
    <row r="18636" spans="8:9">
      <c r="H18636" s="1092"/>
      <c r="I18636" s="1092"/>
    </row>
    <row r="18637" spans="8:9">
      <c r="H18637" s="1092"/>
      <c r="I18637" s="1092"/>
    </row>
    <row r="18638" spans="8:9">
      <c r="H18638" s="1092"/>
      <c r="I18638" s="1092"/>
    </row>
    <row r="18639" spans="8:9">
      <c r="H18639" s="1092"/>
      <c r="I18639" s="1092"/>
    </row>
    <row r="18640" spans="8:9">
      <c r="H18640" s="1092"/>
      <c r="I18640" s="1092"/>
    </row>
    <row r="18641" spans="8:9">
      <c r="H18641" s="1092"/>
      <c r="I18641" s="1092"/>
    </row>
    <row r="18642" spans="8:9">
      <c r="H18642" s="1092"/>
      <c r="I18642" s="1092"/>
    </row>
    <row r="18643" spans="8:9">
      <c r="H18643" s="1092"/>
      <c r="I18643" s="1092"/>
    </row>
    <row r="18644" spans="8:9">
      <c r="H18644" s="1092"/>
      <c r="I18644" s="1092"/>
    </row>
    <row r="18645" spans="8:9">
      <c r="H18645" s="1092"/>
      <c r="I18645" s="1092"/>
    </row>
    <row r="18646" spans="8:9">
      <c r="H18646" s="1092"/>
      <c r="I18646" s="1092"/>
    </row>
    <row r="18647" spans="8:9">
      <c r="H18647" s="1092"/>
      <c r="I18647" s="1092"/>
    </row>
    <row r="18648" spans="8:9">
      <c r="H18648" s="1092"/>
      <c r="I18648" s="1092"/>
    </row>
    <row r="18649" spans="8:9">
      <c r="H18649" s="1092"/>
      <c r="I18649" s="1092"/>
    </row>
    <row r="18650" spans="8:9">
      <c r="H18650" s="1092"/>
      <c r="I18650" s="1092"/>
    </row>
    <row r="18651" spans="8:9">
      <c r="H18651" s="1092"/>
      <c r="I18651" s="1092"/>
    </row>
    <row r="18652" spans="8:9">
      <c r="H18652" s="1092"/>
      <c r="I18652" s="1092"/>
    </row>
    <row r="18653" spans="8:9">
      <c r="H18653" s="1092"/>
      <c r="I18653" s="1092"/>
    </row>
    <row r="18654" spans="8:9">
      <c r="H18654" s="1092"/>
      <c r="I18654" s="1092"/>
    </row>
    <row r="18655" spans="8:9">
      <c r="H18655" s="1092"/>
      <c r="I18655" s="1092"/>
    </row>
    <row r="18656" spans="8:9">
      <c r="H18656" s="1092"/>
      <c r="I18656" s="1092"/>
    </row>
    <row r="18657" spans="8:9">
      <c r="H18657" s="1092"/>
      <c r="I18657" s="1092"/>
    </row>
    <row r="18658" spans="8:9">
      <c r="H18658" s="1092"/>
      <c r="I18658" s="1092"/>
    </row>
    <row r="18659" spans="8:9">
      <c r="H18659" s="1092"/>
      <c r="I18659" s="1092"/>
    </row>
    <row r="18660" spans="8:9">
      <c r="H18660" s="1092"/>
      <c r="I18660" s="1092"/>
    </row>
    <row r="18661" spans="8:9">
      <c r="H18661" s="1092"/>
      <c r="I18661" s="1092"/>
    </row>
    <row r="18662" spans="8:9">
      <c r="H18662" s="1092"/>
      <c r="I18662" s="1092"/>
    </row>
    <row r="18663" spans="8:9">
      <c r="H18663" s="1092"/>
      <c r="I18663" s="1092"/>
    </row>
    <row r="18664" spans="8:9">
      <c r="H18664" s="1092"/>
      <c r="I18664" s="1092"/>
    </row>
    <row r="18665" spans="8:9">
      <c r="H18665" s="1092"/>
      <c r="I18665" s="1092"/>
    </row>
    <row r="18666" spans="8:9">
      <c r="H18666" s="1092"/>
      <c r="I18666" s="1092"/>
    </row>
    <row r="18667" spans="8:9">
      <c r="H18667" s="1092"/>
      <c r="I18667" s="1092"/>
    </row>
    <row r="18668" spans="8:9">
      <c r="H18668" s="1092"/>
      <c r="I18668" s="1092"/>
    </row>
    <row r="18669" spans="8:9">
      <c r="H18669" s="1092"/>
      <c r="I18669" s="1092"/>
    </row>
    <row r="18670" spans="8:9">
      <c r="H18670" s="1092"/>
      <c r="I18670" s="1092"/>
    </row>
    <row r="18671" spans="8:9">
      <c r="H18671" s="1092"/>
      <c r="I18671" s="1092"/>
    </row>
    <row r="18672" spans="8:9">
      <c r="H18672" s="1092"/>
      <c r="I18672" s="1092"/>
    </row>
    <row r="18673" spans="8:9">
      <c r="H18673" s="1092"/>
      <c r="I18673" s="1092"/>
    </row>
    <row r="18674" spans="8:9">
      <c r="H18674" s="1092"/>
      <c r="I18674" s="1092"/>
    </row>
    <row r="18675" spans="8:9">
      <c r="H18675" s="1092"/>
      <c r="I18675" s="1092"/>
    </row>
    <row r="18676" spans="8:9">
      <c r="H18676" s="1092"/>
      <c r="I18676" s="1092"/>
    </row>
    <row r="18677" spans="8:9">
      <c r="H18677" s="1092"/>
      <c r="I18677" s="1092"/>
    </row>
    <row r="18678" spans="8:9">
      <c r="H18678" s="1092"/>
      <c r="I18678" s="1092"/>
    </row>
    <row r="18679" spans="8:9">
      <c r="H18679" s="1092"/>
      <c r="I18679" s="1092"/>
    </row>
    <row r="18680" spans="8:9">
      <c r="H18680" s="1092"/>
      <c r="I18680" s="1092"/>
    </row>
    <row r="18681" spans="8:9">
      <c r="H18681" s="1092"/>
      <c r="I18681" s="1092"/>
    </row>
    <row r="18682" spans="8:9">
      <c r="H18682" s="1092"/>
      <c r="I18682" s="1092"/>
    </row>
    <row r="18683" spans="8:9">
      <c r="H18683" s="1092"/>
      <c r="I18683" s="1092"/>
    </row>
    <row r="18684" spans="8:9">
      <c r="H18684" s="1092"/>
      <c r="I18684" s="1092"/>
    </row>
    <row r="18685" spans="8:9">
      <c r="H18685" s="1092"/>
      <c r="I18685" s="1092"/>
    </row>
    <row r="18686" spans="8:9">
      <c r="H18686" s="1092"/>
      <c r="I18686" s="1092"/>
    </row>
    <row r="18687" spans="8:9">
      <c r="H18687" s="1092"/>
      <c r="I18687" s="1092"/>
    </row>
    <row r="18688" spans="8:9">
      <c r="H18688" s="1092"/>
      <c r="I18688" s="1092"/>
    </row>
    <row r="18689" spans="8:9">
      <c r="H18689" s="1092"/>
      <c r="I18689" s="1092"/>
    </row>
    <row r="18690" spans="8:9">
      <c r="H18690" s="1092"/>
      <c r="I18690" s="1092"/>
    </row>
    <row r="18691" spans="8:9">
      <c r="H18691" s="1092"/>
      <c r="I18691" s="1092"/>
    </row>
    <row r="18692" spans="8:9">
      <c r="H18692" s="1092"/>
      <c r="I18692" s="1092"/>
    </row>
    <row r="18693" spans="8:9">
      <c r="H18693" s="1092"/>
      <c r="I18693" s="1092"/>
    </row>
    <row r="18694" spans="8:9">
      <c r="H18694" s="1092"/>
      <c r="I18694" s="1092"/>
    </row>
    <row r="18695" spans="8:9">
      <c r="H18695" s="1092"/>
      <c r="I18695" s="1092"/>
    </row>
    <row r="18696" spans="8:9">
      <c r="H18696" s="1092"/>
      <c r="I18696" s="1092"/>
    </row>
    <row r="18697" spans="8:9">
      <c r="H18697" s="1092"/>
      <c r="I18697" s="1092"/>
    </row>
    <row r="18698" spans="8:9">
      <c r="H18698" s="1092"/>
      <c r="I18698" s="1092"/>
    </row>
    <row r="18699" spans="8:9">
      <c r="H18699" s="1092"/>
      <c r="I18699" s="1092"/>
    </row>
    <row r="18700" spans="8:9">
      <c r="H18700" s="1092"/>
      <c r="I18700" s="1092"/>
    </row>
    <row r="18701" spans="8:9">
      <c r="H18701" s="1092"/>
      <c r="I18701" s="1092"/>
    </row>
    <row r="18702" spans="8:9">
      <c r="H18702" s="1092"/>
      <c r="I18702" s="1092"/>
    </row>
    <row r="18703" spans="8:9">
      <c r="H18703" s="1092"/>
      <c r="I18703" s="1092"/>
    </row>
    <row r="18704" spans="8:9">
      <c r="H18704" s="1092"/>
      <c r="I18704" s="1092"/>
    </row>
    <row r="18705" spans="8:9">
      <c r="H18705" s="1092"/>
      <c r="I18705" s="1092"/>
    </row>
    <row r="18706" spans="8:9">
      <c r="H18706" s="1092"/>
      <c r="I18706" s="1092"/>
    </row>
    <row r="18707" spans="8:9">
      <c r="H18707" s="1092"/>
      <c r="I18707" s="1092"/>
    </row>
    <row r="18708" spans="8:9">
      <c r="H18708" s="1092"/>
      <c r="I18708" s="1092"/>
    </row>
    <row r="18709" spans="8:9">
      <c r="H18709" s="1092"/>
      <c r="I18709" s="1092"/>
    </row>
    <row r="18710" spans="8:9">
      <c r="H18710" s="1092"/>
      <c r="I18710" s="1092"/>
    </row>
    <row r="18711" spans="8:9">
      <c r="H18711" s="1092"/>
      <c r="I18711" s="1092"/>
    </row>
    <row r="18712" spans="8:9">
      <c r="H18712" s="1092"/>
      <c r="I18712" s="1092"/>
    </row>
    <row r="18713" spans="8:9">
      <c r="H18713" s="1092"/>
      <c r="I18713" s="1092"/>
    </row>
    <row r="18714" spans="8:9">
      <c r="H18714" s="1092"/>
      <c r="I18714" s="1092"/>
    </row>
    <row r="18715" spans="8:9">
      <c r="H18715" s="1092"/>
      <c r="I18715" s="1092"/>
    </row>
    <row r="18716" spans="8:9">
      <c r="H18716" s="1092"/>
      <c r="I18716" s="1092"/>
    </row>
    <row r="18717" spans="8:9">
      <c r="H18717" s="1092"/>
      <c r="I18717" s="1092"/>
    </row>
    <row r="18718" spans="8:9">
      <c r="H18718" s="1092"/>
      <c r="I18718" s="1092"/>
    </row>
    <row r="18719" spans="8:9">
      <c r="H18719" s="1092"/>
      <c r="I18719" s="1092"/>
    </row>
    <row r="18720" spans="8:9">
      <c r="H18720" s="1092"/>
      <c r="I18720" s="1092"/>
    </row>
    <row r="18721" spans="8:9">
      <c r="H18721" s="1092"/>
      <c r="I18721" s="1092"/>
    </row>
    <row r="18722" spans="8:9">
      <c r="H18722" s="1092"/>
      <c r="I18722" s="1092"/>
    </row>
    <row r="18723" spans="8:9">
      <c r="H18723" s="1092"/>
      <c r="I18723" s="1092"/>
    </row>
    <row r="18724" spans="8:9">
      <c r="H18724" s="1092"/>
      <c r="I18724" s="1092"/>
    </row>
    <row r="18725" spans="8:9">
      <c r="H18725" s="1092"/>
      <c r="I18725" s="1092"/>
    </row>
    <row r="18726" spans="8:9">
      <c r="H18726" s="1092"/>
      <c r="I18726" s="1092"/>
    </row>
    <row r="18727" spans="8:9">
      <c r="H18727" s="1092"/>
      <c r="I18727" s="1092"/>
    </row>
    <row r="18728" spans="8:9">
      <c r="H18728" s="1092"/>
      <c r="I18728" s="1092"/>
    </row>
    <row r="18729" spans="8:9">
      <c r="H18729" s="1092"/>
      <c r="I18729" s="1092"/>
    </row>
    <row r="18730" spans="8:9">
      <c r="H18730" s="1092"/>
      <c r="I18730" s="1092"/>
    </row>
    <row r="18731" spans="8:9">
      <c r="H18731" s="1092"/>
      <c r="I18731" s="1092"/>
    </row>
    <row r="18732" spans="8:9">
      <c r="H18732" s="1092"/>
      <c r="I18732" s="1092"/>
    </row>
    <row r="18733" spans="8:9">
      <c r="H18733" s="1092"/>
      <c r="I18733" s="1092"/>
    </row>
    <row r="18734" spans="8:9">
      <c r="H18734" s="1092"/>
      <c r="I18734" s="1092"/>
    </row>
    <row r="18735" spans="8:9">
      <c r="H18735" s="1092"/>
      <c r="I18735" s="1092"/>
    </row>
    <row r="18736" spans="8:9">
      <c r="H18736" s="1092"/>
      <c r="I18736" s="1092"/>
    </row>
    <row r="18737" spans="8:9">
      <c r="H18737" s="1092"/>
      <c r="I18737" s="1092"/>
    </row>
    <row r="18738" spans="8:9">
      <c r="H18738" s="1092"/>
      <c r="I18738" s="1092"/>
    </row>
    <row r="18739" spans="8:9">
      <c r="H18739" s="1092"/>
      <c r="I18739" s="1092"/>
    </row>
    <row r="18740" spans="8:9">
      <c r="H18740" s="1092"/>
      <c r="I18740" s="1092"/>
    </row>
    <row r="18741" spans="8:9">
      <c r="H18741" s="1092"/>
      <c r="I18741" s="1092"/>
    </row>
    <row r="18742" spans="8:9">
      <c r="H18742" s="1092"/>
      <c r="I18742" s="1092"/>
    </row>
    <row r="18743" spans="8:9">
      <c r="H18743" s="1092"/>
      <c r="I18743" s="1092"/>
    </row>
    <row r="18744" spans="8:9">
      <c r="H18744" s="1092"/>
      <c r="I18744" s="1092"/>
    </row>
    <row r="18745" spans="8:9">
      <c r="H18745" s="1092"/>
      <c r="I18745" s="1092"/>
    </row>
    <row r="18746" spans="8:9">
      <c r="H18746" s="1092"/>
      <c r="I18746" s="1092"/>
    </row>
    <row r="18747" spans="8:9">
      <c r="H18747" s="1092"/>
      <c r="I18747" s="1092"/>
    </row>
    <row r="18748" spans="8:9">
      <c r="H18748" s="1092"/>
      <c r="I18748" s="1092"/>
    </row>
    <row r="18749" spans="8:9">
      <c r="H18749" s="1092"/>
      <c r="I18749" s="1092"/>
    </row>
    <row r="18750" spans="8:9">
      <c r="H18750" s="1092"/>
      <c r="I18750" s="1092"/>
    </row>
    <row r="18751" spans="8:9">
      <c r="H18751" s="1092"/>
      <c r="I18751" s="1092"/>
    </row>
    <row r="18752" spans="8:9">
      <c r="H18752" s="1092"/>
      <c r="I18752" s="1092"/>
    </row>
    <row r="18753" spans="8:9">
      <c r="H18753" s="1092"/>
      <c r="I18753" s="1092"/>
    </row>
    <row r="18754" spans="8:9">
      <c r="H18754" s="1092"/>
      <c r="I18754" s="1092"/>
    </row>
    <row r="18755" spans="8:9">
      <c r="H18755" s="1092"/>
      <c r="I18755" s="1092"/>
    </row>
    <row r="18756" spans="8:9">
      <c r="H18756" s="1092"/>
      <c r="I18756" s="1092"/>
    </row>
    <row r="18757" spans="8:9">
      <c r="H18757" s="1092"/>
      <c r="I18757" s="1092"/>
    </row>
    <row r="18758" spans="8:9">
      <c r="H18758" s="1092"/>
      <c r="I18758" s="1092"/>
    </row>
    <row r="18759" spans="8:9">
      <c r="H18759" s="1092"/>
      <c r="I18759" s="1092"/>
    </row>
    <row r="18760" spans="8:9">
      <c r="H18760" s="1092"/>
      <c r="I18760" s="1092"/>
    </row>
    <row r="18761" spans="8:9">
      <c r="H18761" s="1092"/>
      <c r="I18761" s="1092"/>
    </row>
    <row r="18762" spans="8:9">
      <c r="H18762" s="1092"/>
      <c r="I18762" s="1092"/>
    </row>
    <row r="18763" spans="8:9">
      <c r="H18763" s="1092"/>
      <c r="I18763" s="1092"/>
    </row>
    <row r="18764" spans="8:9">
      <c r="H18764" s="1092"/>
      <c r="I18764" s="1092"/>
    </row>
    <row r="18765" spans="8:9">
      <c r="H18765" s="1092"/>
      <c r="I18765" s="1092"/>
    </row>
    <row r="18766" spans="8:9">
      <c r="H18766" s="1092"/>
      <c r="I18766" s="1092"/>
    </row>
    <row r="18767" spans="8:9">
      <c r="H18767" s="1092"/>
      <c r="I18767" s="1092"/>
    </row>
    <row r="18768" spans="8:9">
      <c r="H18768" s="1092"/>
      <c r="I18768" s="1092"/>
    </row>
    <row r="18769" spans="8:9">
      <c r="H18769" s="1092"/>
      <c r="I18769" s="1092"/>
    </row>
    <row r="18770" spans="8:9">
      <c r="H18770" s="1092"/>
      <c r="I18770" s="1092"/>
    </row>
    <row r="18771" spans="8:9">
      <c r="H18771" s="1092"/>
      <c r="I18771" s="1092"/>
    </row>
    <row r="18772" spans="8:9">
      <c r="H18772" s="1092"/>
      <c r="I18772" s="1092"/>
    </row>
    <row r="18773" spans="8:9">
      <c r="H18773" s="1092"/>
      <c r="I18773" s="1092"/>
    </row>
    <row r="18774" spans="8:9">
      <c r="H18774" s="1092"/>
      <c r="I18774" s="1092"/>
    </row>
    <row r="18775" spans="8:9">
      <c r="H18775" s="1092"/>
      <c r="I18775" s="1092"/>
    </row>
    <row r="18776" spans="8:9">
      <c r="H18776" s="1092"/>
      <c r="I18776" s="1092"/>
    </row>
    <row r="18777" spans="8:9">
      <c r="H18777" s="1092"/>
      <c r="I18777" s="1092"/>
    </row>
    <row r="18778" spans="8:9">
      <c r="H18778" s="1092"/>
      <c r="I18778" s="1092"/>
    </row>
    <row r="18779" spans="8:9">
      <c r="H18779" s="1092"/>
      <c r="I18779" s="1092"/>
    </row>
    <row r="18780" spans="8:9">
      <c r="H18780" s="1092"/>
      <c r="I18780" s="1092"/>
    </row>
    <row r="18781" spans="8:9">
      <c r="H18781" s="1092"/>
      <c r="I18781" s="1092"/>
    </row>
    <row r="18782" spans="8:9">
      <c r="H18782" s="1092"/>
      <c r="I18782" s="1092"/>
    </row>
    <row r="18783" spans="8:9">
      <c r="H18783" s="1092"/>
      <c r="I18783" s="1092"/>
    </row>
    <row r="18784" spans="8:9">
      <c r="H18784" s="1092"/>
      <c r="I18784" s="1092"/>
    </row>
    <row r="18785" spans="8:9">
      <c r="H18785" s="1092"/>
      <c r="I18785" s="1092"/>
    </row>
    <row r="18786" spans="8:9">
      <c r="H18786" s="1092"/>
      <c r="I18786" s="1092"/>
    </row>
    <row r="18787" spans="8:9">
      <c r="H18787" s="1092"/>
      <c r="I18787" s="1092"/>
    </row>
    <row r="18788" spans="8:9">
      <c r="H18788" s="1092"/>
      <c r="I18788" s="1092"/>
    </row>
    <row r="18789" spans="8:9">
      <c r="H18789" s="1092"/>
      <c r="I18789" s="1092"/>
    </row>
    <row r="18790" spans="8:9">
      <c r="H18790" s="1092"/>
      <c r="I18790" s="1092"/>
    </row>
    <row r="18791" spans="8:9">
      <c r="H18791" s="1092"/>
      <c r="I18791" s="1092"/>
    </row>
    <row r="18792" spans="8:9">
      <c r="H18792" s="1092"/>
      <c r="I18792" s="1092"/>
    </row>
    <row r="18793" spans="8:9">
      <c r="H18793" s="1092"/>
      <c r="I18793" s="1092"/>
    </row>
    <row r="18794" spans="8:9">
      <c r="H18794" s="1092"/>
      <c r="I18794" s="1092"/>
    </row>
    <row r="18795" spans="8:9">
      <c r="H18795" s="1092"/>
      <c r="I18795" s="1092"/>
    </row>
    <row r="18796" spans="8:9">
      <c r="H18796" s="1092"/>
      <c r="I18796" s="1092"/>
    </row>
    <row r="18797" spans="8:9">
      <c r="H18797" s="1092"/>
      <c r="I18797" s="1092"/>
    </row>
    <row r="18798" spans="8:9">
      <c r="H18798" s="1092"/>
      <c r="I18798" s="1092"/>
    </row>
    <row r="18799" spans="8:9">
      <c r="H18799" s="1092"/>
      <c r="I18799" s="1092"/>
    </row>
    <row r="18800" spans="8:9">
      <c r="H18800" s="1092"/>
      <c r="I18800" s="1092"/>
    </row>
    <row r="18801" spans="8:9">
      <c r="H18801" s="1092"/>
      <c r="I18801" s="1092"/>
    </row>
    <row r="18802" spans="8:9">
      <c r="H18802" s="1092"/>
      <c r="I18802" s="1092"/>
    </row>
    <row r="18803" spans="8:9">
      <c r="H18803" s="1092"/>
      <c r="I18803" s="1092"/>
    </row>
    <row r="18804" spans="8:9">
      <c r="H18804" s="1092"/>
      <c r="I18804" s="1092"/>
    </row>
    <row r="18805" spans="8:9">
      <c r="H18805" s="1092"/>
      <c r="I18805" s="1092"/>
    </row>
    <row r="18806" spans="8:9">
      <c r="H18806" s="1092"/>
      <c r="I18806" s="1092"/>
    </row>
    <row r="18807" spans="8:9">
      <c r="H18807" s="1092"/>
      <c r="I18807" s="1092"/>
    </row>
    <row r="18808" spans="8:9">
      <c r="H18808" s="1092"/>
      <c r="I18808" s="1092"/>
    </row>
    <row r="18809" spans="8:9">
      <c r="H18809" s="1092"/>
      <c r="I18809" s="1092"/>
    </row>
    <row r="18810" spans="8:9">
      <c r="H18810" s="1092"/>
      <c r="I18810" s="1092"/>
    </row>
    <row r="18811" spans="8:9">
      <c r="H18811" s="1092"/>
      <c r="I18811" s="1092"/>
    </row>
    <row r="18812" spans="8:9">
      <c r="H18812" s="1092"/>
      <c r="I18812" s="1092"/>
    </row>
    <row r="18813" spans="8:9">
      <c r="H18813" s="1092"/>
      <c r="I18813" s="1092"/>
    </row>
    <row r="18814" spans="8:9">
      <c r="H18814" s="1092"/>
      <c r="I18814" s="1092"/>
    </row>
    <row r="18815" spans="8:9">
      <c r="H18815" s="1092"/>
      <c r="I18815" s="1092"/>
    </row>
    <row r="18816" spans="8:9">
      <c r="H18816" s="1092"/>
      <c r="I18816" s="1092"/>
    </row>
    <row r="18817" spans="8:9">
      <c r="H18817" s="1092"/>
      <c r="I18817" s="1092"/>
    </row>
    <row r="18818" spans="8:9">
      <c r="H18818" s="1092"/>
      <c r="I18818" s="1092"/>
    </row>
    <row r="18819" spans="8:9">
      <c r="H18819" s="1092"/>
      <c r="I18819" s="1092"/>
    </row>
    <row r="18820" spans="8:9">
      <c r="H18820" s="1092"/>
      <c r="I18820" s="1092"/>
    </row>
    <row r="18821" spans="8:9">
      <c r="H18821" s="1092"/>
      <c r="I18821" s="1092"/>
    </row>
    <row r="18822" spans="8:9">
      <c r="H18822" s="1092"/>
      <c r="I18822" s="1092"/>
    </row>
    <row r="18823" spans="8:9">
      <c r="H18823" s="1092"/>
      <c r="I18823" s="1092"/>
    </row>
    <row r="18824" spans="8:9">
      <c r="H18824" s="1092"/>
      <c r="I18824" s="1092"/>
    </row>
    <row r="18825" spans="8:9">
      <c r="H18825" s="1092"/>
      <c r="I18825" s="1092"/>
    </row>
    <row r="18826" spans="8:9">
      <c r="H18826" s="1092"/>
      <c r="I18826" s="1092"/>
    </row>
    <row r="18827" spans="8:9">
      <c r="H18827" s="1092"/>
      <c r="I18827" s="1092"/>
    </row>
    <row r="18828" spans="8:9">
      <c r="H18828" s="1092"/>
      <c r="I18828" s="1092"/>
    </row>
    <row r="18829" spans="8:9">
      <c r="H18829" s="1092"/>
      <c r="I18829" s="1092"/>
    </row>
    <row r="18830" spans="8:9">
      <c r="H18830" s="1092"/>
      <c r="I18830" s="1092"/>
    </row>
    <row r="18831" spans="8:9">
      <c r="H18831" s="1092"/>
      <c r="I18831" s="1092"/>
    </row>
    <row r="18832" spans="8:9">
      <c r="H18832" s="1092"/>
      <c r="I18832" s="1092"/>
    </row>
    <row r="18833" spans="8:9">
      <c r="H18833" s="1092"/>
      <c r="I18833" s="1092"/>
    </row>
    <row r="18834" spans="8:9">
      <c r="H18834" s="1092"/>
      <c r="I18834" s="1092"/>
    </row>
    <row r="18835" spans="8:9">
      <c r="H18835" s="1092"/>
      <c r="I18835" s="1092"/>
    </row>
    <row r="18836" spans="8:9">
      <c r="H18836" s="1092"/>
      <c r="I18836" s="1092"/>
    </row>
    <row r="18837" spans="8:9">
      <c r="H18837" s="1092"/>
      <c r="I18837" s="1092"/>
    </row>
    <row r="18838" spans="8:9">
      <c r="H18838" s="1092"/>
      <c r="I18838" s="1092"/>
    </row>
    <row r="18839" spans="8:9">
      <c r="H18839" s="1092"/>
      <c r="I18839" s="1092"/>
    </row>
    <row r="18840" spans="8:9">
      <c r="H18840" s="1092"/>
      <c r="I18840" s="1092"/>
    </row>
    <row r="18841" spans="8:9">
      <c r="H18841" s="1092"/>
      <c r="I18841" s="1092"/>
    </row>
    <row r="18842" spans="8:9">
      <c r="H18842" s="1092"/>
      <c r="I18842" s="1092"/>
    </row>
    <row r="18843" spans="8:9">
      <c r="H18843" s="1092"/>
      <c r="I18843" s="1092"/>
    </row>
    <row r="18844" spans="8:9">
      <c r="H18844" s="1092"/>
      <c r="I18844" s="1092"/>
    </row>
    <row r="18845" spans="8:9">
      <c r="H18845" s="1092"/>
      <c r="I18845" s="1092"/>
    </row>
    <row r="18846" spans="8:9">
      <c r="H18846" s="1092"/>
      <c r="I18846" s="1092"/>
    </row>
    <row r="18847" spans="8:9">
      <c r="H18847" s="1092"/>
      <c r="I18847" s="1092"/>
    </row>
    <row r="18848" spans="8:9">
      <c r="H18848" s="1092"/>
      <c r="I18848" s="1092"/>
    </row>
    <row r="18849" spans="8:9">
      <c r="H18849" s="1092"/>
      <c r="I18849" s="1092"/>
    </row>
    <row r="18850" spans="8:9">
      <c r="H18850" s="1092"/>
      <c r="I18850" s="1092"/>
    </row>
    <row r="18851" spans="8:9">
      <c r="H18851" s="1092"/>
      <c r="I18851" s="1092"/>
    </row>
    <row r="18852" spans="8:9">
      <c r="H18852" s="1092"/>
      <c r="I18852" s="1092"/>
    </row>
    <row r="18853" spans="8:9">
      <c r="H18853" s="1092"/>
      <c r="I18853" s="1092"/>
    </row>
    <row r="18854" spans="8:9">
      <c r="H18854" s="1092"/>
      <c r="I18854" s="1092"/>
    </row>
    <row r="18855" spans="8:9">
      <c r="H18855" s="1092"/>
      <c r="I18855" s="1092"/>
    </row>
    <row r="18856" spans="8:9">
      <c r="H18856" s="1092"/>
      <c r="I18856" s="1092"/>
    </row>
    <row r="18857" spans="8:9">
      <c r="H18857" s="1092"/>
      <c r="I18857" s="1092"/>
    </row>
    <row r="18858" spans="8:9">
      <c r="H18858" s="1092"/>
      <c r="I18858" s="1092"/>
    </row>
    <row r="18859" spans="8:9">
      <c r="H18859" s="1092"/>
      <c r="I18859" s="1092"/>
    </row>
    <row r="18860" spans="8:9">
      <c r="H18860" s="1092"/>
      <c r="I18860" s="1092"/>
    </row>
    <row r="18861" spans="8:9">
      <c r="H18861" s="1092"/>
      <c r="I18861" s="1092"/>
    </row>
    <row r="18862" spans="8:9">
      <c r="H18862" s="1092"/>
      <c r="I18862" s="1092"/>
    </row>
    <row r="18863" spans="8:9">
      <c r="H18863" s="1092"/>
      <c r="I18863" s="1092"/>
    </row>
    <row r="18864" spans="8:9">
      <c r="H18864" s="1092"/>
      <c r="I18864" s="1092"/>
    </row>
    <row r="18865" spans="8:9">
      <c r="H18865" s="1092"/>
      <c r="I18865" s="1092"/>
    </row>
    <row r="18866" spans="8:9">
      <c r="H18866" s="1092"/>
      <c r="I18866" s="1092"/>
    </row>
    <row r="18867" spans="8:9">
      <c r="H18867" s="1092"/>
      <c r="I18867" s="1092"/>
    </row>
    <row r="18868" spans="8:9">
      <c r="H18868" s="1092"/>
      <c r="I18868" s="1092"/>
    </row>
    <row r="18869" spans="8:9">
      <c r="H18869" s="1092"/>
      <c r="I18869" s="1092"/>
    </row>
    <row r="18870" spans="8:9">
      <c r="H18870" s="1092"/>
      <c r="I18870" s="1092"/>
    </row>
    <row r="18871" spans="8:9">
      <c r="H18871" s="1092"/>
      <c r="I18871" s="1092"/>
    </row>
    <row r="18872" spans="8:9">
      <c r="H18872" s="1092"/>
      <c r="I18872" s="1092"/>
    </row>
    <row r="18873" spans="8:9">
      <c r="H18873" s="1092"/>
      <c r="I18873" s="1092"/>
    </row>
    <row r="18874" spans="8:9">
      <c r="H18874" s="1092"/>
      <c r="I18874" s="1092"/>
    </row>
    <row r="18875" spans="8:9">
      <c r="H18875" s="1092"/>
      <c r="I18875" s="1092"/>
    </row>
    <row r="18876" spans="8:9">
      <c r="H18876" s="1092"/>
      <c r="I18876" s="1092"/>
    </row>
    <row r="18877" spans="8:9">
      <c r="H18877" s="1092"/>
      <c r="I18877" s="1092"/>
    </row>
    <row r="18878" spans="8:9">
      <c r="H18878" s="1092"/>
      <c r="I18878" s="1092"/>
    </row>
    <row r="18879" spans="8:9">
      <c r="H18879" s="1092"/>
      <c r="I18879" s="1092"/>
    </row>
    <row r="18880" spans="8:9">
      <c r="H18880" s="1092"/>
      <c r="I18880" s="1092"/>
    </row>
    <row r="18881" spans="8:9">
      <c r="H18881" s="1092"/>
      <c r="I18881" s="1092"/>
    </row>
    <row r="18882" spans="8:9">
      <c r="H18882" s="1092"/>
      <c r="I18882" s="1092"/>
    </row>
    <row r="18883" spans="8:9">
      <c r="H18883" s="1092"/>
      <c r="I18883" s="1092"/>
    </row>
    <row r="18884" spans="8:9">
      <c r="H18884" s="1092"/>
      <c r="I18884" s="1092"/>
    </row>
    <row r="18885" spans="8:9">
      <c r="H18885" s="1092"/>
      <c r="I18885" s="1092"/>
    </row>
    <row r="18886" spans="8:9">
      <c r="H18886" s="1092"/>
      <c r="I18886" s="1092"/>
    </row>
    <row r="18887" spans="8:9">
      <c r="H18887" s="1092"/>
      <c r="I18887" s="1092"/>
    </row>
    <row r="18888" spans="8:9">
      <c r="H18888" s="1092"/>
      <c r="I18888" s="1092"/>
    </row>
    <row r="18889" spans="8:9">
      <c r="H18889" s="1092"/>
      <c r="I18889" s="1092"/>
    </row>
    <row r="18890" spans="8:9">
      <c r="H18890" s="1092"/>
      <c r="I18890" s="1092"/>
    </row>
    <row r="18891" spans="8:9">
      <c r="H18891" s="1092"/>
      <c r="I18891" s="1092"/>
    </row>
    <row r="18892" spans="8:9">
      <c r="H18892" s="1092"/>
      <c r="I18892" s="1092"/>
    </row>
    <row r="18893" spans="8:9">
      <c r="H18893" s="1092"/>
      <c r="I18893" s="1092"/>
    </row>
    <row r="18894" spans="8:9">
      <c r="H18894" s="1092"/>
      <c r="I18894" s="1092"/>
    </row>
    <row r="18895" spans="8:9">
      <c r="H18895" s="1092"/>
      <c r="I18895" s="1092"/>
    </row>
    <row r="18896" spans="8:9">
      <c r="H18896" s="1092"/>
      <c r="I18896" s="1092"/>
    </row>
    <row r="18897" spans="8:9">
      <c r="H18897" s="1092"/>
      <c r="I18897" s="1092"/>
    </row>
    <row r="18898" spans="8:9">
      <c r="H18898" s="1092"/>
      <c r="I18898" s="1092"/>
    </row>
    <row r="18899" spans="8:9">
      <c r="H18899" s="1092"/>
      <c r="I18899" s="1092"/>
    </row>
    <row r="18900" spans="8:9">
      <c r="H18900" s="1092"/>
      <c r="I18900" s="1092"/>
    </row>
    <row r="18901" spans="8:9">
      <c r="H18901" s="1092"/>
      <c r="I18901" s="1092"/>
    </row>
    <row r="18902" spans="8:9">
      <c r="H18902" s="1092"/>
      <c r="I18902" s="1092"/>
    </row>
    <row r="18903" spans="8:9">
      <c r="H18903" s="1092"/>
      <c r="I18903" s="1092"/>
    </row>
    <row r="18904" spans="8:9">
      <c r="H18904" s="1092"/>
      <c r="I18904" s="1092"/>
    </row>
    <row r="18905" spans="8:9">
      <c r="H18905" s="1092"/>
      <c r="I18905" s="1092"/>
    </row>
    <row r="18906" spans="8:9">
      <c r="H18906" s="1092"/>
      <c r="I18906" s="1092"/>
    </row>
    <row r="18907" spans="8:9">
      <c r="H18907" s="1092"/>
      <c r="I18907" s="1092"/>
    </row>
    <row r="18908" spans="8:9">
      <c r="H18908" s="1092"/>
      <c r="I18908" s="1092"/>
    </row>
    <row r="18909" spans="8:9">
      <c r="H18909" s="1092"/>
      <c r="I18909" s="1092"/>
    </row>
    <row r="18910" spans="8:9">
      <c r="H18910" s="1092"/>
      <c r="I18910" s="1092"/>
    </row>
    <row r="18911" spans="8:9">
      <c r="H18911" s="1092"/>
      <c r="I18911" s="1092"/>
    </row>
    <row r="18912" spans="8:9">
      <c r="H18912" s="1092"/>
      <c r="I18912" s="1092"/>
    </row>
    <row r="18913" spans="8:9">
      <c r="H18913" s="1092"/>
      <c r="I18913" s="1092"/>
    </row>
    <row r="18914" spans="8:9">
      <c r="H18914" s="1092"/>
      <c r="I18914" s="1092"/>
    </row>
    <row r="18915" spans="8:9">
      <c r="H18915" s="1092"/>
      <c r="I18915" s="1092"/>
    </row>
    <row r="18916" spans="8:9">
      <c r="H18916" s="1092"/>
      <c r="I18916" s="1092"/>
    </row>
    <row r="18917" spans="8:9">
      <c r="H18917" s="1092"/>
      <c r="I18917" s="1092"/>
    </row>
    <row r="18918" spans="8:9">
      <c r="H18918" s="1092"/>
      <c r="I18918" s="1092"/>
    </row>
    <row r="18919" spans="8:9">
      <c r="H18919" s="1092"/>
      <c r="I18919" s="1092"/>
    </row>
    <row r="18920" spans="8:9">
      <c r="H18920" s="1092"/>
      <c r="I18920" s="1092"/>
    </row>
    <row r="18921" spans="8:9">
      <c r="H18921" s="1092"/>
      <c r="I18921" s="1092"/>
    </row>
    <row r="18922" spans="8:9">
      <c r="H18922" s="1092"/>
      <c r="I18922" s="1092"/>
    </row>
    <row r="18923" spans="8:9">
      <c r="H18923" s="1092"/>
      <c r="I18923" s="1092"/>
    </row>
    <row r="18924" spans="8:9">
      <c r="H18924" s="1092"/>
      <c r="I18924" s="1092"/>
    </row>
    <row r="18925" spans="8:9">
      <c r="H18925" s="1092"/>
      <c r="I18925" s="1092"/>
    </row>
    <row r="18926" spans="8:9">
      <c r="H18926" s="1092"/>
      <c r="I18926" s="1092"/>
    </row>
    <row r="18927" spans="8:9">
      <c r="H18927" s="1092"/>
      <c r="I18927" s="1092"/>
    </row>
    <row r="18928" spans="8:9">
      <c r="H18928" s="1092"/>
      <c r="I18928" s="1092"/>
    </row>
    <row r="18929" spans="8:9">
      <c r="H18929" s="1092"/>
      <c r="I18929" s="1092"/>
    </row>
    <row r="18930" spans="8:9">
      <c r="H18930" s="1092"/>
      <c r="I18930" s="1092"/>
    </row>
    <row r="18931" spans="8:9">
      <c r="H18931" s="1092"/>
      <c r="I18931" s="1092"/>
    </row>
    <row r="18932" spans="8:9">
      <c r="H18932" s="1092"/>
      <c r="I18932" s="1092"/>
    </row>
    <row r="18933" spans="8:9">
      <c r="H18933" s="1092"/>
      <c r="I18933" s="1092"/>
    </row>
    <row r="18934" spans="8:9">
      <c r="H18934" s="1092"/>
      <c r="I18934" s="1092"/>
    </row>
    <row r="18935" spans="8:9">
      <c r="H18935" s="1092"/>
      <c r="I18935" s="1092"/>
    </row>
    <row r="18936" spans="8:9">
      <c r="H18936" s="1092"/>
      <c r="I18936" s="1092"/>
    </row>
    <row r="18937" spans="8:9">
      <c r="H18937" s="1092"/>
      <c r="I18937" s="1092"/>
    </row>
    <row r="18938" spans="8:9">
      <c r="H18938" s="1092"/>
      <c r="I18938" s="1092"/>
    </row>
    <row r="18939" spans="8:9">
      <c r="H18939" s="1092"/>
      <c r="I18939" s="1092"/>
    </row>
    <row r="18940" spans="8:9">
      <c r="H18940" s="1092"/>
      <c r="I18940" s="1092"/>
    </row>
    <row r="18941" spans="8:9">
      <c r="H18941" s="1092"/>
      <c r="I18941" s="1092"/>
    </row>
    <row r="18942" spans="8:9">
      <c r="H18942" s="1092"/>
      <c r="I18942" s="1092"/>
    </row>
    <row r="18943" spans="8:9">
      <c r="H18943" s="1092"/>
      <c r="I18943" s="1092"/>
    </row>
    <row r="18944" spans="8:9">
      <c r="H18944" s="1092"/>
      <c r="I18944" s="1092"/>
    </row>
    <row r="18945" spans="8:9">
      <c r="H18945" s="1092"/>
      <c r="I18945" s="1092"/>
    </row>
    <row r="18946" spans="8:9">
      <c r="H18946" s="1092"/>
      <c r="I18946" s="1092"/>
    </row>
    <row r="18947" spans="8:9">
      <c r="H18947" s="1092"/>
      <c r="I18947" s="1092"/>
    </row>
    <row r="18948" spans="8:9">
      <c r="H18948" s="1092"/>
      <c r="I18948" s="1092"/>
    </row>
    <row r="18949" spans="8:9">
      <c r="H18949" s="1092"/>
      <c r="I18949" s="1092"/>
    </row>
    <row r="18950" spans="8:9">
      <c r="H18950" s="1092"/>
      <c r="I18950" s="1092"/>
    </row>
    <row r="18951" spans="8:9">
      <c r="H18951" s="1092"/>
      <c r="I18951" s="1092"/>
    </row>
    <row r="18952" spans="8:9">
      <c r="H18952" s="1092"/>
      <c r="I18952" s="1092"/>
    </row>
    <row r="18953" spans="8:9">
      <c r="H18953" s="1092"/>
      <c r="I18953" s="1092"/>
    </row>
    <row r="18954" spans="8:9">
      <c r="H18954" s="1092"/>
      <c r="I18954" s="1092"/>
    </row>
    <row r="18955" spans="8:9">
      <c r="H18955" s="1092"/>
      <c r="I18955" s="1092"/>
    </row>
    <row r="18956" spans="8:9">
      <c r="H18956" s="1092"/>
      <c r="I18956" s="1092"/>
    </row>
    <row r="18957" spans="8:9">
      <c r="H18957" s="1092"/>
      <c r="I18957" s="1092"/>
    </row>
    <row r="18958" spans="8:9">
      <c r="H18958" s="1092"/>
      <c r="I18958" s="1092"/>
    </row>
    <row r="18959" spans="8:9">
      <c r="H18959" s="1092"/>
      <c r="I18959" s="1092"/>
    </row>
    <row r="18960" spans="8:9">
      <c r="H18960" s="1092"/>
      <c r="I18960" s="1092"/>
    </row>
    <row r="18961" spans="8:9">
      <c r="H18961" s="1092"/>
      <c r="I18961" s="1092"/>
    </row>
    <row r="18962" spans="8:9">
      <c r="H18962" s="1092"/>
      <c r="I18962" s="1092"/>
    </row>
    <row r="18963" spans="8:9">
      <c r="H18963" s="1092"/>
      <c r="I18963" s="1092"/>
    </row>
    <row r="18964" spans="8:9">
      <c r="H18964" s="1092"/>
      <c r="I18964" s="1092"/>
    </row>
    <row r="18965" spans="8:9">
      <c r="H18965" s="1092"/>
      <c r="I18965" s="1092"/>
    </row>
    <row r="18966" spans="8:9">
      <c r="H18966" s="1092"/>
      <c r="I18966" s="1092"/>
    </row>
    <row r="18967" spans="8:9">
      <c r="H18967" s="1092"/>
      <c r="I18967" s="1092"/>
    </row>
    <row r="18968" spans="8:9">
      <c r="H18968" s="1092"/>
      <c r="I18968" s="1092"/>
    </row>
    <row r="18969" spans="8:9">
      <c r="H18969" s="1092"/>
      <c r="I18969" s="1092"/>
    </row>
    <row r="18970" spans="8:9">
      <c r="H18970" s="1092"/>
      <c r="I18970" s="1092"/>
    </row>
    <row r="18971" spans="8:9">
      <c r="H18971" s="1092"/>
      <c r="I18971" s="1092"/>
    </row>
    <row r="18972" spans="8:9">
      <c r="H18972" s="1092"/>
      <c r="I18972" s="1092"/>
    </row>
    <row r="18973" spans="8:9">
      <c r="H18973" s="1092"/>
      <c r="I18973" s="1092"/>
    </row>
    <row r="18974" spans="8:9">
      <c r="H18974" s="1092"/>
      <c r="I18974" s="1092"/>
    </row>
    <row r="18975" spans="8:9">
      <c r="H18975" s="1092"/>
      <c r="I18975" s="1092"/>
    </row>
    <row r="18976" spans="8:9">
      <c r="H18976" s="1092"/>
      <c r="I18976" s="1092"/>
    </row>
    <row r="18977" spans="8:9">
      <c r="H18977" s="1092"/>
      <c r="I18977" s="1092"/>
    </row>
    <row r="18978" spans="8:9">
      <c r="H18978" s="1092"/>
      <c r="I18978" s="1092"/>
    </row>
    <row r="18979" spans="8:9">
      <c r="H18979" s="1092"/>
      <c r="I18979" s="1092"/>
    </row>
    <row r="18980" spans="8:9">
      <c r="H18980" s="1092"/>
      <c r="I18980" s="1092"/>
    </row>
    <row r="18981" spans="8:9">
      <c r="H18981" s="1092"/>
      <c r="I18981" s="1092"/>
    </row>
    <row r="18982" spans="8:9">
      <c r="H18982" s="1092"/>
      <c r="I18982" s="1092"/>
    </row>
    <row r="18983" spans="8:9">
      <c r="H18983" s="1092"/>
      <c r="I18983" s="1092"/>
    </row>
    <row r="18984" spans="8:9">
      <c r="H18984" s="1092"/>
      <c r="I18984" s="1092"/>
    </row>
    <row r="18985" spans="8:9">
      <c r="H18985" s="1092"/>
      <c r="I18985" s="1092"/>
    </row>
    <row r="18986" spans="8:9">
      <c r="H18986" s="1092"/>
      <c r="I18986" s="1092"/>
    </row>
    <row r="18987" spans="8:9">
      <c r="H18987" s="1092"/>
      <c r="I18987" s="1092"/>
    </row>
    <row r="18988" spans="8:9">
      <c r="H18988" s="1092"/>
      <c r="I18988" s="1092"/>
    </row>
    <row r="18989" spans="8:9">
      <c r="H18989" s="1092"/>
      <c r="I18989" s="1092"/>
    </row>
    <row r="18990" spans="8:9">
      <c r="H18990" s="1092"/>
      <c r="I18990" s="1092"/>
    </row>
    <row r="18991" spans="8:9">
      <c r="H18991" s="1092"/>
      <c r="I18991" s="1092"/>
    </row>
    <row r="18992" spans="8:9">
      <c r="H18992" s="1092"/>
      <c r="I18992" s="1092"/>
    </row>
    <row r="18993" spans="8:9">
      <c r="H18993" s="1092"/>
      <c r="I18993" s="1092"/>
    </row>
    <row r="18994" spans="8:9">
      <c r="H18994" s="1092"/>
      <c r="I18994" s="1092"/>
    </row>
    <row r="18995" spans="8:9">
      <c r="H18995" s="1092"/>
      <c r="I18995" s="1092"/>
    </row>
    <row r="18996" spans="8:9">
      <c r="H18996" s="1092"/>
      <c r="I18996" s="1092"/>
    </row>
    <row r="18997" spans="8:9">
      <c r="H18997" s="1092"/>
      <c r="I18997" s="1092"/>
    </row>
    <row r="18998" spans="8:9">
      <c r="H18998" s="1092"/>
      <c r="I18998" s="1092"/>
    </row>
    <row r="18999" spans="8:9">
      <c r="H18999" s="1092"/>
      <c r="I18999" s="1092"/>
    </row>
    <row r="19000" spans="8:9">
      <c r="H19000" s="1092"/>
      <c r="I19000" s="1092"/>
    </row>
    <row r="19001" spans="8:9">
      <c r="H19001" s="1092"/>
      <c r="I19001" s="1092"/>
    </row>
    <row r="19002" spans="8:9">
      <c r="H19002" s="1092"/>
      <c r="I19002" s="1092"/>
    </row>
    <row r="19003" spans="8:9">
      <c r="H19003" s="1092"/>
      <c r="I19003" s="1092"/>
    </row>
    <row r="19004" spans="8:9">
      <c r="H19004" s="1092"/>
      <c r="I19004" s="1092"/>
    </row>
    <row r="19005" spans="8:9">
      <c r="H19005" s="1092"/>
      <c r="I19005" s="1092"/>
    </row>
    <row r="19006" spans="8:9">
      <c r="H19006" s="1092"/>
      <c r="I19006" s="1092"/>
    </row>
    <row r="19007" spans="8:9">
      <c r="H19007" s="1092"/>
      <c r="I19007" s="1092"/>
    </row>
    <row r="19008" spans="8:9">
      <c r="H19008" s="1092"/>
      <c r="I19008" s="1092"/>
    </row>
    <row r="19009" spans="8:9">
      <c r="H19009" s="1092"/>
      <c r="I19009" s="1092"/>
    </row>
    <row r="19010" spans="8:9">
      <c r="H19010" s="1092"/>
      <c r="I19010" s="1092"/>
    </row>
    <row r="19011" spans="8:9">
      <c r="H19011" s="1092"/>
      <c r="I19011" s="1092"/>
    </row>
    <row r="19012" spans="8:9">
      <c r="H19012" s="1092"/>
      <c r="I19012" s="1092"/>
    </row>
    <row r="19013" spans="8:9">
      <c r="H19013" s="1092"/>
      <c r="I19013" s="1092"/>
    </row>
    <row r="19014" spans="8:9">
      <c r="H19014" s="1092"/>
      <c r="I19014" s="1092"/>
    </row>
    <row r="19015" spans="8:9">
      <c r="H19015" s="1092"/>
      <c r="I19015" s="1092"/>
    </row>
    <row r="19016" spans="8:9">
      <c r="H19016" s="1092"/>
      <c r="I19016" s="1092"/>
    </row>
    <row r="19017" spans="8:9">
      <c r="H19017" s="1092"/>
      <c r="I19017" s="1092"/>
    </row>
    <row r="19018" spans="8:9">
      <c r="H19018" s="1092"/>
      <c r="I19018" s="1092"/>
    </row>
    <row r="19019" spans="8:9">
      <c r="H19019" s="1092"/>
      <c r="I19019" s="1092"/>
    </row>
    <row r="19020" spans="8:9">
      <c r="H19020" s="1092"/>
      <c r="I19020" s="1092"/>
    </row>
    <row r="19021" spans="8:9">
      <c r="H19021" s="1092"/>
      <c r="I19021" s="1092"/>
    </row>
    <row r="19022" spans="8:9">
      <c r="H19022" s="1092"/>
      <c r="I19022" s="1092"/>
    </row>
    <row r="19023" spans="8:9">
      <c r="H19023" s="1092"/>
      <c r="I19023" s="1092"/>
    </row>
    <row r="19024" spans="8:9">
      <c r="H19024" s="1092"/>
      <c r="I19024" s="1092"/>
    </row>
    <row r="19025" spans="8:9">
      <c r="H19025" s="1092"/>
      <c r="I19025" s="1092"/>
    </row>
    <row r="19026" spans="8:9">
      <c r="H19026" s="1092"/>
      <c r="I19026" s="1092"/>
    </row>
    <row r="19027" spans="8:9">
      <c r="H19027" s="1092"/>
      <c r="I19027" s="1092"/>
    </row>
    <row r="19028" spans="8:9">
      <c r="H19028" s="1092"/>
      <c r="I19028" s="1092"/>
    </row>
    <row r="19029" spans="8:9">
      <c r="H19029" s="1092"/>
      <c r="I19029" s="1092"/>
    </row>
    <row r="19030" spans="8:9">
      <c r="H19030" s="1092"/>
      <c r="I19030" s="1092"/>
    </row>
    <row r="19031" spans="8:9">
      <c r="H19031" s="1092"/>
      <c r="I19031" s="1092"/>
    </row>
    <row r="19032" spans="8:9">
      <c r="H19032" s="1092"/>
      <c r="I19032" s="1092"/>
    </row>
    <row r="19033" spans="8:9">
      <c r="H19033" s="1092"/>
      <c r="I19033" s="1092"/>
    </row>
    <row r="19034" spans="8:9">
      <c r="H19034" s="1092"/>
      <c r="I19034" s="1092"/>
    </row>
    <row r="19035" spans="8:9">
      <c r="H19035" s="1092"/>
      <c r="I19035" s="1092"/>
    </row>
    <row r="19036" spans="8:9">
      <c r="H19036" s="1092"/>
      <c r="I19036" s="1092"/>
    </row>
    <row r="19037" spans="8:9">
      <c r="H19037" s="1092"/>
      <c r="I19037" s="1092"/>
    </row>
    <row r="19038" spans="8:9">
      <c r="H19038" s="1092"/>
      <c r="I19038" s="1092"/>
    </row>
    <row r="19039" spans="8:9">
      <c r="H19039" s="1092"/>
      <c r="I19039" s="1092"/>
    </row>
    <row r="19040" spans="8:9">
      <c r="H19040" s="1092"/>
      <c r="I19040" s="1092"/>
    </row>
    <row r="19041" spans="8:9">
      <c r="H19041" s="1092"/>
      <c r="I19041" s="1092"/>
    </row>
    <row r="19042" spans="8:9">
      <c r="H19042" s="1092"/>
      <c r="I19042" s="1092"/>
    </row>
    <row r="19043" spans="8:9">
      <c r="H19043" s="1092"/>
      <c r="I19043" s="1092"/>
    </row>
    <row r="19044" spans="8:9">
      <c r="H19044" s="1092"/>
      <c r="I19044" s="1092"/>
    </row>
    <row r="19045" spans="8:9">
      <c r="H19045" s="1092"/>
      <c r="I19045" s="1092"/>
    </row>
    <row r="19046" spans="8:9">
      <c r="H19046" s="1092"/>
      <c r="I19046" s="1092"/>
    </row>
    <row r="19047" spans="8:9">
      <c r="H19047" s="1092"/>
      <c r="I19047" s="1092"/>
    </row>
    <row r="19048" spans="8:9">
      <c r="H19048" s="1092"/>
      <c r="I19048" s="1092"/>
    </row>
    <row r="19049" spans="8:9">
      <c r="H19049" s="1092"/>
      <c r="I19049" s="1092"/>
    </row>
    <row r="19050" spans="8:9">
      <c r="H19050" s="1092"/>
      <c r="I19050" s="1092"/>
    </row>
    <row r="19051" spans="8:9">
      <c r="H19051" s="1092"/>
      <c r="I19051" s="1092"/>
    </row>
    <row r="19052" spans="8:9">
      <c r="H19052" s="1092"/>
      <c r="I19052" s="1092"/>
    </row>
    <row r="19053" spans="8:9">
      <c r="H19053" s="1092"/>
      <c r="I19053" s="1092"/>
    </row>
    <row r="19054" spans="8:9">
      <c r="H19054" s="1092"/>
      <c r="I19054" s="1092"/>
    </row>
    <row r="19055" spans="8:9">
      <c r="H19055" s="1092"/>
      <c r="I19055" s="1092"/>
    </row>
    <row r="19056" spans="8:9">
      <c r="H19056" s="1092"/>
      <c r="I19056" s="1092"/>
    </row>
    <row r="19057" spans="8:9">
      <c r="H19057" s="1092"/>
      <c r="I19057" s="1092"/>
    </row>
    <row r="19058" spans="8:9">
      <c r="H19058" s="1092"/>
      <c r="I19058" s="1092"/>
    </row>
    <row r="19059" spans="8:9">
      <c r="H19059" s="1092"/>
      <c r="I19059" s="1092"/>
    </row>
    <row r="19060" spans="8:9">
      <c r="H19060" s="1092"/>
      <c r="I19060" s="1092"/>
    </row>
    <row r="19061" spans="8:9">
      <c r="H19061" s="1092"/>
      <c r="I19061" s="1092"/>
    </row>
    <row r="19062" spans="8:9">
      <c r="H19062" s="1092"/>
      <c r="I19062" s="1092"/>
    </row>
    <row r="19063" spans="8:9">
      <c r="H19063" s="1092"/>
      <c r="I19063" s="1092"/>
    </row>
    <row r="19064" spans="8:9">
      <c r="H19064" s="1092"/>
      <c r="I19064" s="1092"/>
    </row>
    <row r="19065" spans="8:9">
      <c r="H19065" s="1092"/>
      <c r="I19065" s="1092"/>
    </row>
    <row r="19066" spans="8:9">
      <c r="H19066" s="1092"/>
      <c r="I19066" s="1092"/>
    </row>
    <row r="19067" spans="8:9">
      <c r="H19067" s="1092"/>
      <c r="I19067" s="1092"/>
    </row>
    <row r="19068" spans="8:9">
      <c r="H19068" s="1092"/>
      <c r="I19068" s="1092"/>
    </row>
    <row r="19069" spans="8:9">
      <c r="H19069" s="1092"/>
      <c r="I19069" s="1092"/>
    </row>
    <row r="19070" spans="8:9">
      <c r="H19070" s="1092"/>
      <c r="I19070" s="1092"/>
    </row>
    <row r="19071" spans="8:9">
      <c r="H19071" s="1092"/>
      <c r="I19071" s="1092"/>
    </row>
    <row r="19072" spans="8:9">
      <c r="H19072" s="1092"/>
      <c r="I19072" s="1092"/>
    </row>
    <row r="19073" spans="8:9">
      <c r="H19073" s="1092"/>
      <c r="I19073" s="1092"/>
    </row>
    <row r="19074" spans="8:9">
      <c r="H19074" s="1092"/>
      <c r="I19074" s="1092"/>
    </row>
    <row r="19075" spans="8:9">
      <c r="H19075" s="1092"/>
      <c r="I19075" s="1092"/>
    </row>
    <row r="19076" spans="8:9">
      <c r="H19076" s="1092"/>
      <c r="I19076" s="1092"/>
    </row>
    <row r="19077" spans="8:9">
      <c r="H19077" s="1092"/>
      <c r="I19077" s="1092"/>
    </row>
    <row r="19078" spans="8:9">
      <c r="H19078" s="1092"/>
      <c r="I19078" s="1092"/>
    </row>
    <row r="19079" spans="8:9">
      <c r="H19079" s="1092"/>
      <c r="I19079" s="1092"/>
    </row>
    <row r="19080" spans="8:9">
      <c r="H19080" s="1092"/>
      <c r="I19080" s="1092"/>
    </row>
    <row r="19081" spans="8:9">
      <c r="H19081" s="1092"/>
      <c r="I19081" s="1092"/>
    </row>
    <row r="19082" spans="8:9">
      <c r="H19082" s="1092"/>
      <c r="I19082" s="1092"/>
    </row>
    <row r="19083" spans="8:9">
      <c r="H19083" s="1092"/>
      <c r="I19083" s="1092"/>
    </row>
    <row r="19084" spans="8:9">
      <c r="H19084" s="1092"/>
      <c r="I19084" s="1092"/>
    </row>
    <row r="19085" spans="8:9">
      <c r="H19085" s="1092"/>
      <c r="I19085" s="1092"/>
    </row>
    <row r="19086" spans="8:9">
      <c r="H19086" s="1092"/>
      <c r="I19086" s="1092"/>
    </row>
    <row r="19087" spans="8:9">
      <c r="H19087" s="1092"/>
      <c r="I19087" s="1092"/>
    </row>
    <row r="19088" spans="8:9">
      <c r="H19088" s="1092"/>
      <c r="I19088" s="1092"/>
    </row>
    <row r="19089" spans="8:9">
      <c r="H19089" s="1092"/>
      <c r="I19089" s="1092"/>
    </row>
    <row r="19090" spans="8:9">
      <c r="H19090" s="1092"/>
      <c r="I19090" s="1092"/>
    </row>
    <row r="19091" spans="8:9">
      <c r="H19091" s="1092"/>
      <c r="I19091" s="1092"/>
    </row>
    <row r="19092" spans="8:9">
      <c r="H19092" s="1092"/>
      <c r="I19092" s="1092"/>
    </row>
    <row r="19093" spans="8:9">
      <c r="H19093" s="1092"/>
      <c r="I19093" s="1092"/>
    </row>
    <row r="19094" spans="8:9">
      <c r="H19094" s="1092"/>
      <c r="I19094" s="1092"/>
    </row>
    <row r="19095" spans="8:9">
      <c r="H19095" s="1092"/>
      <c r="I19095" s="1092"/>
    </row>
    <row r="19096" spans="8:9">
      <c r="H19096" s="1092"/>
      <c r="I19096" s="1092"/>
    </row>
    <row r="19097" spans="8:9">
      <c r="H19097" s="1092"/>
      <c r="I19097" s="1092"/>
    </row>
    <row r="19098" spans="8:9">
      <c r="H19098" s="1092"/>
      <c r="I19098" s="1092"/>
    </row>
    <row r="19099" spans="8:9">
      <c r="H19099" s="1092"/>
      <c r="I19099" s="1092"/>
    </row>
    <row r="19100" spans="8:9">
      <c r="H19100" s="1092"/>
      <c r="I19100" s="1092"/>
    </row>
    <row r="19101" spans="8:9">
      <c r="H19101" s="1092"/>
      <c r="I19101" s="1092"/>
    </row>
    <row r="19102" spans="8:9">
      <c r="H19102" s="1092"/>
      <c r="I19102" s="1092"/>
    </row>
    <row r="19103" spans="8:9">
      <c r="H19103" s="1092"/>
      <c r="I19103" s="1092"/>
    </row>
    <row r="19104" spans="8:9">
      <c r="H19104" s="1092"/>
      <c r="I19104" s="1092"/>
    </row>
    <row r="19105" spans="8:9">
      <c r="H19105" s="1092"/>
      <c r="I19105" s="1092"/>
    </row>
    <row r="19106" spans="8:9">
      <c r="H19106" s="1092"/>
      <c r="I19106" s="1092"/>
    </row>
    <row r="19107" spans="8:9">
      <c r="H19107" s="1092"/>
      <c r="I19107" s="1092"/>
    </row>
    <row r="19108" spans="8:9">
      <c r="H19108" s="1092"/>
      <c r="I19108" s="1092"/>
    </row>
    <row r="19109" spans="8:9">
      <c r="H19109" s="1092"/>
      <c r="I19109" s="1092"/>
    </row>
    <row r="19110" spans="8:9">
      <c r="H19110" s="1092"/>
      <c r="I19110" s="1092"/>
    </row>
    <row r="19111" spans="8:9">
      <c r="H19111" s="1092"/>
      <c r="I19111" s="1092"/>
    </row>
    <row r="19112" spans="8:9">
      <c r="H19112" s="1092"/>
      <c r="I19112" s="1092"/>
    </row>
    <row r="19113" spans="8:9">
      <c r="H19113" s="1092"/>
      <c r="I19113" s="1092"/>
    </row>
    <row r="19114" spans="8:9">
      <c r="H19114" s="1092"/>
      <c r="I19114" s="1092"/>
    </row>
    <row r="19115" spans="8:9">
      <c r="H19115" s="1092"/>
      <c r="I19115" s="1092"/>
    </row>
    <row r="19116" spans="8:9">
      <c r="H19116" s="1092"/>
      <c r="I19116" s="1092"/>
    </row>
    <row r="19117" spans="8:9">
      <c r="H19117" s="1092"/>
      <c r="I19117" s="1092"/>
    </row>
    <row r="19118" spans="8:9">
      <c r="H19118" s="1092"/>
      <c r="I19118" s="1092"/>
    </row>
    <row r="19119" spans="8:9">
      <c r="H19119" s="1092"/>
      <c r="I19119" s="1092"/>
    </row>
    <row r="19120" spans="8:9">
      <c r="H19120" s="1092"/>
      <c r="I19120" s="1092"/>
    </row>
    <row r="19121" spans="8:9">
      <c r="H19121" s="1092"/>
      <c r="I19121" s="1092"/>
    </row>
    <row r="19122" spans="8:9">
      <c r="H19122" s="1092"/>
      <c r="I19122" s="1092"/>
    </row>
    <row r="19123" spans="8:9">
      <c r="H19123" s="1092"/>
      <c r="I19123" s="1092"/>
    </row>
    <row r="19124" spans="8:9">
      <c r="H19124" s="1092"/>
      <c r="I19124" s="1092"/>
    </row>
    <row r="19125" spans="8:9">
      <c r="H19125" s="1092"/>
      <c r="I19125" s="1092"/>
    </row>
    <row r="19126" spans="8:9">
      <c r="H19126" s="1092"/>
      <c r="I19126" s="1092"/>
    </row>
    <row r="19127" spans="8:9">
      <c r="H19127" s="1092"/>
      <c r="I19127" s="1092"/>
    </row>
    <row r="19128" spans="8:9">
      <c r="H19128" s="1092"/>
      <c r="I19128" s="1092"/>
    </row>
    <row r="19129" spans="8:9">
      <c r="H19129" s="1092"/>
      <c r="I19129" s="1092"/>
    </row>
    <row r="19130" spans="8:9">
      <c r="H19130" s="1092"/>
      <c r="I19130" s="1092"/>
    </row>
    <row r="19131" spans="8:9">
      <c r="H19131" s="1092"/>
      <c r="I19131" s="1092"/>
    </row>
    <row r="19132" spans="8:9">
      <c r="H19132" s="1092"/>
      <c r="I19132" s="1092"/>
    </row>
    <row r="19133" spans="8:9">
      <c r="H19133" s="1092"/>
      <c r="I19133" s="1092"/>
    </row>
    <row r="19134" spans="8:9">
      <c r="H19134" s="1092"/>
      <c r="I19134" s="1092"/>
    </row>
    <row r="19135" spans="8:9">
      <c r="H19135" s="1092"/>
      <c r="I19135" s="1092"/>
    </row>
    <row r="19136" spans="8:9">
      <c r="H19136" s="1092"/>
      <c r="I19136" s="1092"/>
    </row>
    <row r="19137" spans="8:9">
      <c r="H19137" s="1092"/>
      <c r="I19137" s="1092"/>
    </row>
    <row r="19138" spans="8:9">
      <c r="H19138" s="1092"/>
      <c r="I19138" s="1092"/>
    </row>
    <row r="19139" spans="8:9">
      <c r="H19139" s="1092"/>
      <c r="I19139" s="1092"/>
    </row>
    <row r="19140" spans="8:9">
      <c r="H19140" s="1092"/>
      <c r="I19140" s="1092"/>
    </row>
    <row r="19141" spans="8:9">
      <c r="H19141" s="1092"/>
      <c r="I19141" s="1092"/>
    </row>
    <row r="19142" spans="8:9">
      <c r="H19142" s="1092"/>
      <c r="I19142" s="1092"/>
    </row>
    <row r="19143" spans="8:9">
      <c r="H19143" s="1092"/>
      <c r="I19143" s="1092"/>
    </row>
    <row r="19144" spans="8:9">
      <c r="H19144" s="1092"/>
      <c r="I19144" s="1092"/>
    </row>
    <row r="19145" spans="8:9">
      <c r="H19145" s="1092"/>
      <c r="I19145" s="1092"/>
    </row>
    <row r="19146" spans="8:9">
      <c r="H19146" s="1092"/>
      <c r="I19146" s="1092"/>
    </row>
    <row r="19147" spans="8:9">
      <c r="H19147" s="1092"/>
      <c r="I19147" s="1092"/>
    </row>
    <row r="19148" spans="8:9">
      <c r="H19148" s="1092"/>
      <c r="I19148" s="1092"/>
    </row>
    <row r="19149" spans="8:9">
      <c r="H19149" s="1092"/>
      <c r="I19149" s="1092"/>
    </row>
    <row r="19150" spans="8:9">
      <c r="H19150" s="1092"/>
      <c r="I19150" s="1092"/>
    </row>
    <row r="19151" spans="8:9">
      <c r="H19151" s="1092"/>
      <c r="I19151" s="1092"/>
    </row>
    <row r="19152" spans="8:9">
      <c r="H19152" s="1092"/>
      <c r="I19152" s="1092"/>
    </row>
    <row r="19153" spans="8:9">
      <c r="H19153" s="1092"/>
      <c r="I19153" s="1092"/>
    </row>
    <row r="19154" spans="8:9">
      <c r="H19154" s="1092"/>
      <c r="I19154" s="1092"/>
    </row>
    <row r="19155" spans="8:9">
      <c r="H19155" s="1092"/>
      <c r="I19155" s="1092"/>
    </row>
    <row r="19156" spans="8:9">
      <c r="H19156" s="1092"/>
      <c r="I19156" s="1092"/>
    </row>
    <row r="19157" spans="8:9">
      <c r="H19157" s="1092"/>
      <c r="I19157" s="1092"/>
    </row>
    <row r="19158" spans="8:9">
      <c r="H19158" s="1092"/>
      <c r="I19158" s="1092"/>
    </row>
    <row r="19159" spans="8:9">
      <c r="H19159" s="1092"/>
      <c r="I19159" s="1092"/>
    </row>
    <row r="19160" spans="8:9">
      <c r="H19160" s="1092"/>
      <c r="I19160" s="1092"/>
    </row>
    <row r="19161" spans="8:9">
      <c r="H19161" s="1092"/>
      <c r="I19161" s="1092"/>
    </row>
    <row r="19162" spans="8:9">
      <c r="H19162" s="1092"/>
      <c r="I19162" s="1092"/>
    </row>
    <row r="19163" spans="8:9">
      <c r="H19163" s="1092"/>
      <c r="I19163" s="1092"/>
    </row>
    <row r="19164" spans="8:9">
      <c r="H19164" s="1092"/>
      <c r="I19164" s="1092"/>
    </row>
    <row r="19165" spans="8:9">
      <c r="H19165" s="1092"/>
      <c r="I19165" s="1092"/>
    </row>
    <row r="19166" spans="8:9">
      <c r="H19166" s="1092"/>
      <c r="I19166" s="1092"/>
    </row>
    <row r="19167" spans="8:9">
      <c r="H19167" s="1092"/>
      <c r="I19167" s="1092"/>
    </row>
    <row r="19168" spans="8:9">
      <c r="H19168" s="1092"/>
      <c r="I19168" s="1092"/>
    </row>
    <row r="19169" spans="8:9">
      <c r="H19169" s="1092"/>
      <c r="I19169" s="1092"/>
    </row>
    <row r="19170" spans="8:9">
      <c r="H19170" s="1092"/>
      <c r="I19170" s="1092"/>
    </row>
    <row r="19171" spans="8:9">
      <c r="H19171" s="1092"/>
      <c r="I19171" s="1092"/>
    </row>
    <row r="19172" spans="8:9">
      <c r="H19172" s="1092"/>
      <c r="I19172" s="1092"/>
    </row>
    <row r="19173" spans="8:9">
      <c r="H19173" s="1092"/>
      <c r="I19173" s="1092"/>
    </row>
    <row r="19174" spans="8:9">
      <c r="H19174" s="1092"/>
      <c r="I19174" s="1092"/>
    </row>
    <row r="19175" spans="8:9">
      <c r="H19175" s="1092"/>
      <c r="I19175" s="1092"/>
    </row>
    <row r="19176" spans="8:9">
      <c r="H19176" s="1092"/>
      <c r="I19176" s="1092"/>
    </row>
    <row r="19177" spans="8:9">
      <c r="H19177" s="1092"/>
      <c r="I19177" s="1092"/>
    </row>
    <row r="19178" spans="8:9">
      <c r="H19178" s="1092"/>
      <c r="I19178" s="1092"/>
    </row>
    <row r="19179" spans="8:9">
      <c r="H19179" s="1092"/>
      <c r="I19179" s="1092"/>
    </row>
    <row r="19180" spans="8:9">
      <c r="H19180" s="1092"/>
      <c r="I19180" s="1092"/>
    </row>
    <row r="19181" spans="8:9">
      <c r="H19181" s="1092"/>
      <c r="I19181" s="1092"/>
    </row>
    <row r="19182" spans="8:9">
      <c r="H19182" s="1092"/>
      <c r="I19182" s="1092"/>
    </row>
    <row r="19183" spans="8:9">
      <c r="H19183" s="1092"/>
      <c r="I19183" s="1092"/>
    </row>
    <row r="19184" spans="8:9">
      <c r="H19184" s="1092"/>
      <c r="I19184" s="1092"/>
    </row>
    <row r="19185" spans="8:9">
      <c r="H19185" s="1092"/>
      <c r="I19185" s="1092"/>
    </row>
    <row r="19186" spans="8:9">
      <c r="H19186" s="1092"/>
      <c r="I19186" s="1092"/>
    </row>
    <row r="19187" spans="8:9">
      <c r="H19187" s="1092"/>
      <c r="I19187" s="1092"/>
    </row>
    <row r="19188" spans="8:9">
      <c r="H19188" s="1092"/>
      <c r="I19188" s="1092"/>
    </row>
    <row r="19189" spans="8:9">
      <c r="H19189" s="1092"/>
      <c r="I19189" s="1092"/>
    </row>
    <row r="19190" spans="8:9">
      <c r="H19190" s="1092"/>
      <c r="I19190" s="1092"/>
    </row>
    <row r="19191" spans="8:9">
      <c r="H19191" s="1092"/>
      <c r="I19191" s="1092"/>
    </row>
    <row r="19192" spans="8:9">
      <c r="H19192" s="1092"/>
      <c r="I19192" s="1092"/>
    </row>
    <row r="19193" spans="8:9">
      <c r="H19193" s="1092"/>
      <c r="I19193" s="1092"/>
    </row>
    <row r="19194" spans="8:9">
      <c r="H19194" s="1092"/>
      <c r="I19194" s="1092"/>
    </row>
    <row r="19195" spans="8:9">
      <c r="H19195" s="1092"/>
      <c r="I19195" s="1092"/>
    </row>
    <row r="19196" spans="8:9">
      <c r="H19196" s="1092"/>
      <c r="I19196" s="1092"/>
    </row>
    <row r="19197" spans="8:9">
      <c r="H19197" s="1092"/>
      <c r="I19197" s="1092"/>
    </row>
    <row r="19198" spans="8:9">
      <c r="H19198" s="1092"/>
      <c r="I19198" s="1092"/>
    </row>
    <row r="19199" spans="8:9">
      <c r="H19199" s="1092"/>
      <c r="I19199" s="1092"/>
    </row>
    <row r="19200" spans="8:9">
      <c r="H19200" s="1092"/>
      <c r="I19200" s="1092"/>
    </row>
    <row r="19201" spans="8:9">
      <c r="H19201" s="1092"/>
      <c r="I19201" s="1092"/>
    </row>
    <row r="19202" spans="8:9">
      <c r="H19202" s="1092"/>
      <c r="I19202" s="1092"/>
    </row>
    <row r="19203" spans="8:9">
      <c r="H19203" s="1092"/>
      <c r="I19203" s="1092"/>
    </row>
    <row r="19204" spans="8:9">
      <c r="H19204" s="1092"/>
      <c r="I19204" s="1092"/>
    </row>
    <row r="19205" spans="8:9">
      <c r="H19205" s="1092"/>
      <c r="I19205" s="1092"/>
    </row>
    <row r="19206" spans="8:9">
      <c r="H19206" s="1092"/>
      <c r="I19206" s="1092"/>
    </row>
    <row r="19207" spans="8:9">
      <c r="H19207" s="1092"/>
      <c r="I19207" s="1092"/>
    </row>
    <row r="19208" spans="8:9">
      <c r="H19208" s="1092"/>
      <c r="I19208" s="1092"/>
    </row>
    <row r="19209" spans="8:9">
      <c r="H19209" s="1092"/>
      <c r="I19209" s="1092"/>
    </row>
    <row r="19210" spans="8:9">
      <c r="H19210" s="1092"/>
      <c r="I19210" s="1092"/>
    </row>
    <row r="19211" spans="8:9">
      <c r="H19211" s="1092"/>
      <c r="I19211" s="1092"/>
    </row>
    <row r="19212" spans="8:9">
      <c r="H19212" s="1092"/>
      <c r="I19212" s="1092"/>
    </row>
    <row r="19213" spans="8:9">
      <c r="H19213" s="1092"/>
      <c r="I19213" s="1092"/>
    </row>
    <row r="19214" spans="8:9">
      <c r="H19214" s="1092"/>
      <c r="I19214" s="1092"/>
    </row>
    <row r="19215" spans="8:9">
      <c r="H19215" s="1092"/>
      <c r="I19215" s="1092"/>
    </row>
    <row r="19216" spans="8:9">
      <c r="H19216" s="1092"/>
      <c r="I19216" s="1092"/>
    </row>
    <row r="19217" spans="8:9">
      <c r="H19217" s="1092"/>
      <c r="I19217" s="1092"/>
    </row>
    <row r="19218" spans="8:9">
      <c r="H19218" s="1092"/>
      <c r="I19218" s="1092"/>
    </row>
    <row r="19219" spans="8:9">
      <c r="H19219" s="1092"/>
      <c r="I19219" s="1092"/>
    </row>
    <row r="19220" spans="8:9">
      <c r="H19220" s="1092"/>
      <c r="I19220" s="1092"/>
    </row>
    <row r="19221" spans="8:9">
      <c r="H19221" s="1092"/>
      <c r="I19221" s="1092"/>
    </row>
    <row r="19222" spans="8:9">
      <c r="H19222" s="1092"/>
      <c r="I19222" s="1092"/>
    </row>
    <row r="19223" spans="8:9">
      <c r="H19223" s="1092"/>
      <c r="I19223" s="1092"/>
    </row>
    <row r="19224" spans="8:9">
      <c r="H19224" s="1092"/>
      <c r="I19224" s="1092"/>
    </row>
    <row r="19225" spans="8:9">
      <c r="H19225" s="1092"/>
      <c r="I19225" s="1092"/>
    </row>
    <row r="19226" spans="8:9">
      <c r="H19226" s="1092"/>
      <c r="I19226" s="1092"/>
    </row>
    <row r="19227" spans="8:9">
      <c r="H19227" s="1092"/>
      <c r="I19227" s="1092"/>
    </row>
    <row r="19228" spans="8:9">
      <c r="H19228" s="1092"/>
      <c r="I19228" s="1092"/>
    </row>
    <row r="19229" spans="8:9">
      <c r="H19229" s="1092"/>
      <c r="I19229" s="1092"/>
    </row>
    <row r="19230" spans="8:9">
      <c r="H19230" s="1092"/>
      <c r="I19230" s="1092"/>
    </row>
    <row r="19231" spans="8:9">
      <c r="H19231" s="1092"/>
      <c r="I19231" s="1092"/>
    </row>
    <row r="19232" spans="8:9">
      <c r="H19232" s="1092"/>
      <c r="I19232" s="1092"/>
    </row>
    <row r="19233" spans="8:9">
      <c r="H19233" s="1092"/>
      <c r="I19233" s="1092"/>
    </row>
    <row r="19234" spans="8:9">
      <c r="H19234" s="1092"/>
      <c r="I19234" s="1092"/>
    </row>
    <row r="19235" spans="8:9">
      <c r="H19235" s="1092"/>
      <c r="I19235" s="1092"/>
    </row>
    <row r="19236" spans="8:9">
      <c r="H19236" s="1092"/>
      <c r="I19236" s="1092"/>
    </row>
    <row r="19237" spans="8:9">
      <c r="H19237" s="1092"/>
      <c r="I19237" s="1092"/>
    </row>
    <row r="19238" spans="8:9">
      <c r="H19238" s="1092"/>
      <c r="I19238" s="1092"/>
    </row>
    <row r="19239" spans="8:9">
      <c r="H19239" s="1092"/>
      <c r="I19239" s="1092"/>
    </row>
    <row r="19240" spans="8:9">
      <c r="H19240" s="1092"/>
      <c r="I19240" s="1092"/>
    </row>
    <row r="19241" spans="8:9">
      <c r="H19241" s="1092"/>
      <c r="I19241" s="1092"/>
    </row>
    <row r="19242" spans="8:9">
      <c r="H19242" s="1092"/>
      <c r="I19242" s="1092"/>
    </row>
    <row r="19243" spans="8:9">
      <c r="H19243" s="1092"/>
      <c r="I19243" s="1092"/>
    </row>
    <row r="19244" spans="8:9">
      <c r="H19244" s="1092"/>
      <c r="I19244" s="1092"/>
    </row>
    <row r="19245" spans="8:9">
      <c r="H19245" s="1092"/>
      <c r="I19245" s="1092"/>
    </row>
    <row r="19246" spans="8:9">
      <c r="H19246" s="1092"/>
      <c r="I19246" s="1092"/>
    </row>
    <row r="19247" spans="8:9">
      <c r="H19247" s="1092"/>
      <c r="I19247" s="1092"/>
    </row>
    <row r="19248" spans="8:9">
      <c r="H19248" s="1092"/>
      <c r="I19248" s="1092"/>
    </row>
    <row r="19249" spans="8:9">
      <c r="H19249" s="1092"/>
      <c r="I19249" s="1092"/>
    </row>
    <row r="19250" spans="8:9">
      <c r="H19250" s="1092"/>
      <c r="I19250" s="1092"/>
    </row>
    <row r="19251" spans="8:9">
      <c r="H19251" s="1092"/>
      <c r="I19251" s="1092"/>
    </row>
    <row r="19252" spans="8:9">
      <c r="H19252" s="1092"/>
      <c r="I19252" s="1092"/>
    </row>
    <row r="19253" spans="8:9">
      <c r="H19253" s="1092"/>
      <c r="I19253" s="1092"/>
    </row>
    <row r="19254" spans="8:9">
      <c r="H19254" s="1092"/>
      <c r="I19254" s="1092"/>
    </row>
    <row r="19255" spans="8:9">
      <c r="H19255" s="1092"/>
      <c r="I19255" s="1092"/>
    </row>
    <row r="19256" spans="8:9">
      <c r="H19256" s="1092"/>
      <c r="I19256" s="1092"/>
    </row>
    <row r="19257" spans="8:9">
      <c r="H19257" s="1092"/>
      <c r="I19257" s="1092"/>
    </row>
    <row r="19258" spans="8:9">
      <c r="H19258" s="1092"/>
      <c r="I19258" s="1092"/>
    </row>
    <row r="19259" spans="8:9">
      <c r="H19259" s="1092"/>
      <c r="I19259" s="1092"/>
    </row>
    <row r="19260" spans="8:9">
      <c r="H19260" s="1092"/>
      <c r="I19260" s="1092"/>
    </row>
    <row r="19261" spans="8:9">
      <c r="H19261" s="1092"/>
      <c r="I19261" s="1092"/>
    </row>
    <row r="19262" spans="8:9">
      <c r="H19262" s="1092"/>
      <c r="I19262" s="1092"/>
    </row>
    <row r="19263" spans="8:9">
      <c r="H19263" s="1092"/>
      <c r="I19263" s="1092"/>
    </row>
    <row r="19264" spans="8:9">
      <c r="H19264" s="1092"/>
      <c r="I19264" s="1092"/>
    </row>
    <row r="19265" spans="8:9">
      <c r="H19265" s="1092"/>
      <c r="I19265" s="1092"/>
    </row>
    <row r="19266" spans="8:9">
      <c r="H19266" s="1092"/>
      <c r="I19266" s="1092"/>
    </row>
    <row r="19267" spans="8:9">
      <c r="H19267" s="1092"/>
      <c r="I19267" s="1092"/>
    </row>
    <row r="19268" spans="8:9">
      <c r="H19268" s="1092"/>
      <c r="I19268" s="1092"/>
    </row>
    <row r="19269" spans="8:9">
      <c r="H19269" s="1092"/>
      <c r="I19269" s="1092"/>
    </row>
    <row r="19270" spans="8:9">
      <c r="H19270" s="1092"/>
      <c r="I19270" s="1092"/>
    </row>
    <row r="19271" spans="8:9">
      <c r="H19271" s="1092"/>
      <c r="I19271" s="1092"/>
    </row>
    <row r="19272" spans="8:9">
      <c r="H19272" s="1092"/>
      <c r="I19272" s="1092"/>
    </row>
    <row r="19273" spans="8:9">
      <c r="H19273" s="1092"/>
      <c r="I19273" s="1092"/>
    </row>
    <row r="19274" spans="8:9">
      <c r="H19274" s="1092"/>
      <c r="I19274" s="1092"/>
    </row>
    <row r="19275" spans="8:9">
      <c r="H19275" s="1092"/>
      <c r="I19275" s="1092"/>
    </row>
    <row r="19276" spans="8:9">
      <c r="H19276" s="1092"/>
      <c r="I19276" s="1092"/>
    </row>
    <row r="19277" spans="8:9">
      <c r="H19277" s="1092"/>
      <c r="I19277" s="1092"/>
    </row>
    <row r="19278" spans="8:9">
      <c r="H19278" s="1092"/>
      <c r="I19278" s="1092"/>
    </row>
    <row r="19279" spans="8:9">
      <c r="H19279" s="1092"/>
      <c r="I19279" s="1092"/>
    </row>
    <row r="19280" spans="8:9">
      <c r="H19280" s="1092"/>
      <c r="I19280" s="1092"/>
    </row>
    <row r="19281" spans="8:9">
      <c r="H19281" s="1092"/>
      <c r="I19281" s="1092"/>
    </row>
    <row r="19282" spans="8:9">
      <c r="H19282" s="1092"/>
      <c r="I19282" s="1092"/>
    </row>
    <row r="19283" spans="8:9">
      <c r="H19283" s="1092"/>
      <c r="I19283" s="1092"/>
    </row>
    <row r="19284" spans="8:9">
      <c r="H19284" s="1092"/>
      <c r="I19284" s="1092"/>
    </row>
    <row r="19285" spans="8:9">
      <c r="H19285" s="1092"/>
      <c r="I19285" s="1092"/>
    </row>
    <row r="19286" spans="8:9">
      <c r="H19286" s="1092"/>
      <c r="I19286" s="1092"/>
    </row>
    <row r="19287" spans="8:9">
      <c r="H19287" s="1092"/>
      <c r="I19287" s="1092"/>
    </row>
    <row r="19288" spans="8:9">
      <c r="H19288" s="1092"/>
      <c r="I19288" s="1092"/>
    </row>
    <row r="19289" spans="8:9">
      <c r="H19289" s="1092"/>
      <c r="I19289" s="1092"/>
    </row>
    <row r="19290" spans="8:9">
      <c r="H19290" s="1092"/>
      <c r="I19290" s="1092"/>
    </row>
    <row r="19291" spans="8:9">
      <c r="H19291" s="1092"/>
      <c r="I19291" s="1092"/>
    </row>
    <row r="19292" spans="8:9">
      <c r="H19292" s="1092"/>
      <c r="I19292" s="1092"/>
    </row>
    <row r="19293" spans="8:9">
      <c r="H19293" s="1092"/>
      <c r="I19293" s="1092"/>
    </row>
    <row r="19294" spans="8:9">
      <c r="H19294" s="1092"/>
      <c r="I19294" s="1092"/>
    </row>
    <row r="19295" spans="8:9">
      <c r="H19295" s="1092"/>
      <c r="I19295" s="1092"/>
    </row>
    <row r="19296" spans="8:9">
      <c r="H19296" s="1092"/>
      <c r="I19296" s="1092"/>
    </row>
    <row r="19297" spans="8:9">
      <c r="H19297" s="1092"/>
      <c r="I19297" s="1092"/>
    </row>
    <row r="19298" spans="8:9">
      <c r="H19298" s="1092"/>
      <c r="I19298" s="1092"/>
    </row>
    <row r="19299" spans="8:9">
      <c r="H19299" s="1092"/>
      <c r="I19299" s="1092"/>
    </row>
    <row r="19300" spans="8:9">
      <c r="H19300" s="1092"/>
      <c r="I19300" s="1092"/>
    </row>
    <row r="19301" spans="8:9">
      <c r="H19301" s="1092"/>
      <c r="I19301" s="1092"/>
    </row>
    <row r="19302" spans="8:9">
      <c r="H19302" s="1092"/>
      <c r="I19302" s="1092"/>
    </row>
    <row r="19303" spans="8:9">
      <c r="H19303" s="1092"/>
      <c r="I19303" s="1092"/>
    </row>
    <row r="19304" spans="8:9">
      <c r="H19304" s="1092"/>
      <c r="I19304" s="1092"/>
    </row>
    <row r="19305" spans="8:9">
      <c r="H19305" s="1092"/>
      <c r="I19305" s="1092"/>
    </row>
    <row r="19306" spans="8:9">
      <c r="H19306" s="1092"/>
      <c r="I19306" s="1092"/>
    </row>
    <row r="19307" spans="8:9">
      <c r="H19307" s="1092"/>
      <c r="I19307" s="1092"/>
    </row>
    <row r="19308" spans="8:9">
      <c r="H19308" s="1092"/>
      <c r="I19308" s="1092"/>
    </row>
    <row r="19309" spans="8:9">
      <c r="H19309" s="1092"/>
      <c r="I19309" s="1092"/>
    </row>
    <row r="19310" spans="8:9">
      <c r="H19310" s="1092"/>
      <c r="I19310" s="1092"/>
    </row>
    <row r="19311" spans="8:9">
      <c r="H19311" s="1092"/>
      <c r="I19311" s="1092"/>
    </row>
    <row r="19312" spans="8:9">
      <c r="H19312" s="1092"/>
      <c r="I19312" s="1092"/>
    </row>
    <row r="19313" spans="8:9">
      <c r="H19313" s="1092"/>
      <c r="I19313" s="1092"/>
    </row>
    <row r="19314" spans="8:9">
      <c r="H19314" s="1092"/>
      <c r="I19314" s="1092"/>
    </row>
    <row r="19315" spans="8:9">
      <c r="H19315" s="1092"/>
      <c r="I19315" s="1092"/>
    </row>
    <row r="19316" spans="8:9">
      <c r="H19316" s="1092"/>
      <c r="I19316" s="1092"/>
    </row>
    <row r="19317" spans="8:9">
      <c r="H19317" s="1092"/>
      <c r="I19317" s="1092"/>
    </row>
    <row r="19318" spans="8:9">
      <c r="H19318" s="1092"/>
      <c r="I19318" s="1092"/>
    </row>
    <row r="19319" spans="8:9">
      <c r="H19319" s="1092"/>
      <c r="I19319" s="1092"/>
    </row>
    <row r="19320" spans="8:9">
      <c r="H19320" s="1092"/>
      <c r="I19320" s="1092"/>
    </row>
    <row r="19321" spans="8:9">
      <c r="H19321" s="1092"/>
      <c r="I19321" s="1092"/>
    </row>
    <row r="19322" spans="8:9">
      <c r="H19322" s="1092"/>
      <c r="I19322" s="1092"/>
    </row>
    <row r="19323" spans="8:9">
      <c r="H19323" s="1092"/>
      <c r="I19323" s="1092"/>
    </row>
    <row r="19324" spans="8:9">
      <c r="H19324" s="1092"/>
      <c r="I19324" s="1092"/>
    </row>
    <row r="19325" spans="8:9">
      <c r="H19325" s="1092"/>
      <c r="I19325" s="1092"/>
    </row>
    <row r="19326" spans="8:9">
      <c r="H19326" s="1092"/>
      <c r="I19326" s="1092"/>
    </row>
    <row r="19327" spans="8:9">
      <c r="H19327" s="1092"/>
      <c r="I19327" s="1092"/>
    </row>
    <row r="19328" spans="8:9">
      <c r="H19328" s="1092"/>
      <c r="I19328" s="1092"/>
    </row>
    <row r="19329" spans="8:9">
      <c r="H19329" s="1092"/>
      <c r="I19329" s="1092"/>
    </row>
    <row r="19330" spans="8:9">
      <c r="H19330" s="1092"/>
      <c r="I19330" s="1092"/>
    </row>
    <row r="19331" spans="8:9">
      <c r="H19331" s="1092"/>
      <c r="I19331" s="1092"/>
    </row>
    <row r="19332" spans="8:9">
      <c r="H19332" s="1092"/>
      <c r="I19332" s="1092"/>
    </row>
    <row r="19333" spans="8:9">
      <c r="H19333" s="1092"/>
      <c r="I19333" s="1092"/>
    </row>
    <row r="19334" spans="8:9">
      <c r="H19334" s="1092"/>
      <c r="I19334" s="1092"/>
    </row>
    <row r="19335" spans="8:9">
      <c r="H19335" s="1092"/>
      <c r="I19335" s="1092"/>
    </row>
    <row r="19336" spans="8:9">
      <c r="H19336" s="1092"/>
      <c r="I19336" s="1092"/>
    </row>
    <row r="19337" spans="8:9">
      <c r="H19337" s="1092"/>
      <c r="I19337" s="1092"/>
    </row>
    <row r="19338" spans="8:9">
      <c r="H19338" s="1092"/>
      <c r="I19338" s="1092"/>
    </row>
    <row r="19339" spans="8:9">
      <c r="H19339" s="1092"/>
      <c r="I19339" s="1092"/>
    </row>
    <row r="19340" spans="8:9">
      <c r="H19340" s="1092"/>
      <c r="I19340" s="1092"/>
    </row>
    <row r="19341" spans="8:9">
      <c r="H19341" s="1092"/>
      <c r="I19341" s="1092"/>
    </row>
    <row r="19342" spans="8:9">
      <c r="H19342" s="1092"/>
      <c r="I19342" s="1092"/>
    </row>
    <row r="19343" spans="8:9">
      <c r="H19343" s="1092"/>
      <c r="I19343" s="1092"/>
    </row>
    <row r="19344" spans="8:9">
      <c r="H19344" s="1092"/>
      <c r="I19344" s="1092"/>
    </row>
    <row r="19345" spans="8:9">
      <c r="H19345" s="1092"/>
      <c r="I19345" s="1092"/>
    </row>
    <row r="19346" spans="8:9">
      <c r="H19346" s="1092"/>
      <c r="I19346" s="1092"/>
    </row>
    <row r="19347" spans="8:9">
      <c r="H19347" s="1092"/>
      <c r="I19347" s="1092"/>
    </row>
    <row r="19348" spans="8:9">
      <c r="H19348" s="1092"/>
      <c r="I19348" s="1092"/>
    </row>
    <row r="19349" spans="8:9">
      <c r="H19349" s="1092"/>
      <c r="I19349" s="1092"/>
    </row>
    <row r="19350" spans="8:9">
      <c r="H19350" s="1092"/>
      <c r="I19350" s="1092"/>
    </row>
    <row r="19351" spans="8:9">
      <c r="H19351" s="1092"/>
      <c r="I19351" s="1092"/>
    </row>
    <row r="19352" spans="8:9">
      <c r="H19352" s="1092"/>
      <c r="I19352" s="1092"/>
    </row>
    <row r="19353" spans="8:9">
      <c r="H19353" s="1092"/>
      <c r="I19353" s="1092"/>
    </row>
    <row r="19354" spans="8:9">
      <c r="H19354" s="1092"/>
      <c r="I19354" s="1092"/>
    </row>
    <row r="19355" spans="8:9">
      <c r="H19355" s="1092"/>
      <c r="I19355" s="1092"/>
    </row>
    <row r="19356" spans="8:9">
      <c r="H19356" s="1092"/>
      <c r="I19356" s="1092"/>
    </row>
    <row r="19357" spans="8:9">
      <c r="H19357" s="1092"/>
      <c r="I19357" s="1092"/>
    </row>
    <row r="19358" spans="8:9">
      <c r="H19358" s="1092"/>
      <c r="I19358" s="1092"/>
    </row>
    <row r="19359" spans="8:9">
      <c r="H19359" s="1092"/>
      <c r="I19359" s="1092"/>
    </row>
    <row r="19360" spans="8:9">
      <c r="H19360" s="1092"/>
      <c r="I19360" s="1092"/>
    </row>
    <row r="19361" spans="8:9">
      <c r="H19361" s="1092"/>
      <c r="I19361" s="1092"/>
    </row>
    <row r="19362" spans="8:9">
      <c r="H19362" s="1092"/>
      <c r="I19362" s="1092"/>
    </row>
    <row r="19363" spans="8:9">
      <c r="H19363" s="1092"/>
      <c r="I19363" s="1092"/>
    </row>
    <row r="19364" spans="8:9">
      <c r="H19364" s="1092"/>
      <c r="I19364" s="1092"/>
    </row>
    <row r="19365" spans="8:9">
      <c r="H19365" s="1092"/>
      <c r="I19365" s="1092"/>
    </row>
    <row r="19366" spans="8:9">
      <c r="H19366" s="1092"/>
      <c r="I19366" s="1092"/>
    </row>
    <row r="19367" spans="8:9">
      <c r="H19367" s="1092"/>
      <c r="I19367" s="1092"/>
    </row>
    <row r="19368" spans="8:9">
      <c r="H19368" s="1092"/>
      <c r="I19368" s="1092"/>
    </row>
    <row r="19369" spans="8:9">
      <c r="H19369" s="1092"/>
      <c r="I19369" s="1092"/>
    </row>
    <row r="19370" spans="8:9">
      <c r="H19370" s="1092"/>
      <c r="I19370" s="1092"/>
    </row>
    <row r="19371" spans="8:9">
      <c r="H19371" s="1092"/>
      <c r="I19371" s="1092"/>
    </row>
    <row r="19372" spans="8:9">
      <c r="H19372" s="1092"/>
      <c r="I19372" s="1092"/>
    </row>
    <row r="19373" spans="8:9">
      <c r="H19373" s="1092"/>
      <c r="I19373" s="1092"/>
    </row>
    <row r="19374" spans="8:9">
      <c r="H19374" s="1092"/>
      <c r="I19374" s="1092"/>
    </row>
    <row r="19375" spans="8:9">
      <c r="H19375" s="1092"/>
      <c r="I19375" s="1092"/>
    </row>
    <row r="19376" spans="8:9">
      <c r="H19376" s="1092"/>
      <c r="I19376" s="1092"/>
    </row>
    <row r="19377" spans="8:9">
      <c r="H19377" s="1092"/>
      <c r="I19377" s="1092"/>
    </row>
    <row r="19378" spans="8:9">
      <c r="H19378" s="1092"/>
      <c r="I19378" s="1092"/>
    </row>
    <row r="19379" spans="8:9">
      <c r="H19379" s="1092"/>
      <c r="I19379" s="1092"/>
    </row>
    <row r="19380" spans="8:9">
      <c r="H19380" s="1092"/>
      <c r="I19380" s="1092"/>
    </row>
    <row r="19381" spans="8:9">
      <c r="H19381" s="1092"/>
      <c r="I19381" s="1092"/>
    </row>
    <row r="19382" spans="8:9">
      <c r="H19382" s="1092"/>
      <c r="I19382" s="1092"/>
    </row>
    <row r="19383" spans="8:9">
      <c r="H19383" s="1092"/>
      <c r="I19383" s="1092"/>
    </row>
    <row r="19384" spans="8:9">
      <c r="H19384" s="1092"/>
      <c r="I19384" s="1092"/>
    </row>
    <row r="19385" spans="8:9">
      <c r="H19385" s="1092"/>
      <c r="I19385" s="1092"/>
    </row>
    <row r="19386" spans="8:9">
      <c r="H19386" s="1092"/>
      <c r="I19386" s="1092"/>
    </row>
    <row r="19387" spans="8:9">
      <c r="H19387" s="1092"/>
      <c r="I19387" s="1092"/>
    </row>
    <row r="19388" spans="8:9">
      <c r="H19388" s="1092"/>
      <c r="I19388" s="1092"/>
    </row>
    <row r="19389" spans="8:9">
      <c r="H19389" s="1092"/>
      <c r="I19389" s="1092"/>
    </row>
    <row r="19390" spans="8:9">
      <c r="H19390" s="1092"/>
      <c r="I19390" s="1092"/>
    </row>
    <row r="19391" spans="8:9">
      <c r="H19391" s="1092"/>
      <c r="I19391" s="1092"/>
    </row>
    <row r="19392" spans="8:9">
      <c r="H19392" s="1092"/>
      <c r="I19392" s="1092"/>
    </row>
    <row r="19393" spans="8:9">
      <c r="H19393" s="1092"/>
      <c r="I19393" s="1092"/>
    </row>
    <row r="19394" spans="8:9">
      <c r="H19394" s="1092"/>
      <c r="I19394" s="1092"/>
    </row>
    <row r="19395" spans="8:9">
      <c r="H19395" s="1092"/>
      <c r="I19395" s="1092"/>
    </row>
    <row r="19396" spans="8:9">
      <c r="H19396" s="1092"/>
      <c r="I19396" s="1092"/>
    </row>
    <row r="19397" spans="8:9">
      <c r="H19397" s="1092"/>
      <c r="I19397" s="1092"/>
    </row>
    <row r="19398" spans="8:9">
      <c r="H19398" s="1092"/>
      <c r="I19398" s="1092"/>
    </row>
    <row r="19399" spans="8:9">
      <c r="H19399" s="1092"/>
      <c r="I19399" s="1092"/>
    </row>
    <row r="19400" spans="8:9">
      <c r="H19400" s="1092"/>
      <c r="I19400" s="1092"/>
    </row>
    <row r="19401" spans="8:9">
      <c r="H19401" s="1092"/>
      <c r="I19401" s="1092"/>
    </row>
    <row r="19402" spans="8:9">
      <c r="H19402" s="1092"/>
      <c r="I19402" s="1092"/>
    </row>
    <row r="19403" spans="8:9">
      <c r="H19403" s="1092"/>
      <c r="I19403" s="1092"/>
    </row>
    <row r="19404" spans="8:9">
      <c r="H19404" s="1092"/>
      <c r="I19404" s="1092"/>
    </row>
    <row r="19405" spans="8:9">
      <c r="H19405" s="1092"/>
      <c r="I19405" s="1092"/>
    </row>
    <row r="19406" spans="8:9">
      <c r="H19406" s="1092"/>
      <c r="I19406" s="1092"/>
    </row>
    <row r="19407" spans="8:9">
      <c r="H19407" s="1092"/>
      <c r="I19407" s="1092"/>
    </row>
    <row r="19408" spans="8:9">
      <c r="H19408" s="1092"/>
      <c r="I19408" s="1092"/>
    </row>
    <row r="19409" spans="8:9">
      <c r="H19409" s="1092"/>
      <c r="I19409" s="1092"/>
    </row>
    <row r="19410" spans="8:9">
      <c r="H19410" s="1092"/>
      <c r="I19410" s="1092"/>
    </row>
    <row r="19411" spans="8:9">
      <c r="H19411" s="1092"/>
      <c r="I19411" s="1092"/>
    </row>
    <row r="19412" spans="8:9">
      <c r="H19412" s="1092"/>
      <c r="I19412" s="1092"/>
    </row>
    <row r="19413" spans="8:9">
      <c r="H19413" s="1092"/>
      <c r="I19413" s="1092"/>
    </row>
    <row r="19414" spans="8:9">
      <c r="H19414" s="1092"/>
      <c r="I19414" s="1092"/>
    </row>
    <row r="19415" spans="8:9">
      <c r="H19415" s="1092"/>
      <c r="I19415" s="1092"/>
    </row>
    <row r="19416" spans="8:9">
      <c r="H19416" s="1092"/>
      <c r="I19416" s="1092"/>
    </row>
    <row r="19417" spans="8:9">
      <c r="H19417" s="1092"/>
      <c r="I19417" s="1092"/>
    </row>
    <row r="19418" spans="8:9">
      <c r="H19418" s="1092"/>
      <c r="I19418" s="1092"/>
    </row>
    <row r="19419" spans="8:9">
      <c r="H19419" s="1092"/>
      <c r="I19419" s="1092"/>
    </row>
    <row r="19420" spans="8:9">
      <c r="H19420" s="1092"/>
      <c r="I19420" s="1092"/>
    </row>
    <row r="19421" spans="8:9">
      <c r="H19421" s="1092"/>
      <c r="I19421" s="1092"/>
    </row>
    <row r="19422" spans="8:9">
      <c r="H19422" s="1092"/>
      <c r="I19422" s="1092"/>
    </row>
    <row r="19423" spans="8:9">
      <c r="H19423" s="1092"/>
      <c r="I19423" s="1092"/>
    </row>
    <row r="19424" spans="8:9">
      <c r="H19424" s="1092"/>
      <c r="I19424" s="1092"/>
    </row>
    <row r="19425" spans="8:9">
      <c r="H19425" s="1092"/>
      <c r="I19425" s="1092"/>
    </row>
    <row r="19426" spans="8:9">
      <c r="H19426" s="1092"/>
      <c r="I19426" s="1092"/>
    </row>
    <row r="19427" spans="8:9">
      <c r="H19427" s="1092"/>
      <c r="I19427" s="1092"/>
    </row>
    <row r="19428" spans="8:9">
      <c r="H19428" s="1092"/>
      <c r="I19428" s="1092"/>
    </row>
    <row r="19429" spans="8:9">
      <c r="H19429" s="1092"/>
      <c r="I19429" s="1092"/>
    </row>
    <row r="19430" spans="8:9">
      <c r="H19430" s="1092"/>
      <c r="I19430" s="1092"/>
    </row>
    <row r="19431" spans="8:9">
      <c r="H19431" s="1092"/>
      <c r="I19431" s="1092"/>
    </row>
    <row r="19432" spans="8:9">
      <c r="H19432" s="1092"/>
      <c r="I19432" s="1092"/>
    </row>
    <row r="19433" spans="8:9">
      <c r="H19433" s="1092"/>
      <c r="I19433" s="1092"/>
    </row>
    <row r="19434" spans="8:9">
      <c r="H19434" s="1092"/>
      <c r="I19434" s="1092"/>
    </row>
    <row r="19435" spans="8:9">
      <c r="H19435" s="1092"/>
      <c r="I19435" s="1092"/>
    </row>
    <row r="19436" spans="8:9">
      <c r="H19436" s="1092"/>
      <c r="I19436" s="1092"/>
    </row>
    <row r="19437" spans="8:9">
      <c r="H19437" s="1092"/>
      <c r="I19437" s="1092"/>
    </row>
    <row r="19438" spans="8:9">
      <c r="H19438" s="1092"/>
      <c r="I19438" s="1092"/>
    </row>
    <row r="19439" spans="8:9">
      <c r="H19439" s="1092"/>
      <c r="I19439" s="1092"/>
    </row>
    <row r="19440" spans="8:9">
      <c r="H19440" s="1092"/>
      <c r="I19440" s="1092"/>
    </row>
    <row r="19441" spans="8:9">
      <c r="H19441" s="1092"/>
      <c r="I19441" s="1092"/>
    </row>
    <row r="19442" spans="8:9">
      <c r="H19442" s="1092"/>
      <c r="I19442" s="1092"/>
    </row>
    <row r="19443" spans="8:9">
      <c r="H19443" s="1092"/>
      <c r="I19443" s="1092"/>
    </row>
    <row r="19444" spans="8:9">
      <c r="H19444" s="1092"/>
      <c r="I19444" s="1092"/>
    </row>
    <row r="19445" spans="8:9">
      <c r="H19445" s="1092"/>
      <c r="I19445" s="1092"/>
    </row>
    <row r="19446" spans="8:9">
      <c r="H19446" s="1092"/>
      <c r="I19446" s="1092"/>
    </row>
    <row r="19447" spans="8:9">
      <c r="H19447" s="1092"/>
      <c r="I19447" s="1092"/>
    </row>
    <row r="19448" spans="8:9">
      <c r="H19448" s="1092"/>
      <c r="I19448" s="1092"/>
    </row>
    <row r="19449" spans="8:9">
      <c r="H19449" s="1092"/>
      <c r="I19449" s="1092"/>
    </row>
    <row r="19450" spans="8:9">
      <c r="H19450" s="1092"/>
      <c r="I19450" s="1092"/>
    </row>
    <row r="19451" spans="8:9">
      <c r="H19451" s="1092"/>
      <c r="I19451" s="1092"/>
    </row>
    <row r="19452" spans="8:9">
      <c r="H19452" s="1092"/>
      <c r="I19452" s="1092"/>
    </row>
    <row r="19453" spans="8:9">
      <c r="H19453" s="1092"/>
      <c r="I19453" s="1092"/>
    </row>
    <row r="19454" spans="8:9">
      <c r="H19454" s="1092"/>
      <c r="I19454" s="1092"/>
    </row>
    <row r="19455" spans="8:9">
      <c r="H19455" s="1092"/>
      <c r="I19455" s="1092"/>
    </row>
    <row r="19456" spans="8:9">
      <c r="H19456" s="1092"/>
      <c r="I19456" s="1092"/>
    </row>
    <row r="19457" spans="8:9">
      <c r="H19457" s="1092"/>
      <c r="I19457" s="1092"/>
    </row>
    <row r="19458" spans="8:9">
      <c r="H19458" s="1092"/>
      <c r="I19458" s="1092"/>
    </row>
    <row r="19459" spans="8:9">
      <c r="H19459" s="1092"/>
      <c r="I19459" s="1092"/>
    </row>
    <row r="19460" spans="8:9">
      <c r="H19460" s="1092"/>
      <c r="I19460" s="1092"/>
    </row>
    <row r="19461" spans="8:9">
      <c r="H19461" s="1092"/>
      <c r="I19461" s="1092"/>
    </row>
    <row r="19462" spans="8:9">
      <c r="H19462" s="1092"/>
      <c r="I19462" s="1092"/>
    </row>
    <row r="19463" spans="8:9">
      <c r="H19463" s="1092"/>
      <c r="I19463" s="1092"/>
    </row>
    <row r="19464" spans="8:9">
      <c r="H19464" s="1092"/>
      <c r="I19464" s="1092"/>
    </row>
    <row r="19465" spans="8:9">
      <c r="H19465" s="1092"/>
      <c r="I19465" s="1092"/>
    </row>
    <row r="19466" spans="8:9">
      <c r="H19466" s="1092"/>
      <c r="I19466" s="1092"/>
    </row>
    <row r="19467" spans="8:9">
      <c r="H19467" s="1092"/>
      <c r="I19467" s="1092"/>
    </row>
    <row r="19468" spans="8:9">
      <c r="H19468" s="1092"/>
      <c r="I19468" s="1092"/>
    </row>
    <row r="19469" spans="8:9">
      <c r="H19469" s="1092"/>
      <c r="I19469" s="1092"/>
    </row>
    <row r="19470" spans="8:9">
      <c r="H19470" s="1092"/>
      <c r="I19470" s="1092"/>
    </row>
    <row r="19471" spans="8:9">
      <c r="H19471" s="1092"/>
      <c r="I19471" s="1092"/>
    </row>
    <row r="19472" spans="8:9">
      <c r="H19472" s="1092"/>
      <c r="I19472" s="1092"/>
    </row>
    <row r="19473" spans="8:9">
      <c r="H19473" s="1092"/>
      <c r="I19473" s="1092"/>
    </row>
    <row r="19474" spans="8:9">
      <c r="H19474" s="1092"/>
      <c r="I19474" s="1092"/>
    </row>
    <row r="19475" spans="8:9">
      <c r="H19475" s="1092"/>
      <c r="I19475" s="1092"/>
    </row>
    <row r="19476" spans="8:9">
      <c r="H19476" s="1092"/>
      <c r="I19476" s="1092"/>
    </row>
    <row r="19477" spans="8:9">
      <c r="H19477" s="1092"/>
      <c r="I19477" s="1092"/>
    </row>
    <row r="19478" spans="8:9">
      <c r="H19478" s="1092"/>
      <c r="I19478" s="1092"/>
    </row>
    <row r="19479" spans="8:9">
      <c r="H19479" s="1092"/>
      <c r="I19479" s="1092"/>
    </row>
    <row r="19480" spans="8:9">
      <c r="H19480" s="1092"/>
      <c r="I19480" s="1092"/>
    </row>
    <row r="19481" spans="8:9">
      <c r="H19481" s="1092"/>
      <c r="I19481" s="1092"/>
    </row>
    <row r="19482" spans="8:9">
      <c r="H19482" s="1092"/>
      <c r="I19482" s="1092"/>
    </row>
    <row r="19483" spans="8:9">
      <c r="H19483" s="1092"/>
      <c r="I19483" s="1092"/>
    </row>
    <row r="19484" spans="8:9">
      <c r="H19484" s="1092"/>
      <c r="I19484" s="1092"/>
    </row>
    <row r="19485" spans="8:9">
      <c r="H19485" s="1092"/>
      <c r="I19485" s="1092"/>
    </row>
    <row r="19486" spans="8:9">
      <c r="H19486" s="1092"/>
      <c r="I19486" s="1092"/>
    </row>
    <row r="19487" spans="8:9">
      <c r="H19487" s="1092"/>
      <c r="I19487" s="1092"/>
    </row>
    <row r="19488" spans="8:9">
      <c r="H19488" s="1092"/>
      <c r="I19488" s="1092"/>
    </row>
    <row r="19489" spans="8:9">
      <c r="H19489" s="1092"/>
      <c r="I19489" s="1092"/>
    </row>
    <row r="19490" spans="8:9">
      <c r="H19490" s="1092"/>
      <c r="I19490" s="1092"/>
    </row>
    <row r="19491" spans="8:9">
      <c r="H19491" s="1092"/>
      <c r="I19491" s="1092"/>
    </row>
    <row r="19492" spans="8:9">
      <c r="H19492" s="1092"/>
      <c r="I19492" s="1092"/>
    </row>
    <row r="19493" spans="8:9">
      <c r="H19493" s="1092"/>
      <c r="I19493" s="1092"/>
    </row>
    <row r="19494" spans="8:9">
      <c r="H19494" s="1092"/>
      <c r="I19494" s="1092"/>
    </row>
    <row r="19495" spans="8:9">
      <c r="H19495" s="1092"/>
      <c r="I19495" s="1092"/>
    </row>
    <row r="19496" spans="8:9">
      <c r="H19496" s="1092"/>
      <c r="I19496" s="1092"/>
    </row>
    <row r="19497" spans="8:9">
      <c r="H19497" s="1092"/>
      <c r="I19497" s="1092"/>
    </row>
    <row r="19498" spans="8:9">
      <c r="H19498" s="1092"/>
      <c r="I19498" s="1092"/>
    </row>
    <row r="19499" spans="8:9">
      <c r="H19499" s="1092"/>
      <c r="I19499" s="1092"/>
    </row>
    <row r="19500" spans="8:9">
      <c r="H19500" s="1092"/>
      <c r="I19500" s="1092"/>
    </row>
    <row r="19501" spans="8:9">
      <c r="H19501" s="1092"/>
      <c r="I19501" s="1092"/>
    </row>
    <row r="19502" spans="8:9">
      <c r="H19502" s="1092"/>
      <c r="I19502" s="1092"/>
    </row>
    <row r="19503" spans="8:9">
      <c r="H19503" s="1092"/>
      <c r="I19503" s="1092"/>
    </row>
    <row r="19504" spans="8:9">
      <c r="H19504" s="1092"/>
      <c r="I19504" s="1092"/>
    </row>
    <row r="19505" spans="8:9">
      <c r="H19505" s="1092"/>
      <c r="I19505" s="1092"/>
    </row>
    <row r="19506" spans="8:9">
      <c r="H19506" s="1092"/>
      <c r="I19506" s="1092"/>
    </row>
    <row r="19507" spans="8:9">
      <c r="H19507" s="1092"/>
      <c r="I19507" s="1092"/>
    </row>
    <row r="19508" spans="8:9">
      <c r="H19508" s="1092"/>
      <c r="I19508" s="1092"/>
    </row>
    <row r="19509" spans="8:9">
      <c r="H19509" s="1092"/>
      <c r="I19509" s="1092"/>
    </row>
    <row r="19510" spans="8:9">
      <c r="H19510" s="1092"/>
      <c r="I19510" s="1092"/>
    </row>
    <row r="19511" spans="8:9">
      <c r="H19511" s="1092"/>
      <c r="I19511" s="1092"/>
    </row>
    <row r="19512" spans="8:9">
      <c r="H19512" s="1092"/>
      <c r="I19512" s="1092"/>
    </row>
    <row r="19513" spans="8:9">
      <c r="H19513" s="1092"/>
      <c r="I19513" s="1092"/>
    </row>
    <row r="19514" spans="8:9">
      <c r="H19514" s="1092"/>
      <c r="I19514" s="1092"/>
    </row>
    <row r="19515" spans="8:9">
      <c r="H19515" s="1092"/>
      <c r="I19515" s="1092"/>
    </row>
    <row r="19516" spans="8:9">
      <c r="H19516" s="1092"/>
      <c r="I19516" s="1092"/>
    </row>
    <row r="19517" spans="8:9">
      <c r="H19517" s="1092"/>
      <c r="I19517" s="1092"/>
    </row>
    <row r="19518" spans="8:9">
      <c r="H19518" s="1092"/>
      <c r="I19518" s="1092"/>
    </row>
    <row r="19519" spans="8:9">
      <c r="H19519" s="1092"/>
      <c r="I19519" s="1092"/>
    </row>
    <row r="19520" spans="8:9">
      <c r="H19520" s="1092"/>
      <c r="I19520" s="1092"/>
    </row>
    <row r="19521" spans="8:9">
      <c r="H19521" s="1092"/>
      <c r="I19521" s="1092"/>
    </row>
    <row r="19522" spans="8:9">
      <c r="H19522" s="1092"/>
      <c r="I19522" s="1092"/>
    </row>
    <row r="19523" spans="8:9">
      <c r="H19523" s="1092"/>
      <c r="I19523" s="1092"/>
    </row>
    <row r="19524" spans="8:9">
      <c r="H19524" s="1092"/>
      <c r="I19524" s="1092"/>
    </row>
    <row r="19525" spans="8:9">
      <c r="H19525" s="1092"/>
      <c r="I19525" s="1092"/>
    </row>
    <row r="19526" spans="8:9">
      <c r="H19526" s="1092"/>
      <c r="I19526" s="1092"/>
    </row>
    <row r="19527" spans="8:9">
      <c r="H19527" s="1092"/>
      <c r="I19527" s="1092"/>
    </row>
    <row r="19528" spans="8:9">
      <c r="H19528" s="1092"/>
      <c r="I19528" s="1092"/>
    </row>
    <row r="19529" spans="8:9">
      <c r="H19529" s="1092"/>
      <c r="I19529" s="1092"/>
    </row>
    <row r="19530" spans="8:9">
      <c r="H19530" s="1092"/>
      <c r="I19530" s="1092"/>
    </row>
    <row r="19531" spans="8:9">
      <c r="H19531" s="1092"/>
      <c r="I19531" s="1092"/>
    </row>
    <row r="19532" spans="8:9">
      <c r="H19532" s="1092"/>
      <c r="I19532" s="1092"/>
    </row>
    <row r="19533" spans="8:9">
      <c r="H19533" s="1092"/>
      <c r="I19533" s="1092"/>
    </row>
    <row r="19534" spans="8:9">
      <c r="H19534" s="1092"/>
      <c r="I19534" s="1092"/>
    </row>
    <row r="19535" spans="8:9">
      <c r="H19535" s="1092"/>
      <c r="I19535" s="1092"/>
    </row>
    <row r="19536" spans="8:9">
      <c r="H19536" s="1092"/>
      <c r="I19536" s="1092"/>
    </row>
    <row r="19537" spans="8:9">
      <c r="H19537" s="1092"/>
      <c r="I19537" s="1092"/>
    </row>
    <row r="19538" spans="8:9">
      <c r="H19538" s="1092"/>
      <c r="I19538" s="1092"/>
    </row>
    <row r="19539" spans="8:9">
      <c r="H19539" s="1092"/>
      <c r="I19539" s="1092"/>
    </row>
    <row r="19540" spans="8:9">
      <c r="H19540" s="1092"/>
      <c r="I19540" s="1092"/>
    </row>
    <row r="19541" spans="8:9">
      <c r="H19541" s="1092"/>
      <c r="I19541" s="1092"/>
    </row>
    <row r="19542" spans="8:9">
      <c r="H19542" s="1092"/>
      <c r="I19542" s="1092"/>
    </row>
    <row r="19543" spans="8:9">
      <c r="H19543" s="1092"/>
      <c r="I19543" s="1092"/>
    </row>
    <row r="19544" spans="8:9">
      <c r="H19544" s="1092"/>
      <c r="I19544" s="1092"/>
    </row>
    <row r="19545" spans="8:9">
      <c r="H19545" s="1092"/>
      <c r="I19545" s="1092"/>
    </row>
    <row r="19546" spans="8:9">
      <c r="H19546" s="1092"/>
      <c r="I19546" s="1092"/>
    </row>
    <row r="19547" spans="8:9">
      <c r="H19547" s="1092"/>
      <c r="I19547" s="1092"/>
    </row>
    <row r="19548" spans="8:9">
      <c r="H19548" s="1092"/>
      <c r="I19548" s="1092"/>
    </row>
    <row r="19549" spans="8:9">
      <c r="H19549" s="1092"/>
      <c r="I19549" s="1092"/>
    </row>
    <row r="19550" spans="8:9">
      <c r="H19550" s="1092"/>
      <c r="I19550" s="1092"/>
    </row>
    <row r="19551" spans="8:9">
      <c r="H19551" s="1092"/>
      <c r="I19551" s="1092"/>
    </row>
    <row r="19552" spans="8:9">
      <c r="H19552" s="1092"/>
      <c r="I19552" s="1092"/>
    </row>
    <row r="19553" spans="8:9">
      <c r="H19553" s="1092"/>
      <c r="I19553" s="1092"/>
    </row>
    <row r="19554" spans="8:9">
      <c r="H19554" s="1092"/>
      <c r="I19554" s="1092"/>
    </row>
    <row r="19555" spans="8:9">
      <c r="H19555" s="1092"/>
      <c r="I19555" s="1092"/>
    </row>
    <row r="19556" spans="8:9">
      <c r="H19556" s="1092"/>
      <c r="I19556" s="1092"/>
    </row>
    <row r="19557" spans="8:9">
      <c r="H19557" s="1092"/>
      <c r="I19557" s="1092"/>
    </row>
    <row r="19558" spans="8:9">
      <c r="H19558" s="1092"/>
      <c r="I19558" s="1092"/>
    </row>
    <row r="19559" spans="8:9">
      <c r="H19559" s="1092"/>
      <c r="I19559" s="1092"/>
    </row>
    <row r="19560" spans="8:9">
      <c r="H19560" s="1092"/>
      <c r="I19560" s="1092"/>
    </row>
    <row r="19561" spans="8:9">
      <c r="H19561" s="1092"/>
      <c r="I19561" s="1092"/>
    </row>
    <row r="19562" spans="8:9">
      <c r="H19562" s="1092"/>
      <c r="I19562" s="1092"/>
    </row>
    <row r="19563" spans="8:9">
      <c r="H19563" s="1092"/>
      <c r="I19563" s="1092"/>
    </row>
    <row r="19564" spans="8:9">
      <c r="H19564" s="1092"/>
      <c r="I19564" s="1092"/>
    </row>
    <row r="19565" spans="8:9">
      <c r="H19565" s="1092"/>
      <c r="I19565" s="1092"/>
    </row>
    <row r="19566" spans="8:9">
      <c r="H19566" s="1092"/>
      <c r="I19566" s="1092"/>
    </row>
    <row r="19567" spans="8:9">
      <c r="H19567" s="1092"/>
      <c r="I19567" s="1092"/>
    </row>
    <row r="19568" spans="8:9">
      <c r="H19568" s="1092"/>
      <c r="I19568" s="1092"/>
    </row>
    <row r="19569" spans="8:9">
      <c r="H19569" s="1092"/>
      <c r="I19569" s="1092"/>
    </row>
    <row r="19570" spans="8:9">
      <c r="H19570" s="1092"/>
      <c r="I19570" s="1092"/>
    </row>
    <row r="19571" spans="8:9">
      <c r="H19571" s="1092"/>
      <c r="I19571" s="1092"/>
    </row>
    <row r="19572" spans="8:9">
      <c r="H19572" s="1092"/>
      <c r="I19572" s="1092"/>
    </row>
    <row r="19573" spans="8:9">
      <c r="H19573" s="1092"/>
      <c r="I19573" s="1092"/>
    </row>
    <row r="19574" spans="8:9">
      <c r="H19574" s="1092"/>
      <c r="I19574" s="1092"/>
    </row>
    <row r="19575" spans="8:9">
      <c r="H19575" s="1092"/>
      <c r="I19575" s="1092"/>
    </row>
    <row r="19576" spans="8:9">
      <c r="H19576" s="1092"/>
      <c r="I19576" s="1092"/>
    </row>
    <row r="19577" spans="8:9">
      <c r="H19577" s="1092"/>
      <c r="I19577" s="1092"/>
    </row>
    <row r="19578" spans="8:9">
      <c r="H19578" s="1092"/>
      <c r="I19578" s="1092"/>
    </row>
    <row r="19579" spans="8:9">
      <c r="H19579" s="1092"/>
      <c r="I19579" s="1092"/>
    </row>
    <row r="19580" spans="8:9">
      <c r="H19580" s="1092"/>
      <c r="I19580" s="1092"/>
    </row>
    <row r="19581" spans="8:9">
      <c r="H19581" s="1092"/>
      <c r="I19581" s="1092"/>
    </row>
    <row r="19582" spans="8:9">
      <c r="H19582" s="1092"/>
      <c r="I19582" s="1092"/>
    </row>
    <row r="19583" spans="8:9">
      <c r="H19583" s="1092"/>
      <c r="I19583" s="1092"/>
    </row>
    <row r="19584" spans="8:9">
      <c r="H19584" s="1092"/>
      <c r="I19584" s="1092"/>
    </row>
    <row r="19585" spans="8:9">
      <c r="H19585" s="1092"/>
      <c r="I19585" s="1092"/>
    </row>
    <row r="19586" spans="8:9">
      <c r="H19586" s="1092"/>
      <c r="I19586" s="1092"/>
    </row>
    <row r="19587" spans="8:9">
      <c r="H19587" s="1092"/>
      <c r="I19587" s="1092"/>
    </row>
    <row r="19588" spans="8:9">
      <c r="H19588" s="1092"/>
      <c r="I19588" s="1092"/>
    </row>
    <row r="19589" spans="8:9">
      <c r="H19589" s="1092"/>
      <c r="I19589" s="1092"/>
    </row>
    <row r="19590" spans="8:9">
      <c r="H19590" s="1092"/>
      <c r="I19590" s="1092"/>
    </row>
    <row r="19591" spans="8:9">
      <c r="H19591" s="1092"/>
      <c r="I19591" s="1092"/>
    </row>
    <row r="19592" spans="8:9">
      <c r="H19592" s="1092"/>
      <c r="I19592" s="1092"/>
    </row>
    <row r="19593" spans="8:9">
      <c r="H19593" s="1092"/>
      <c r="I19593" s="1092"/>
    </row>
    <row r="19594" spans="8:9">
      <c r="H19594" s="1092"/>
      <c r="I19594" s="1092"/>
    </row>
    <row r="19595" spans="8:9">
      <c r="H19595" s="1092"/>
      <c r="I19595" s="1092"/>
    </row>
    <row r="19596" spans="8:9">
      <c r="H19596" s="1092"/>
      <c r="I19596" s="1092"/>
    </row>
    <row r="19597" spans="8:9">
      <c r="H19597" s="1092"/>
      <c r="I19597" s="1092"/>
    </row>
    <row r="19598" spans="8:9">
      <c r="H19598" s="1092"/>
      <c r="I19598" s="1092"/>
    </row>
    <row r="19599" spans="8:9">
      <c r="H19599" s="1092"/>
      <c r="I19599" s="1092"/>
    </row>
    <row r="19600" spans="8:9">
      <c r="H19600" s="1092"/>
      <c r="I19600" s="1092"/>
    </row>
    <row r="19601" spans="8:9">
      <c r="H19601" s="1092"/>
      <c r="I19601" s="1092"/>
    </row>
    <row r="19602" spans="8:9">
      <c r="H19602" s="1092"/>
      <c r="I19602" s="1092"/>
    </row>
    <row r="19603" spans="8:9">
      <c r="H19603" s="1092"/>
      <c r="I19603" s="1092"/>
    </row>
    <row r="19604" spans="8:9">
      <c r="H19604" s="1092"/>
      <c r="I19604" s="1092"/>
    </row>
    <row r="19605" spans="8:9">
      <c r="H19605" s="1092"/>
      <c r="I19605" s="1092"/>
    </row>
    <row r="19606" spans="8:9">
      <c r="H19606" s="1092"/>
      <c r="I19606" s="1092"/>
    </row>
    <row r="19607" spans="8:9">
      <c r="H19607" s="1092"/>
      <c r="I19607" s="1092"/>
    </row>
    <row r="19608" spans="8:9">
      <c r="H19608" s="1092"/>
      <c r="I19608" s="1092"/>
    </row>
    <row r="19609" spans="8:9">
      <c r="H19609" s="1092"/>
      <c r="I19609" s="1092"/>
    </row>
    <row r="19610" spans="8:9">
      <c r="H19610" s="1092"/>
      <c r="I19610" s="1092"/>
    </row>
    <row r="19611" spans="8:9">
      <c r="H19611" s="1092"/>
      <c r="I19611" s="1092"/>
    </row>
    <row r="19612" spans="8:9">
      <c r="H19612" s="1092"/>
      <c r="I19612" s="1092"/>
    </row>
    <row r="19613" spans="8:9">
      <c r="H19613" s="1092"/>
      <c r="I19613" s="1092"/>
    </row>
    <row r="19614" spans="8:9">
      <c r="H19614" s="1092"/>
      <c r="I19614" s="1092"/>
    </row>
    <row r="19615" spans="8:9">
      <c r="H19615" s="1092"/>
      <c r="I19615" s="1092"/>
    </row>
    <row r="19616" spans="8:9">
      <c r="H19616" s="1092"/>
      <c r="I19616" s="1092"/>
    </row>
    <row r="19617" spans="8:9">
      <c r="H19617" s="1092"/>
      <c r="I19617" s="1092"/>
    </row>
    <row r="19618" spans="8:9">
      <c r="H19618" s="1092"/>
      <c r="I19618" s="1092"/>
    </row>
    <row r="19619" spans="8:9">
      <c r="H19619" s="1092"/>
      <c r="I19619" s="1092"/>
    </row>
    <row r="19620" spans="8:9">
      <c r="H19620" s="1092"/>
      <c r="I19620" s="1092"/>
    </row>
    <row r="19621" spans="8:9">
      <c r="H19621" s="1092"/>
      <c r="I19621" s="1092"/>
    </row>
    <row r="19622" spans="8:9">
      <c r="H19622" s="1092"/>
      <c r="I19622" s="1092"/>
    </row>
    <row r="19623" spans="8:9">
      <c r="H19623" s="1092"/>
      <c r="I19623" s="1092"/>
    </row>
    <row r="19624" spans="8:9">
      <c r="H19624" s="1092"/>
      <c r="I19624" s="1092"/>
    </row>
    <row r="19625" spans="8:9">
      <c r="H19625" s="1092"/>
      <c r="I19625" s="1092"/>
    </row>
    <row r="19626" spans="8:9">
      <c r="H19626" s="1092"/>
      <c r="I19626" s="1092"/>
    </row>
    <row r="19627" spans="8:9">
      <c r="H19627" s="1092"/>
      <c r="I19627" s="1092"/>
    </row>
    <row r="19628" spans="8:9">
      <c r="H19628" s="1092"/>
      <c r="I19628" s="1092"/>
    </row>
    <row r="19629" spans="8:9">
      <c r="H19629" s="1092"/>
      <c r="I19629" s="1092"/>
    </row>
    <row r="19630" spans="8:9">
      <c r="H19630" s="1092"/>
      <c r="I19630" s="1092"/>
    </row>
    <row r="19631" spans="8:9">
      <c r="H19631" s="1092"/>
      <c r="I19631" s="1092"/>
    </row>
    <row r="19632" spans="8:9">
      <c r="H19632" s="1092"/>
      <c r="I19632" s="1092"/>
    </row>
    <row r="19633" spans="8:9">
      <c r="H19633" s="1092"/>
      <c r="I19633" s="1092"/>
    </row>
    <row r="19634" spans="8:9">
      <c r="H19634" s="1092"/>
      <c r="I19634" s="1092"/>
    </row>
    <row r="19635" spans="8:9">
      <c r="H19635" s="1092"/>
      <c r="I19635" s="1092"/>
    </row>
    <row r="19636" spans="8:9">
      <c r="H19636" s="1092"/>
      <c r="I19636" s="1092"/>
    </row>
    <row r="19637" spans="8:9">
      <c r="H19637" s="1092"/>
      <c r="I19637" s="1092"/>
    </row>
    <row r="19638" spans="8:9">
      <c r="H19638" s="1092"/>
      <c r="I19638" s="1092"/>
    </row>
    <row r="19639" spans="8:9">
      <c r="H19639" s="1092"/>
      <c r="I19639" s="1092"/>
    </row>
    <row r="19640" spans="8:9">
      <c r="H19640" s="1092"/>
      <c r="I19640" s="1092"/>
    </row>
    <row r="19641" spans="8:9">
      <c r="H19641" s="1092"/>
      <c r="I19641" s="1092"/>
    </row>
    <row r="19642" spans="8:9">
      <c r="H19642" s="1092"/>
      <c r="I19642" s="1092"/>
    </row>
    <row r="19643" spans="8:9">
      <c r="H19643" s="1092"/>
      <c r="I19643" s="1092"/>
    </row>
    <row r="19644" spans="8:9">
      <c r="H19644" s="1092"/>
      <c r="I19644" s="1092"/>
    </row>
    <row r="19645" spans="8:9">
      <c r="H19645" s="1092"/>
      <c r="I19645" s="1092"/>
    </row>
    <row r="19646" spans="8:9">
      <c r="H19646" s="1092"/>
      <c r="I19646" s="1092"/>
    </row>
    <row r="19647" spans="8:9">
      <c r="H19647" s="1092"/>
      <c r="I19647" s="1092"/>
    </row>
    <row r="19648" spans="8:9">
      <c r="H19648" s="1092"/>
      <c r="I19648" s="1092"/>
    </row>
    <row r="19649" spans="8:9">
      <c r="H19649" s="1092"/>
      <c r="I19649" s="1092"/>
    </row>
    <row r="19650" spans="8:9">
      <c r="H19650" s="1092"/>
      <c r="I19650" s="1092"/>
    </row>
    <row r="19651" spans="8:9">
      <c r="H19651" s="1092"/>
      <c r="I19651" s="1092"/>
    </row>
    <row r="19652" spans="8:9">
      <c r="H19652" s="1092"/>
      <c r="I19652" s="1092"/>
    </row>
    <row r="19653" spans="8:9">
      <c r="H19653" s="1092"/>
      <c r="I19653" s="1092"/>
    </row>
    <row r="19654" spans="8:9">
      <c r="H19654" s="1092"/>
      <c r="I19654" s="1092"/>
    </row>
    <row r="19655" spans="8:9">
      <c r="H19655" s="1092"/>
      <c r="I19655" s="1092"/>
    </row>
    <row r="19656" spans="8:9">
      <c r="H19656" s="1092"/>
      <c r="I19656" s="1092"/>
    </row>
    <row r="19657" spans="8:9">
      <c r="H19657" s="1092"/>
      <c r="I19657" s="1092"/>
    </row>
    <row r="19658" spans="8:9">
      <c r="H19658" s="1092"/>
      <c r="I19658" s="1092"/>
    </row>
    <row r="19659" spans="8:9">
      <c r="H19659" s="1092"/>
      <c r="I19659" s="1092"/>
    </row>
    <row r="19660" spans="8:9">
      <c r="H19660" s="1092"/>
      <c r="I19660" s="1092"/>
    </row>
    <row r="19661" spans="8:9">
      <c r="H19661" s="1092"/>
      <c r="I19661" s="1092"/>
    </row>
    <row r="19662" spans="8:9">
      <c r="H19662" s="1092"/>
      <c r="I19662" s="1092"/>
    </row>
    <row r="19663" spans="8:9">
      <c r="H19663" s="1092"/>
      <c r="I19663" s="1092"/>
    </row>
    <row r="19664" spans="8:9">
      <c r="H19664" s="1092"/>
      <c r="I19664" s="1092"/>
    </row>
    <row r="19665" spans="8:9">
      <c r="H19665" s="1092"/>
      <c r="I19665" s="1092"/>
    </row>
    <row r="19666" spans="8:9">
      <c r="H19666" s="1092"/>
      <c r="I19666" s="1092"/>
    </row>
    <row r="19667" spans="8:9">
      <c r="H19667" s="1092"/>
      <c r="I19667" s="1092"/>
    </row>
    <row r="19668" spans="8:9">
      <c r="H19668" s="1092"/>
      <c r="I19668" s="1092"/>
    </row>
    <row r="19669" spans="8:9">
      <c r="H19669" s="1092"/>
      <c r="I19669" s="1092"/>
    </row>
    <row r="19670" spans="8:9">
      <c r="H19670" s="1092"/>
      <c r="I19670" s="1092"/>
    </row>
    <row r="19671" spans="8:9">
      <c r="H19671" s="1092"/>
      <c r="I19671" s="1092"/>
    </row>
    <row r="19672" spans="8:9">
      <c r="H19672" s="1092"/>
      <c r="I19672" s="1092"/>
    </row>
    <row r="19673" spans="8:9">
      <c r="H19673" s="1092"/>
      <c r="I19673" s="1092"/>
    </row>
    <row r="19674" spans="8:9">
      <c r="H19674" s="1092"/>
      <c r="I19674" s="1092"/>
    </row>
    <row r="19675" spans="8:9">
      <c r="H19675" s="1092"/>
      <c r="I19675" s="1092"/>
    </row>
    <row r="19676" spans="8:9">
      <c r="H19676" s="1092"/>
      <c r="I19676" s="1092"/>
    </row>
    <row r="19677" spans="8:9">
      <c r="H19677" s="1092"/>
      <c r="I19677" s="1092"/>
    </row>
    <row r="19678" spans="8:9">
      <c r="H19678" s="1092"/>
      <c r="I19678" s="1092"/>
    </row>
    <row r="19679" spans="8:9">
      <c r="H19679" s="1092"/>
      <c r="I19679" s="1092"/>
    </row>
    <row r="19680" spans="8:9">
      <c r="H19680" s="1092"/>
      <c r="I19680" s="1092"/>
    </row>
    <row r="19681" spans="8:9">
      <c r="H19681" s="1092"/>
      <c r="I19681" s="1092"/>
    </row>
    <row r="19682" spans="8:9">
      <c r="H19682" s="1092"/>
      <c r="I19682" s="1092"/>
    </row>
    <row r="19683" spans="8:9">
      <c r="H19683" s="1092"/>
      <c r="I19683" s="1092"/>
    </row>
    <row r="19684" spans="8:9">
      <c r="H19684" s="1092"/>
      <c r="I19684" s="1092"/>
    </row>
    <row r="19685" spans="8:9">
      <c r="H19685" s="1092"/>
      <c r="I19685" s="1092"/>
    </row>
    <row r="19686" spans="8:9">
      <c r="H19686" s="1092"/>
      <c r="I19686" s="1092"/>
    </row>
    <row r="19687" spans="8:9">
      <c r="H19687" s="1092"/>
      <c r="I19687" s="1092"/>
    </row>
    <row r="19688" spans="8:9">
      <c r="H19688" s="1092"/>
      <c r="I19688" s="1092"/>
    </row>
    <row r="19689" spans="8:9">
      <c r="H19689" s="1092"/>
      <c r="I19689" s="1092"/>
    </row>
    <row r="19690" spans="8:9">
      <c r="H19690" s="1092"/>
      <c r="I19690" s="1092"/>
    </row>
    <row r="19691" spans="8:9">
      <c r="H19691" s="1092"/>
      <c r="I19691" s="1092"/>
    </row>
    <row r="19692" spans="8:9">
      <c r="H19692" s="1092"/>
      <c r="I19692" s="1092"/>
    </row>
    <row r="19693" spans="8:9">
      <c r="H19693" s="1092"/>
      <c r="I19693" s="1092"/>
    </row>
    <row r="19694" spans="8:9">
      <c r="H19694" s="1092"/>
      <c r="I19694" s="1092"/>
    </row>
    <row r="19695" spans="8:9">
      <c r="H19695" s="1092"/>
      <c r="I19695" s="1092"/>
    </row>
    <row r="19696" spans="8:9">
      <c r="H19696" s="1092"/>
      <c r="I19696" s="1092"/>
    </row>
    <row r="19697" spans="8:9">
      <c r="H19697" s="1092"/>
      <c r="I19697" s="1092"/>
    </row>
    <row r="19698" spans="8:9">
      <c r="H19698" s="1092"/>
      <c r="I19698" s="1092"/>
    </row>
    <row r="19699" spans="8:9">
      <c r="H19699" s="1092"/>
      <c r="I19699" s="1092"/>
    </row>
    <row r="19700" spans="8:9">
      <c r="H19700" s="1092"/>
      <c r="I19700" s="1092"/>
    </row>
    <row r="19701" spans="8:9">
      <c r="H19701" s="1092"/>
      <c r="I19701" s="1092"/>
    </row>
    <row r="19702" spans="8:9">
      <c r="H19702" s="1092"/>
      <c r="I19702" s="1092"/>
    </row>
    <row r="19703" spans="8:9">
      <c r="H19703" s="1092"/>
      <c r="I19703" s="1092"/>
    </row>
    <row r="19704" spans="8:9">
      <c r="H19704" s="1092"/>
      <c r="I19704" s="1092"/>
    </row>
    <row r="19705" spans="8:9">
      <c r="H19705" s="1092"/>
      <c r="I19705" s="1092"/>
    </row>
    <row r="19706" spans="8:9">
      <c r="H19706" s="1092"/>
      <c r="I19706" s="1092"/>
    </row>
    <row r="19707" spans="8:9">
      <c r="H19707" s="1092"/>
      <c r="I19707" s="1092"/>
    </row>
    <row r="19708" spans="8:9">
      <c r="H19708" s="1092"/>
      <c r="I19708" s="1092"/>
    </row>
    <row r="19709" spans="8:9">
      <c r="H19709" s="1092"/>
      <c r="I19709" s="1092"/>
    </row>
    <row r="19710" spans="8:9">
      <c r="H19710" s="1092"/>
      <c r="I19710" s="1092"/>
    </row>
    <row r="19711" spans="8:9">
      <c r="H19711" s="1092"/>
      <c r="I19711" s="1092"/>
    </row>
    <row r="19712" spans="8:9">
      <c r="H19712" s="1092"/>
      <c r="I19712" s="1092"/>
    </row>
    <row r="19713" spans="8:9">
      <c r="H19713" s="1092"/>
      <c r="I19713" s="1092"/>
    </row>
    <row r="19714" spans="8:9">
      <c r="H19714" s="1092"/>
      <c r="I19714" s="1092"/>
    </row>
    <row r="19715" spans="8:9">
      <c r="H19715" s="1092"/>
      <c r="I19715" s="1092"/>
    </row>
    <row r="19716" spans="8:9">
      <c r="H19716" s="1092"/>
      <c r="I19716" s="1092"/>
    </row>
    <row r="19717" spans="8:9">
      <c r="H19717" s="1092"/>
      <c r="I19717" s="1092"/>
    </row>
    <row r="19718" spans="8:9">
      <c r="H19718" s="1092"/>
      <c r="I19718" s="1092"/>
    </row>
    <row r="19719" spans="8:9">
      <c r="H19719" s="1092"/>
      <c r="I19719" s="1092"/>
    </row>
    <row r="19720" spans="8:9">
      <c r="H19720" s="1092"/>
      <c r="I19720" s="1092"/>
    </row>
    <row r="19721" spans="8:9">
      <c r="H19721" s="1092"/>
      <c r="I19721" s="1092"/>
    </row>
    <row r="19722" spans="8:9">
      <c r="H19722" s="1092"/>
      <c r="I19722" s="1092"/>
    </row>
    <row r="19723" spans="8:9">
      <c r="H19723" s="1092"/>
      <c r="I19723" s="1092"/>
    </row>
    <row r="19724" spans="8:9">
      <c r="H19724" s="1092"/>
      <c r="I19724" s="1092"/>
    </row>
    <row r="19725" spans="8:9">
      <c r="H19725" s="1092"/>
      <c r="I19725" s="1092"/>
    </row>
    <row r="19726" spans="8:9">
      <c r="H19726" s="1092"/>
      <c r="I19726" s="1092"/>
    </row>
    <row r="19727" spans="8:9">
      <c r="H19727" s="1092"/>
      <c r="I19727" s="1092"/>
    </row>
    <row r="19728" spans="8:9">
      <c r="H19728" s="1092"/>
      <c r="I19728" s="1092"/>
    </row>
    <row r="19729" spans="8:9">
      <c r="H19729" s="1092"/>
      <c r="I19729" s="1092"/>
    </row>
    <row r="19730" spans="8:9">
      <c r="H19730" s="1092"/>
      <c r="I19730" s="1092"/>
    </row>
    <row r="19731" spans="8:9">
      <c r="H19731" s="1092"/>
      <c r="I19731" s="1092"/>
    </row>
    <row r="19732" spans="8:9">
      <c r="H19732" s="1092"/>
      <c r="I19732" s="1092"/>
    </row>
    <row r="19733" spans="8:9">
      <c r="H19733" s="1092"/>
      <c r="I19733" s="1092"/>
    </row>
    <row r="19734" spans="8:9">
      <c r="H19734" s="1092"/>
      <c r="I19734" s="1092"/>
    </row>
    <row r="19735" spans="8:9">
      <c r="H19735" s="1092"/>
      <c r="I19735" s="1092"/>
    </row>
    <row r="19736" spans="8:9">
      <c r="H19736" s="1092"/>
      <c r="I19736" s="1092"/>
    </row>
    <row r="19737" spans="8:9">
      <c r="H19737" s="1092"/>
      <c r="I19737" s="1092"/>
    </row>
    <row r="19738" spans="8:9">
      <c r="H19738" s="1092"/>
      <c r="I19738" s="1092"/>
    </row>
    <row r="19739" spans="8:9">
      <c r="H19739" s="1092"/>
      <c r="I19739" s="1092"/>
    </row>
    <row r="19740" spans="8:9">
      <c r="H19740" s="1092"/>
      <c r="I19740" s="1092"/>
    </row>
    <row r="19741" spans="8:9">
      <c r="H19741" s="1092"/>
      <c r="I19741" s="1092"/>
    </row>
    <row r="19742" spans="8:9">
      <c r="H19742" s="1092"/>
      <c r="I19742" s="1092"/>
    </row>
    <row r="19743" spans="8:9">
      <c r="H19743" s="1092"/>
      <c r="I19743" s="1092"/>
    </row>
    <row r="19744" spans="8:9">
      <c r="H19744" s="1092"/>
      <c r="I19744" s="1092"/>
    </row>
    <row r="19745" spans="8:9">
      <c r="H19745" s="1092"/>
      <c r="I19745" s="1092"/>
    </row>
    <row r="19746" spans="8:9">
      <c r="H19746" s="1092"/>
      <c r="I19746" s="1092"/>
    </row>
    <row r="19747" spans="8:9">
      <c r="H19747" s="1092"/>
      <c r="I19747" s="1092"/>
    </row>
    <row r="19748" spans="8:9">
      <c r="H19748" s="1092"/>
      <c r="I19748" s="1092"/>
    </row>
    <row r="19749" spans="8:9">
      <c r="H19749" s="1092"/>
      <c r="I19749" s="1092"/>
    </row>
    <row r="19750" spans="8:9">
      <c r="H19750" s="1092"/>
      <c r="I19750" s="1092"/>
    </row>
    <row r="19751" spans="8:9">
      <c r="H19751" s="1092"/>
      <c r="I19751" s="1092"/>
    </row>
    <row r="19752" spans="8:9">
      <c r="H19752" s="1092"/>
      <c r="I19752" s="1092"/>
    </row>
    <row r="19753" spans="8:9">
      <c r="H19753" s="1092"/>
      <c r="I19753" s="1092"/>
    </row>
    <row r="19754" spans="8:9">
      <c r="H19754" s="1092"/>
      <c r="I19754" s="1092"/>
    </row>
    <row r="19755" spans="8:9">
      <c r="H19755" s="1092"/>
      <c r="I19755" s="1092"/>
    </row>
    <row r="19756" spans="8:9">
      <c r="H19756" s="1092"/>
      <c r="I19756" s="1092"/>
    </row>
    <row r="19757" spans="8:9">
      <c r="H19757" s="1092"/>
      <c r="I19757" s="1092"/>
    </row>
    <row r="19758" spans="8:9">
      <c r="H19758" s="1092"/>
      <c r="I19758" s="1092"/>
    </row>
    <row r="19759" spans="8:9">
      <c r="H19759" s="1092"/>
      <c r="I19759" s="1092"/>
    </row>
    <row r="19760" spans="8:9">
      <c r="H19760" s="1092"/>
      <c r="I19760" s="1092"/>
    </row>
    <row r="19761" spans="8:9">
      <c r="H19761" s="1092"/>
      <c r="I19761" s="1092"/>
    </row>
    <row r="19762" spans="8:9">
      <c r="H19762" s="1092"/>
      <c r="I19762" s="1092"/>
    </row>
    <row r="19763" spans="8:9">
      <c r="H19763" s="1092"/>
      <c r="I19763" s="1092"/>
    </row>
    <row r="19764" spans="8:9">
      <c r="H19764" s="1092"/>
      <c r="I19764" s="1092"/>
    </row>
    <row r="19765" spans="8:9">
      <c r="H19765" s="1092"/>
      <c r="I19765" s="1092"/>
    </row>
    <row r="19766" spans="8:9">
      <c r="H19766" s="1092"/>
      <c r="I19766" s="1092"/>
    </row>
    <row r="19767" spans="8:9">
      <c r="H19767" s="1092"/>
      <c r="I19767" s="1092"/>
    </row>
    <row r="19768" spans="8:9">
      <c r="H19768" s="1092"/>
      <c r="I19768" s="1092"/>
    </row>
    <row r="19769" spans="8:9">
      <c r="H19769" s="1092"/>
      <c r="I19769" s="1092"/>
    </row>
    <row r="19770" spans="8:9">
      <c r="H19770" s="1092"/>
      <c r="I19770" s="1092"/>
    </row>
    <row r="19771" spans="8:9">
      <c r="H19771" s="1092"/>
      <c r="I19771" s="1092"/>
    </row>
    <row r="19772" spans="8:9">
      <c r="H19772" s="1092"/>
      <c r="I19772" s="1092"/>
    </row>
    <row r="19773" spans="8:9">
      <c r="H19773" s="1092"/>
      <c r="I19773" s="1092"/>
    </row>
    <row r="19774" spans="8:9">
      <c r="H19774" s="1092"/>
      <c r="I19774" s="1092"/>
    </row>
    <row r="19775" spans="8:9">
      <c r="H19775" s="1092"/>
      <c r="I19775" s="1092"/>
    </row>
    <row r="19776" spans="8:9">
      <c r="H19776" s="1092"/>
      <c r="I19776" s="1092"/>
    </row>
    <row r="19777" spans="8:9">
      <c r="H19777" s="1092"/>
      <c r="I19777" s="1092"/>
    </row>
    <row r="19778" spans="8:9">
      <c r="H19778" s="1092"/>
      <c r="I19778" s="1092"/>
    </row>
    <row r="19779" spans="8:9">
      <c r="H19779" s="1092"/>
      <c r="I19779" s="1092"/>
    </row>
    <row r="19780" spans="8:9">
      <c r="H19780" s="1092"/>
      <c r="I19780" s="1092"/>
    </row>
    <row r="19781" spans="8:9">
      <c r="H19781" s="1092"/>
      <c r="I19781" s="1092"/>
    </row>
    <row r="19782" spans="8:9">
      <c r="H19782" s="1092"/>
      <c r="I19782" s="1092"/>
    </row>
    <row r="19783" spans="8:9">
      <c r="H19783" s="1092"/>
      <c r="I19783" s="1092"/>
    </row>
    <row r="19784" spans="8:9">
      <c r="H19784" s="1092"/>
      <c r="I19784" s="1092"/>
    </row>
    <row r="19785" spans="8:9">
      <c r="H19785" s="1092"/>
      <c r="I19785" s="1092"/>
    </row>
    <row r="19786" spans="8:9">
      <c r="H19786" s="1092"/>
      <c r="I19786" s="1092"/>
    </row>
    <row r="19787" spans="8:9">
      <c r="H19787" s="1092"/>
      <c r="I19787" s="1092"/>
    </row>
    <row r="19788" spans="8:9">
      <c r="H19788" s="1092"/>
      <c r="I19788" s="1092"/>
    </row>
    <row r="19789" spans="8:9">
      <c r="H19789" s="1092"/>
      <c r="I19789" s="1092"/>
    </row>
    <row r="19790" spans="8:9">
      <c r="H19790" s="1092"/>
      <c r="I19790" s="1092"/>
    </row>
    <row r="19791" spans="8:9">
      <c r="H19791" s="1092"/>
      <c r="I19791" s="1092"/>
    </row>
    <row r="19792" spans="8:9">
      <c r="H19792" s="1092"/>
      <c r="I19792" s="1092"/>
    </row>
    <row r="19793" spans="8:9">
      <c r="H19793" s="1092"/>
      <c r="I19793" s="1092"/>
    </row>
    <row r="19794" spans="8:9">
      <c r="H19794" s="1092"/>
      <c r="I19794" s="1092"/>
    </row>
    <row r="19795" spans="8:9">
      <c r="H19795" s="1092"/>
      <c r="I19795" s="1092"/>
    </row>
    <row r="19796" spans="8:9">
      <c r="H19796" s="1092"/>
      <c r="I19796" s="1092"/>
    </row>
    <row r="19797" spans="8:9">
      <c r="H19797" s="1092"/>
      <c r="I19797" s="1092"/>
    </row>
    <row r="19798" spans="8:9">
      <c r="H19798" s="1092"/>
      <c r="I19798" s="1092"/>
    </row>
    <row r="19799" spans="8:9">
      <c r="H19799" s="1092"/>
      <c r="I19799" s="1092"/>
    </row>
    <row r="19800" spans="8:9">
      <c r="H19800" s="1092"/>
      <c r="I19800" s="1092"/>
    </row>
    <row r="19801" spans="8:9">
      <c r="H19801" s="1092"/>
      <c r="I19801" s="1092"/>
    </row>
    <row r="19802" spans="8:9">
      <c r="H19802" s="1092"/>
      <c r="I19802" s="1092"/>
    </row>
    <row r="19803" spans="8:9">
      <c r="H19803" s="1092"/>
      <c r="I19803" s="1092"/>
    </row>
    <row r="19804" spans="8:9">
      <c r="H19804" s="1092"/>
      <c r="I19804" s="1092"/>
    </row>
    <row r="19805" spans="8:9">
      <c r="H19805" s="1092"/>
      <c r="I19805" s="1092"/>
    </row>
    <row r="19806" spans="8:9">
      <c r="H19806" s="1092"/>
      <c r="I19806" s="1092"/>
    </row>
    <row r="19807" spans="8:9">
      <c r="H19807" s="1092"/>
      <c r="I19807" s="1092"/>
    </row>
    <row r="19808" spans="8:9">
      <c r="H19808" s="1092"/>
      <c r="I19808" s="1092"/>
    </row>
    <row r="19809" spans="8:9">
      <c r="H19809" s="1092"/>
      <c r="I19809" s="1092"/>
    </row>
    <row r="19810" spans="8:9">
      <c r="H19810" s="1092"/>
      <c r="I19810" s="1092"/>
    </row>
    <row r="19811" spans="8:9">
      <c r="H19811" s="1092"/>
      <c r="I19811" s="1092"/>
    </row>
    <row r="19812" spans="8:9">
      <c r="H19812" s="1092"/>
      <c r="I19812" s="1092"/>
    </row>
    <row r="19813" spans="8:9">
      <c r="H19813" s="1092"/>
      <c r="I19813" s="1092"/>
    </row>
    <row r="19814" spans="8:9">
      <c r="H19814" s="1092"/>
      <c r="I19814" s="1092"/>
    </row>
    <row r="19815" spans="8:9">
      <c r="H19815" s="1092"/>
      <c r="I19815" s="1092"/>
    </row>
    <row r="19816" spans="8:9">
      <c r="H19816" s="1092"/>
      <c r="I19816" s="1092"/>
    </row>
    <row r="19817" spans="8:9">
      <c r="H19817" s="1092"/>
      <c r="I19817" s="1092"/>
    </row>
    <row r="19818" spans="8:9">
      <c r="H19818" s="1092"/>
      <c r="I19818" s="1092"/>
    </row>
    <row r="19819" spans="8:9">
      <c r="H19819" s="1092"/>
      <c r="I19819" s="1092"/>
    </row>
    <row r="19820" spans="8:9">
      <c r="H19820" s="1092"/>
      <c r="I19820" s="1092"/>
    </row>
    <row r="19821" spans="8:9">
      <c r="H19821" s="1092"/>
      <c r="I19821" s="1092"/>
    </row>
    <row r="19822" spans="8:9">
      <c r="H19822" s="1092"/>
      <c r="I19822" s="1092"/>
    </row>
    <row r="19823" spans="8:9">
      <c r="H19823" s="1092"/>
      <c r="I19823" s="1092"/>
    </row>
    <row r="19824" spans="8:9">
      <c r="H19824" s="1092"/>
      <c r="I19824" s="1092"/>
    </row>
    <row r="19825" spans="8:9">
      <c r="H19825" s="1092"/>
      <c r="I19825" s="1092"/>
    </row>
    <row r="19826" spans="8:9">
      <c r="H19826" s="1092"/>
      <c r="I19826" s="1092"/>
    </row>
    <row r="19827" spans="8:9">
      <c r="H19827" s="1092"/>
      <c r="I19827" s="1092"/>
    </row>
    <row r="19828" spans="8:9">
      <c r="H19828" s="1092"/>
      <c r="I19828" s="1092"/>
    </row>
    <row r="19829" spans="8:9">
      <c r="H19829" s="1092"/>
      <c r="I19829" s="1092"/>
    </row>
    <row r="19830" spans="8:9">
      <c r="H19830" s="1092"/>
      <c r="I19830" s="1092"/>
    </row>
    <row r="19831" spans="8:9">
      <c r="H19831" s="1092"/>
      <c r="I19831" s="1092"/>
    </row>
    <row r="19832" spans="8:9">
      <c r="H19832" s="1092"/>
      <c r="I19832" s="1092"/>
    </row>
    <row r="19833" spans="8:9">
      <c r="H19833" s="1092"/>
      <c r="I19833" s="1092"/>
    </row>
    <row r="19834" spans="8:9">
      <c r="H19834" s="1092"/>
      <c r="I19834" s="1092"/>
    </row>
    <row r="19835" spans="8:9">
      <c r="H19835" s="1092"/>
      <c r="I19835" s="1092"/>
    </row>
    <row r="19836" spans="8:9">
      <c r="H19836" s="1092"/>
      <c r="I19836" s="1092"/>
    </row>
    <row r="19837" spans="8:9">
      <c r="H19837" s="1092"/>
      <c r="I19837" s="1092"/>
    </row>
    <row r="19838" spans="8:9">
      <c r="H19838" s="1092"/>
      <c r="I19838" s="1092"/>
    </row>
    <row r="19839" spans="8:9">
      <c r="H19839" s="1092"/>
      <c r="I19839" s="1092"/>
    </row>
    <row r="19840" spans="8:9">
      <c r="H19840" s="1092"/>
      <c r="I19840" s="1092"/>
    </row>
    <row r="19841" spans="8:9">
      <c r="H19841" s="1092"/>
      <c r="I19841" s="1092"/>
    </row>
    <row r="19842" spans="8:9">
      <c r="H19842" s="1092"/>
      <c r="I19842" s="1092"/>
    </row>
    <row r="19843" spans="8:9">
      <c r="H19843" s="1092"/>
      <c r="I19843" s="1092"/>
    </row>
    <row r="19844" spans="8:9">
      <c r="H19844" s="1092"/>
      <c r="I19844" s="1092"/>
    </row>
    <row r="19845" spans="8:9">
      <c r="H19845" s="1092"/>
      <c r="I19845" s="1092"/>
    </row>
    <row r="19846" spans="8:9">
      <c r="H19846" s="1092"/>
      <c r="I19846" s="1092"/>
    </row>
    <row r="19847" spans="8:9">
      <c r="H19847" s="1092"/>
      <c r="I19847" s="1092"/>
    </row>
    <row r="19848" spans="8:9">
      <c r="H19848" s="1092"/>
      <c r="I19848" s="1092"/>
    </row>
    <row r="19849" spans="8:9">
      <c r="H19849" s="1092"/>
      <c r="I19849" s="1092"/>
    </row>
    <row r="19850" spans="8:9">
      <c r="H19850" s="1092"/>
      <c r="I19850" s="1092"/>
    </row>
    <row r="19851" spans="8:9">
      <c r="H19851" s="1092"/>
      <c r="I19851" s="1092"/>
    </row>
    <row r="19852" spans="8:9">
      <c r="H19852" s="1092"/>
      <c r="I19852" s="1092"/>
    </row>
    <row r="19853" spans="8:9">
      <c r="H19853" s="1092"/>
      <c r="I19853" s="1092"/>
    </row>
    <row r="19854" spans="8:9">
      <c r="H19854" s="1092"/>
      <c r="I19854" s="1092"/>
    </row>
    <row r="19855" spans="8:9">
      <c r="H19855" s="1092"/>
      <c r="I19855" s="1092"/>
    </row>
    <row r="19856" spans="8:9">
      <c r="H19856" s="1092"/>
      <c r="I19856" s="1092"/>
    </row>
    <row r="19857" spans="8:9">
      <c r="H19857" s="1092"/>
      <c r="I19857" s="1092"/>
    </row>
    <row r="19858" spans="8:9">
      <c r="H19858" s="1092"/>
      <c r="I19858" s="1092"/>
    </row>
    <row r="19859" spans="8:9">
      <c r="H19859" s="1092"/>
      <c r="I19859" s="1092"/>
    </row>
    <row r="19860" spans="8:9">
      <c r="H19860" s="1092"/>
      <c r="I19860" s="1092"/>
    </row>
    <row r="19861" spans="8:9">
      <c r="H19861" s="1092"/>
      <c r="I19861" s="1092"/>
    </row>
    <row r="19862" spans="8:9">
      <c r="H19862" s="1092"/>
      <c r="I19862" s="1092"/>
    </row>
    <row r="19863" spans="8:9">
      <c r="H19863" s="1092"/>
      <c r="I19863" s="1092"/>
    </row>
    <row r="19864" spans="8:9">
      <c r="H19864" s="1092"/>
      <c r="I19864" s="1092"/>
    </row>
    <row r="19865" spans="8:9">
      <c r="H19865" s="1092"/>
      <c r="I19865" s="1092"/>
    </row>
    <row r="19866" spans="8:9">
      <c r="H19866" s="1092"/>
      <c r="I19866" s="1092"/>
    </row>
    <row r="19867" spans="8:9">
      <c r="H19867" s="1092"/>
      <c r="I19867" s="1092"/>
    </row>
    <row r="19868" spans="8:9">
      <c r="H19868" s="1092"/>
      <c r="I19868" s="1092"/>
    </row>
    <row r="19869" spans="8:9">
      <c r="H19869" s="1092"/>
      <c r="I19869" s="1092"/>
    </row>
    <row r="19870" spans="8:9">
      <c r="H19870" s="1092"/>
      <c r="I19870" s="1092"/>
    </row>
    <row r="19871" spans="8:9">
      <c r="H19871" s="1092"/>
      <c r="I19871" s="1092"/>
    </row>
    <row r="19872" spans="8:9">
      <c r="H19872" s="1092"/>
      <c r="I19872" s="1092"/>
    </row>
    <row r="19873" spans="8:9">
      <c r="H19873" s="1092"/>
      <c r="I19873" s="1092"/>
    </row>
    <row r="19874" spans="8:9">
      <c r="H19874" s="1092"/>
      <c r="I19874" s="1092"/>
    </row>
    <row r="19875" spans="8:9">
      <c r="H19875" s="1092"/>
      <c r="I19875" s="1092"/>
    </row>
    <row r="19876" spans="8:9">
      <c r="H19876" s="1092"/>
      <c r="I19876" s="1092"/>
    </row>
    <row r="19877" spans="8:9">
      <c r="H19877" s="1092"/>
      <c r="I19877" s="1092"/>
    </row>
    <row r="19878" spans="8:9">
      <c r="H19878" s="1092"/>
      <c r="I19878" s="1092"/>
    </row>
    <row r="19879" spans="8:9">
      <c r="H19879" s="1092"/>
      <c r="I19879" s="1092"/>
    </row>
    <row r="19880" spans="8:9">
      <c r="H19880" s="1092"/>
      <c r="I19880" s="1092"/>
    </row>
    <row r="19881" spans="8:9">
      <c r="H19881" s="1092"/>
      <c r="I19881" s="1092"/>
    </row>
    <row r="19882" spans="8:9">
      <c r="H19882" s="1092"/>
      <c r="I19882" s="1092"/>
    </row>
    <row r="19883" spans="8:9">
      <c r="H19883" s="1092"/>
      <c r="I19883" s="1092"/>
    </row>
    <row r="19884" spans="8:9">
      <c r="H19884" s="1092"/>
      <c r="I19884" s="1092"/>
    </row>
    <row r="19885" spans="8:9">
      <c r="H19885" s="1092"/>
      <c r="I19885" s="1092"/>
    </row>
    <row r="19886" spans="8:9">
      <c r="H19886" s="1092"/>
      <c r="I19886" s="1092"/>
    </row>
    <row r="19887" spans="8:9">
      <c r="H19887" s="1092"/>
      <c r="I19887" s="1092"/>
    </row>
    <row r="19888" spans="8:9">
      <c r="H19888" s="1092"/>
      <c r="I19888" s="1092"/>
    </row>
    <row r="19889" spans="8:9">
      <c r="H19889" s="1092"/>
      <c r="I19889" s="1092"/>
    </row>
    <row r="19890" spans="8:9">
      <c r="H19890" s="1092"/>
      <c r="I19890" s="1092"/>
    </row>
    <row r="19891" spans="8:9">
      <c r="H19891" s="1092"/>
      <c r="I19891" s="1092"/>
    </row>
    <row r="19892" spans="8:9">
      <c r="H19892" s="1092"/>
      <c r="I19892" s="1092"/>
    </row>
    <row r="19893" spans="8:9">
      <c r="H19893" s="1092"/>
      <c r="I19893" s="1092"/>
    </row>
    <row r="19894" spans="8:9">
      <c r="H19894" s="1092"/>
      <c r="I19894" s="1092"/>
    </row>
    <row r="19895" spans="8:9">
      <c r="H19895" s="1092"/>
      <c r="I19895" s="1092"/>
    </row>
    <row r="19896" spans="8:9">
      <c r="H19896" s="1092"/>
      <c r="I19896" s="1092"/>
    </row>
    <row r="19897" spans="8:9">
      <c r="H19897" s="1092"/>
      <c r="I19897" s="1092"/>
    </row>
    <row r="19898" spans="8:9">
      <c r="H19898" s="1092"/>
      <c r="I19898" s="1092"/>
    </row>
    <row r="19899" spans="8:9">
      <c r="H19899" s="1092"/>
      <c r="I19899" s="1092"/>
    </row>
    <row r="19900" spans="8:9">
      <c r="H19900" s="1092"/>
      <c r="I19900" s="1092"/>
    </row>
    <row r="19901" spans="8:9">
      <c r="H19901" s="1092"/>
      <c r="I19901" s="1092"/>
    </row>
    <row r="19902" spans="8:9">
      <c r="H19902" s="1092"/>
      <c r="I19902" s="1092"/>
    </row>
    <row r="19903" spans="8:9">
      <c r="H19903" s="1092"/>
      <c r="I19903" s="1092"/>
    </row>
    <row r="19904" spans="8:9">
      <c r="H19904" s="1092"/>
      <c r="I19904" s="1092"/>
    </row>
    <row r="19905" spans="8:9">
      <c r="H19905" s="1092"/>
      <c r="I19905" s="1092"/>
    </row>
    <row r="19906" spans="8:9">
      <c r="H19906" s="1092"/>
      <c r="I19906" s="1092"/>
    </row>
    <row r="19907" spans="8:9">
      <c r="H19907" s="1092"/>
      <c r="I19907" s="1092"/>
    </row>
    <row r="19908" spans="8:9">
      <c r="H19908" s="1092"/>
      <c r="I19908" s="1092"/>
    </row>
    <row r="19909" spans="8:9">
      <c r="H19909" s="1092"/>
      <c r="I19909" s="1092"/>
    </row>
    <row r="19910" spans="8:9">
      <c r="H19910" s="1092"/>
      <c r="I19910" s="1092"/>
    </row>
    <row r="19911" spans="8:9">
      <c r="H19911" s="1092"/>
      <c r="I19911" s="1092"/>
    </row>
    <row r="19912" spans="8:9">
      <c r="H19912" s="1092"/>
      <c r="I19912" s="1092"/>
    </row>
    <row r="19913" spans="8:9">
      <c r="H19913" s="1092"/>
      <c r="I19913" s="1092"/>
    </row>
    <row r="19914" spans="8:9">
      <c r="H19914" s="1092"/>
      <c r="I19914" s="1092"/>
    </row>
    <row r="19915" spans="8:9">
      <c r="H19915" s="1092"/>
      <c r="I19915" s="1092"/>
    </row>
    <row r="19916" spans="8:9">
      <c r="H19916" s="1092"/>
      <c r="I19916" s="1092"/>
    </row>
    <row r="19917" spans="8:9">
      <c r="H19917" s="1092"/>
      <c r="I19917" s="1092"/>
    </row>
    <row r="19918" spans="8:9">
      <c r="H19918" s="1092"/>
      <c r="I19918" s="1092"/>
    </row>
    <row r="19919" spans="8:9">
      <c r="H19919" s="1092"/>
      <c r="I19919" s="1092"/>
    </row>
    <row r="19920" spans="8:9">
      <c r="H19920" s="1092"/>
      <c r="I19920" s="1092"/>
    </row>
    <row r="19921" spans="8:9">
      <c r="H19921" s="1092"/>
      <c r="I19921" s="1092"/>
    </row>
    <row r="19922" spans="8:9">
      <c r="H19922" s="1092"/>
      <c r="I19922" s="1092"/>
    </row>
    <row r="19923" spans="8:9">
      <c r="H19923" s="1092"/>
      <c r="I19923" s="1092"/>
    </row>
    <row r="19924" spans="8:9">
      <c r="H19924" s="1092"/>
      <c r="I19924" s="1092"/>
    </row>
    <row r="19925" spans="8:9">
      <c r="H19925" s="1092"/>
      <c r="I19925" s="1092"/>
    </row>
    <row r="19926" spans="8:9">
      <c r="H19926" s="1092"/>
      <c r="I19926" s="1092"/>
    </row>
    <row r="19927" spans="8:9">
      <c r="H19927" s="1092"/>
      <c r="I19927" s="1092"/>
    </row>
    <row r="19928" spans="8:9">
      <c r="H19928" s="1092"/>
      <c r="I19928" s="1092"/>
    </row>
    <row r="19929" spans="8:9">
      <c r="H19929" s="1092"/>
      <c r="I19929" s="1092"/>
    </row>
    <row r="19930" spans="8:9">
      <c r="H19930" s="1092"/>
      <c r="I19930" s="1092"/>
    </row>
    <row r="19931" spans="8:9">
      <c r="H19931" s="1092"/>
      <c r="I19931" s="1092"/>
    </row>
    <row r="19932" spans="8:9">
      <c r="H19932" s="1092"/>
      <c r="I19932" s="1092"/>
    </row>
    <row r="19933" spans="8:9">
      <c r="H19933" s="1092"/>
      <c r="I19933" s="1092"/>
    </row>
    <row r="19934" spans="8:9">
      <c r="H19934" s="1092"/>
      <c r="I19934" s="1092"/>
    </row>
    <row r="19935" spans="8:9">
      <c r="H19935" s="1092"/>
      <c r="I19935" s="1092"/>
    </row>
    <row r="19936" spans="8:9">
      <c r="H19936" s="1092"/>
      <c r="I19936" s="1092"/>
    </row>
    <row r="19937" spans="8:9">
      <c r="H19937" s="1092"/>
      <c r="I19937" s="1092"/>
    </row>
    <row r="19938" spans="8:9">
      <c r="H19938" s="1092"/>
      <c r="I19938" s="1092"/>
    </row>
    <row r="19939" spans="8:9">
      <c r="H19939" s="1092"/>
      <c r="I19939" s="1092"/>
    </row>
    <row r="19940" spans="8:9">
      <c r="H19940" s="1092"/>
      <c r="I19940" s="1092"/>
    </row>
    <row r="19941" spans="8:9">
      <c r="H19941" s="1092"/>
      <c r="I19941" s="1092"/>
    </row>
    <row r="19942" spans="8:9">
      <c r="H19942" s="1092"/>
      <c r="I19942" s="1092"/>
    </row>
    <row r="19943" spans="8:9">
      <c r="H19943" s="1092"/>
      <c r="I19943" s="1092"/>
    </row>
    <row r="19944" spans="8:9">
      <c r="H19944" s="1092"/>
      <c r="I19944" s="1092"/>
    </row>
    <row r="19945" spans="8:9">
      <c r="H19945" s="1092"/>
      <c r="I19945" s="1092"/>
    </row>
    <row r="19946" spans="8:9">
      <c r="H19946" s="1092"/>
      <c r="I19946" s="1092"/>
    </row>
    <row r="19947" spans="8:9">
      <c r="H19947" s="1092"/>
      <c r="I19947" s="1092"/>
    </row>
    <row r="19948" spans="8:9">
      <c r="H19948" s="1092"/>
      <c r="I19948" s="1092"/>
    </row>
    <row r="19949" spans="8:9">
      <c r="H19949" s="1092"/>
      <c r="I19949" s="1092"/>
    </row>
    <row r="19950" spans="8:9">
      <c r="H19950" s="1092"/>
      <c r="I19950" s="1092"/>
    </row>
    <row r="19951" spans="8:9">
      <c r="H19951" s="1092"/>
      <c r="I19951" s="1092"/>
    </row>
    <row r="19952" spans="8:9">
      <c r="H19952" s="1092"/>
      <c r="I19952" s="1092"/>
    </row>
    <row r="19953" spans="8:9">
      <c r="H19953" s="1092"/>
      <c r="I19953" s="1092"/>
    </row>
    <row r="19954" spans="8:9">
      <c r="H19954" s="1092"/>
      <c r="I19954" s="1092"/>
    </row>
    <row r="19955" spans="8:9">
      <c r="H19955" s="1092"/>
      <c r="I19955" s="1092"/>
    </row>
    <row r="19956" spans="8:9">
      <c r="H19956" s="1092"/>
      <c r="I19956" s="1092"/>
    </row>
    <row r="19957" spans="8:9">
      <c r="H19957" s="1092"/>
      <c r="I19957" s="1092"/>
    </row>
    <row r="19958" spans="8:9">
      <c r="H19958" s="1092"/>
      <c r="I19958" s="1092"/>
    </row>
    <row r="19959" spans="8:9">
      <c r="H19959" s="1092"/>
      <c r="I19959" s="1092"/>
    </row>
    <row r="19960" spans="8:9">
      <c r="H19960" s="1092"/>
      <c r="I19960" s="1092"/>
    </row>
    <row r="19961" spans="8:9">
      <c r="H19961" s="1092"/>
      <c r="I19961" s="1092"/>
    </row>
    <row r="19962" spans="8:9">
      <c r="H19962" s="1092"/>
      <c r="I19962" s="1092"/>
    </row>
    <row r="19963" spans="8:9">
      <c r="H19963" s="1092"/>
      <c r="I19963" s="1092"/>
    </row>
    <row r="19964" spans="8:9">
      <c r="H19964" s="1092"/>
      <c r="I19964" s="1092"/>
    </row>
    <row r="19965" spans="8:9">
      <c r="H19965" s="1092"/>
      <c r="I19965" s="1092"/>
    </row>
    <row r="19966" spans="8:9">
      <c r="H19966" s="1092"/>
      <c r="I19966" s="1092"/>
    </row>
    <row r="19967" spans="8:9">
      <c r="H19967" s="1092"/>
      <c r="I19967" s="1092"/>
    </row>
    <row r="19968" spans="8:9">
      <c r="H19968" s="1092"/>
      <c r="I19968" s="1092"/>
    </row>
    <row r="19969" spans="8:9">
      <c r="H19969" s="1092"/>
      <c r="I19969" s="1092"/>
    </row>
    <row r="19970" spans="8:9">
      <c r="H19970" s="1092"/>
      <c r="I19970" s="1092"/>
    </row>
    <row r="19971" spans="8:9">
      <c r="H19971" s="1092"/>
      <c r="I19971" s="1092"/>
    </row>
    <row r="19972" spans="8:9">
      <c r="H19972" s="1092"/>
      <c r="I19972" s="1092"/>
    </row>
    <row r="19973" spans="8:9">
      <c r="H19973" s="1092"/>
      <c r="I19973" s="1092"/>
    </row>
    <row r="19974" spans="8:9">
      <c r="H19974" s="1092"/>
      <c r="I19974" s="1092"/>
    </row>
    <row r="19975" spans="8:9">
      <c r="H19975" s="1092"/>
      <c r="I19975" s="1092"/>
    </row>
    <row r="19976" spans="8:9">
      <c r="H19976" s="1092"/>
      <c r="I19976" s="1092"/>
    </row>
    <row r="19977" spans="8:9">
      <c r="H19977" s="1092"/>
      <c r="I19977" s="1092"/>
    </row>
    <row r="19978" spans="8:9">
      <c r="H19978" s="1092"/>
      <c r="I19978" s="1092"/>
    </row>
    <row r="19979" spans="8:9">
      <c r="H19979" s="1092"/>
      <c r="I19979" s="1092"/>
    </row>
    <row r="19980" spans="8:9">
      <c r="H19980" s="1092"/>
      <c r="I19980" s="1092"/>
    </row>
    <row r="19981" spans="8:9">
      <c r="H19981" s="1092"/>
      <c r="I19981" s="1092"/>
    </row>
    <row r="19982" spans="8:9">
      <c r="H19982" s="1092"/>
      <c r="I19982" s="1092"/>
    </row>
    <row r="19983" spans="8:9">
      <c r="H19983" s="1092"/>
      <c r="I19983" s="1092"/>
    </row>
    <row r="19984" spans="8:9">
      <c r="H19984" s="1092"/>
      <c r="I19984" s="1092"/>
    </row>
    <row r="19985" spans="8:9">
      <c r="H19985" s="1092"/>
      <c r="I19985" s="1092"/>
    </row>
    <row r="19986" spans="8:9">
      <c r="H19986" s="1092"/>
      <c r="I19986" s="1092"/>
    </row>
    <row r="19987" spans="8:9">
      <c r="H19987" s="1092"/>
      <c r="I19987" s="1092"/>
    </row>
    <row r="19988" spans="8:9">
      <c r="H19988" s="1092"/>
      <c r="I19988" s="1092"/>
    </row>
    <row r="19989" spans="8:9">
      <c r="H19989" s="1092"/>
      <c r="I19989" s="1092"/>
    </row>
    <row r="19990" spans="8:9">
      <c r="H19990" s="1092"/>
      <c r="I19990" s="1092"/>
    </row>
    <row r="19991" spans="8:9">
      <c r="H19991" s="1092"/>
      <c r="I19991" s="1092"/>
    </row>
    <row r="19992" spans="8:9">
      <c r="H19992" s="1092"/>
      <c r="I19992" s="1092"/>
    </row>
    <row r="19993" spans="8:9">
      <c r="H19993" s="1092"/>
      <c r="I19993" s="1092"/>
    </row>
    <row r="19994" spans="8:9">
      <c r="H19994" s="1092"/>
      <c r="I19994" s="1092"/>
    </row>
    <row r="19995" spans="8:9">
      <c r="H19995" s="1092"/>
      <c r="I19995" s="1092"/>
    </row>
    <row r="19996" spans="8:9">
      <c r="H19996" s="1092"/>
      <c r="I19996" s="1092"/>
    </row>
    <row r="19997" spans="8:9">
      <c r="H19997" s="1092"/>
      <c r="I19997" s="1092"/>
    </row>
    <row r="19998" spans="8:9">
      <c r="H19998" s="1092"/>
      <c r="I19998" s="1092"/>
    </row>
    <row r="19999" spans="8:9">
      <c r="H19999" s="1092"/>
      <c r="I19999" s="1092"/>
    </row>
    <row r="20000" spans="8:9">
      <c r="H20000" s="1092"/>
      <c r="I20000" s="1092"/>
    </row>
    <row r="20001" spans="8:9">
      <c r="H20001" s="1092"/>
      <c r="I20001" s="1092"/>
    </row>
    <row r="20002" spans="8:9">
      <c r="H20002" s="1092"/>
      <c r="I20002" s="1092"/>
    </row>
    <row r="20003" spans="8:9">
      <c r="H20003" s="1092"/>
      <c r="I20003" s="1092"/>
    </row>
    <row r="20004" spans="8:9">
      <c r="H20004" s="1092"/>
      <c r="I20004" s="1092"/>
    </row>
    <row r="20005" spans="8:9">
      <c r="H20005" s="1092"/>
      <c r="I20005" s="1092"/>
    </row>
    <row r="20006" spans="8:9">
      <c r="H20006" s="1092"/>
      <c r="I20006" s="1092"/>
    </row>
    <row r="20007" spans="8:9">
      <c r="H20007" s="1092"/>
      <c r="I20007" s="1092"/>
    </row>
    <row r="20008" spans="8:9">
      <c r="H20008" s="1092"/>
      <c r="I20008" s="1092"/>
    </row>
    <row r="20009" spans="8:9">
      <c r="H20009" s="1092"/>
      <c r="I20009" s="1092"/>
    </row>
    <row r="20010" spans="8:9">
      <c r="H20010" s="1092"/>
      <c r="I20010" s="1092"/>
    </row>
    <row r="20011" spans="8:9">
      <c r="H20011" s="1092"/>
      <c r="I20011" s="1092"/>
    </row>
    <row r="20012" spans="8:9">
      <c r="H20012" s="1092"/>
      <c r="I20012" s="1092"/>
    </row>
    <row r="20013" spans="8:9">
      <c r="H20013" s="1092"/>
      <c r="I20013" s="1092"/>
    </row>
    <row r="20014" spans="8:9">
      <c r="H20014" s="1092"/>
      <c r="I20014" s="1092"/>
    </row>
    <row r="20015" spans="8:9">
      <c r="H20015" s="1092"/>
      <c r="I20015" s="1092"/>
    </row>
    <row r="20016" spans="8:9">
      <c r="H20016" s="1092"/>
      <c r="I20016" s="1092"/>
    </row>
    <row r="20017" spans="8:9">
      <c r="H20017" s="1092"/>
      <c r="I20017" s="1092"/>
    </row>
    <row r="20018" spans="8:9">
      <c r="H20018" s="1092"/>
      <c r="I20018" s="1092"/>
    </row>
    <row r="20019" spans="8:9">
      <c r="H20019" s="1092"/>
      <c r="I20019" s="1092"/>
    </row>
    <row r="20020" spans="8:9">
      <c r="H20020" s="1092"/>
      <c r="I20020" s="1092"/>
    </row>
    <row r="20021" spans="8:9">
      <c r="H20021" s="1092"/>
      <c r="I20021" s="1092"/>
    </row>
    <row r="20022" spans="8:9">
      <c r="H20022" s="1092"/>
      <c r="I20022" s="1092"/>
    </row>
    <row r="20023" spans="8:9">
      <c r="H20023" s="1092"/>
      <c r="I20023" s="1092"/>
    </row>
    <row r="20024" spans="8:9">
      <c r="H20024" s="1092"/>
      <c r="I20024" s="1092"/>
    </row>
    <row r="20025" spans="8:9">
      <c r="H20025" s="1092"/>
      <c r="I20025" s="1092"/>
    </row>
    <row r="20026" spans="8:9">
      <c r="H20026" s="1092"/>
      <c r="I20026" s="1092"/>
    </row>
    <row r="20027" spans="8:9">
      <c r="H20027" s="1092"/>
      <c r="I20027" s="1092"/>
    </row>
    <row r="20028" spans="8:9">
      <c r="H20028" s="1092"/>
      <c r="I20028" s="1092"/>
    </row>
    <row r="20029" spans="8:9">
      <c r="H20029" s="1092"/>
      <c r="I20029" s="1092"/>
    </row>
    <row r="20030" spans="8:9">
      <c r="H20030" s="1092"/>
      <c r="I20030" s="1092"/>
    </row>
    <row r="20031" spans="8:9">
      <c r="H20031" s="1092"/>
      <c r="I20031" s="1092"/>
    </row>
    <row r="20032" spans="8:9">
      <c r="H20032" s="1092"/>
      <c r="I20032" s="1092"/>
    </row>
    <row r="20033" spans="8:9">
      <c r="H20033" s="1092"/>
      <c r="I20033" s="1092"/>
    </row>
    <row r="20034" spans="8:9">
      <c r="H20034" s="1092"/>
      <c r="I20034" s="1092"/>
    </row>
    <row r="20035" spans="8:9">
      <c r="H20035" s="1092"/>
      <c r="I20035" s="1092"/>
    </row>
    <row r="20036" spans="8:9">
      <c r="H20036" s="1092"/>
      <c r="I20036" s="1092"/>
    </row>
    <row r="20037" spans="8:9">
      <c r="H20037" s="1092"/>
      <c r="I20037" s="1092"/>
    </row>
    <row r="20038" spans="8:9">
      <c r="H20038" s="1092"/>
      <c r="I20038" s="1092"/>
    </row>
    <row r="20039" spans="8:9">
      <c r="H20039" s="1092"/>
      <c r="I20039" s="1092"/>
    </row>
    <row r="20040" spans="8:9">
      <c r="H20040" s="1092"/>
      <c r="I20040" s="1092"/>
    </row>
    <row r="20041" spans="8:9">
      <c r="H20041" s="1092"/>
      <c r="I20041" s="1092"/>
    </row>
    <row r="20042" spans="8:9">
      <c r="H20042" s="1092"/>
      <c r="I20042" s="1092"/>
    </row>
    <row r="20043" spans="8:9">
      <c r="H20043" s="1092"/>
      <c r="I20043" s="1092"/>
    </row>
    <row r="20044" spans="8:9">
      <c r="H20044" s="1092"/>
      <c r="I20044" s="1092"/>
    </row>
    <row r="20045" spans="8:9">
      <c r="H20045" s="1092"/>
      <c r="I20045" s="1092"/>
    </row>
    <row r="20046" spans="8:9">
      <c r="H20046" s="1092"/>
      <c r="I20046" s="1092"/>
    </row>
    <row r="20047" spans="8:9">
      <c r="H20047" s="1092"/>
      <c r="I20047" s="1092"/>
    </row>
    <row r="20048" spans="8:9">
      <c r="H20048" s="1092"/>
      <c r="I20048" s="1092"/>
    </row>
    <row r="20049" spans="8:9">
      <c r="H20049" s="1092"/>
      <c r="I20049" s="1092"/>
    </row>
    <row r="20050" spans="8:9">
      <c r="H20050" s="1092"/>
      <c r="I20050" s="1092"/>
    </row>
    <row r="20051" spans="8:9">
      <c r="H20051" s="1092"/>
      <c r="I20051" s="1092"/>
    </row>
    <row r="20052" spans="8:9">
      <c r="H20052" s="1092"/>
      <c r="I20052" s="1092"/>
    </row>
    <row r="20053" spans="8:9">
      <c r="H20053" s="1092"/>
      <c r="I20053" s="1092"/>
    </row>
    <row r="20054" spans="8:9">
      <c r="H20054" s="1092"/>
      <c r="I20054" s="1092"/>
    </row>
    <row r="20055" spans="8:9">
      <c r="H20055" s="1092"/>
      <c r="I20055" s="1092"/>
    </row>
    <row r="20056" spans="8:9">
      <c r="H20056" s="1092"/>
      <c r="I20056" s="1092"/>
    </row>
    <row r="20057" spans="8:9">
      <c r="H20057" s="1092"/>
      <c r="I20057" s="1092"/>
    </row>
    <row r="20058" spans="8:9">
      <c r="H20058" s="1092"/>
      <c r="I20058" s="1092"/>
    </row>
    <row r="20059" spans="8:9">
      <c r="H20059" s="1092"/>
      <c r="I20059" s="1092"/>
    </row>
    <row r="20060" spans="8:9">
      <c r="H20060" s="1092"/>
      <c r="I20060" s="1092"/>
    </row>
    <row r="20061" spans="8:9">
      <c r="H20061" s="1092"/>
      <c r="I20061" s="1092"/>
    </row>
    <row r="20062" spans="8:9">
      <c r="H20062" s="1092"/>
      <c r="I20062" s="1092"/>
    </row>
    <row r="20063" spans="8:9">
      <c r="H20063" s="1092"/>
      <c r="I20063" s="1092"/>
    </row>
    <row r="20064" spans="8:9">
      <c r="H20064" s="1092"/>
      <c r="I20064" s="1092"/>
    </row>
    <row r="20065" spans="8:9">
      <c r="H20065" s="1092"/>
      <c r="I20065" s="1092"/>
    </row>
    <row r="20066" spans="8:9">
      <c r="H20066" s="1092"/>
      <c r="I20066" s="1092"/>
    </row>
    <row r="20067" spans="8:9">
      <c r="H20067" s="1092"/>
      <c r="I20067" s="1092"/>
    </row>
    <row r="20068" spans="8:9">
      <c r="H20068" s="1092"/>
      <c r="I20068" s="1092"/>
    </row>
    <row r="20069" spans="8:9">
      <c r="H20069" s="1092"/>
      <c r="I20069" s="1092"/>
    </row>
    <row r="20070" spans="8:9">
      <c r="H20070" s="1092"/>
      <c r="I20070" s="1092"/>
    </row>
    <row r="20071" spans="8:9">
      <c r="H20071" s="1092"/>
      <c r="I20071" s="1092"/>
    </row>
    <row r="20072" spans="8:9">
      <c r="H20072" s="1092"/>
      <c r="I20072" s="1092"/>
    </row>
    <row r="20073" spans="8:9">
      <c r="H20073" s="1092"/>
      <c r="I20073" s="1092"/>
    </row>
    <row r="20074" spans="8:9">
      <c r="H20074" s="1092"/>
      <c r="I20074" s="1092"/>
    </row>
    <row r="20075" spans="8:9">
      <c r="H20075" s="1092"/>
      <c r="I20075" s="1092"/>
    </row>
    <row r="20076" spans="8:9">
      <c r="H20076" s="1092"/>
      <c r="I20076" s="1092"/>
    </row>
    <row r="20077" spans="8:9">
      <c r="H20077" s="1092"/>
      <c r="I20077" s="1092"/>
    </row>
    <row r="20078" spans="8:9">
      <c r="H20078" s="1092"/>
      <c r="I20078" s="1092"/>
    </row>
    <row r="20079" spans="8:9">
      <c r="H20079" s="1092"/>
      <c r="I20079" s="1092"/>
    </row>
    <row r="20080" spans="8:9">
      <c r="H20080" s="1092"/>
      <c r="I20080" s="1092"/>
    </row>
    <row r="20081" spans="8:9">
      <c r="H20081" s="1092"/>
      <c r="I20081" s="1092"/>
    </row>
    <row r="20082" spans="8:9">
      <c r="H20082" s="1092"/>
      <c r="I20082" s="1092"/>
    </row>
    <row r="20083" spans="8:9">
      <c r="H20083" s="1092"/>
      <c r="I20083" s="1092"/>
    </row>
    <row r="20084" spans="8:9">
      <c r="H20084" s="1092"/>
      <c r="I20084" s="1092"/>
    </row>
    <row r="20085" spans="8:9">
      <c r="H20085" s="1092"/>
      <c r="I20085" s="1092"/>
    </row>
    <row r="20086" spans="8:9">
      <c r="H20086" s="1092"/>
      <c r="I20086" s="1092"/>
    </row>
    <row r="20087" spans="8:9">
      <c r="H20087" s="1092"/>
      <c r="I20087" s="1092"/>
    </row>
    <row r="20088" spans="8:9">
      <c r="H20088" s="1092"/>
      <c r="I20088" s="1092"/>
    </row>
    <row r="20089" spans="8:9">
      <c r="H20089" s="1092"/>
      <c r="I20089" s="1092"/>
    </row>
    <row r="20090" spans="8:9">
      <c r="H20090" s="1092"/>
      <c r="I20090" s="1092"/>
    </row>
    <row r="20091" spans="8:9">
      <c r="H20091" s="1092"/>
      <c r="I20091" s="1092"/>
    </row>
    <row r="20092" spans="8:9">
      <c r="H20092" s="1092"/>
      <c r="I20092" s="1092"/>
    </row>
    <row r="20093" spans="8:9">
      <c r="H20093" s="1092"/>
      <c r="I20093" s="1092"/>
    </row>
    <row r="20094" spans="8:9">
      <c r="H20094" s="1092"/>
      <c r="I20094" s="1092"/>
    </row>
    <row r="20095" spans="8:9">
      <c r="H20095" s="1092"/>
      <c r="I20095" s="1092"/>
    </row>
    <row r="20096" spans="8:9">
      <c r="H20096" s="1092"/>
      <c r="I20096" s="1092"/>
    </row>
    <row r="20097" spans="8:9">
      <c r="H20097" s="1092"/>
      <c r="I20097" s="1092"/>
    </row>
    <row r="20098" spans="8:9">
      <c r="H20098" s="1092"/>
      <c r="I20098" s="1092"/>
    </row>
    <row r="20099" spans="8:9">
      <c r="H20099" s="1092"/>
      <c r="I20099" s="1092"/>
    </row>
    <row r="20100" spans="8:9">
      <c r="H20100" s="1092"/>
      <c r="I20100" s="1092"/>
    </row>
    <row r="20101" spans="8:9">
      <c r="H20101" s="1092"/>
      <c r="I20101" s="1092"/>
    </row>
    <row r="20102" spans="8:9">
      <c r="H20102" s="1092"/>
      <c r="I20102" s="1092"/>
    </row>
    <row r="20103" spans="8:9">
      <c r="H20103" s="1092"/>
      <c r="I20103" s="1092"/>
    </row>
    <row r="20104" spans="8:9">
      <c r="H20104" s="1092"/>
      <c r="I20104" s="1092"/>
    </row>
    <row r="20105" spans="8:9">
      <c r="H20105" s="1092"/>
      <c r="I20105" s="1092"/>
    </row>
    <row r="20106" spans="8:9">
      <c r="H20106" s="1092"/>
      <c r="I20106" s="1092"/>
    </row>
    <row r="20107" spans="8:9">
      <c r="H20107" s="1092"/>
      <c r="I20107" s="1092"/>
    </row>
    <row r="20108" spans="8:9">
      <c r="H20108" s="1092"/>
      <c r="I20108" s="1092"/>
    </row>
    <row r="20109" spans="8:9">
      <c r="H20109" s="1092"/>
      <c r="I20109" s="1092"/>
    </row>
    <row r="20110" spans="8:9">
      <c r="H20110" s="1092"/>
      <c r="I20110" s="1092"/>
    </row>
    <row r="20111" spans="8:9">
      <c r="H20111" s="1092"/>
      <c r="I20111" s="1092"/>
    </row>
    <row r="20112" spans="8:9">
      <c r="H20112" s="1092"/>
      <c r="I20112" s="1092"/>
    </row>
    <row r="20113" spans="8:9">
      <c r="H20113" s="1092"/>
      <c r="I20113" s="1092"/>
    </row>
    <row r="20114" spans="8:9">
      <c r="H20114" s="1092"/>
      <c r="I20114" s="1092"/>
    </row>
    <row r="20115" spans="8:9">
      <c r="H20115" s="1092"/>
      <c r="I20115" s="1092"/>
    </row>
    <row r="20116" spans="8:9">
      <c r="H20116" s="1092"/>
      <c r="I20116" s="1092"/>
    </row>
    <row r="20117" spans="8:9">
      <c r="H20117" s="1092"/>
      <c r="I20117" s="1092"/>
    </row>
    <row r="20118" spans="8:9">
      <c r="H20118" s="1092"/>
      <c r="I20118" s="1092"/>
    </row>
    <row r="20119" spans="8:9">
      <c r="H20119" s="1092"/>
      <c r="I20119" s="1092"/>
    </row>
    <row r="20120" spans="8:9">
      <c r="H20120" s="1092"/>
      <c r="I20120" s="1092"/>
    </row>
    <row r="20121" spans="8:9">
      <c r="H20121" s="1092"/>
      <c r="I20121" s="1092"/>
    </row>
    <row r="20122" spans="8:9">
      <c r="H20122" s="1092"/>
      <c r="I20122" s="1092"/>
    </row>
    <row r="20123" spans="8:9">
      <c r="H20123" s="1092"/>
      <c r="I20123" s="1092"/>
    </row>
    <row r="20124" spans="8:9">
      <c r="H20124" s="1092"/>
      <c r="I20124" s="1092"/>
    </row>
    <row r="20125" spans="8:9">
      <c r="H20125" s="1092"/>
      <c r="I20125" s="1092"/>
    </row>
    <row r="20126" spans="8:9">
      <c r="H20126" s="1092"/>
      <c r="I20126" s="1092"/>
    </row>
    <row r="20127" spans="8:9">
      <c r="H20127" s="1092"/>
      <c r="I20127" s="1092"/>
    </row>
    <row r="20128" spans="8:9">
      <c r="H20128" s="1092"/>
      <c r="I20128" s="1092"/>
    </row>
    <row r="20129" spans="8:9">
      <c r="H20129" s="1092"/>
      <c r="I20129" s="1092"/>
    </row>
    <row r="20130" spans="8:9">
      <c r="H20130" s="1092"/>
      <c r="I20130" s="1092"/>
    </row>
    <row r="20131" spans="8:9">
      <c r="H20131" s="1092"/>
      <c r="I20131" s="1092"/>
    </row>
    <row r="20132" spans="8:9">
      <c r="H20132" s="1092"/>
      <c r="I20132" s="1092"/>
    </row>
    <row r="20133" spans="8:9">
      <c r="H20133" s="1092"/>
      <c r="I20133" s="1092"/>
    </row>
    <row r="20134" spans="8:9">
      <c r="H20134" s="1092"/>
      <c r="I20134" s="1092"/>
    </row>
    <row r="20135" spans="8:9">
      <c r="H20135" s="1092"/>
      <c r="I20135" s="1092"/>
    </row>
    <row r="20136" spans="8:9">
      <c r="H20136" s="1092"/>
      <c r="I20136" s="1092"/>
    </row>
    <row r="20137" spans="8:9">
      <c r="H20137" s="1092"/>
      <c r="I20137" s="1092"/>
    </row>
    <row r="20138" spans="8:9">
      <c r="H20138" s="1092"/>
      <c r="I20138" s="1092"/>
    </row>
    <row r="20139" spans="8:9">
      <c r="H20139" s="1092"/>
      <c r="I20139" s="1092"/>
    </row>
    <row r="20140" spans="8:9">
      <c r="H20140" s="1092"/>
      <c r="I20140" s="1092"/>
    </row>
    <row r="20141" spans="8:9">
      <c r="H20141" s="1092"/>
      <c r="I20141" s="1092"/>
    </row>
    <row r="20142" spans="8:9">
      <c r="H20142" s="1092"/>
      <c r="I20142" s="1092"/>
    </row>
    <row r="20143" spans="8:9">
      <c r="H20143" s="1092"/>
      <c r="I20143" s="1092"/>
    </row>
    <row r="20144" spans="8:9">
      <c r="H20144" s="1092"/>
      <c r="I20144" s="1092"/>
    </row>
    <row r="20145" spans="8:9">
      <c r="H20145" s="1092"/>
      <c r="I20145" s="1092"/>
    </row>
    <row r="20146" spans="8:9">
      <c r="H20146" s="1092"/>
      <c r="I20146" s="1092"/>
    </row>
    <row r="20147" spans="8:9">
      <c r="H20147" s="1092"/>
      <c r="I20147" s="1092"/>
    </row>
    <row r="20148" spans="8:9">
      <c r="H20148" s="1092"/>
      <c r="I20148" s="1092"/>
    </row>
    <row r="20149" spans="8:9">
      <c r="H20149" s="1092"/>
      <c r="I20149" s="1092"/>
    </row>
    <row r="20150" spans="8:9">
      <c r="H20150" s="1092"/>
      <c r="I20150" s="1092"/>
    </row>
    <row r="20151" spans="8:9">
      <c r="H20151" s="1092"/>
      <c r="I20151" s="1092"/>
    </row>
    <row r="20152" spans="8:9">
      <c r="H20152" s="1092"/>
      <c r="I20152" s="1092"/>
    </row>
    <row r="20153" spans="8:9">
      <c r="H20153" s="1092"/>
      <c r="I20153" s="1092"/>
    </row>
    <row r="20154" spans="8:9">
      <c r="H20154" s="1092"/>
      <c r="I20154" s="1092"/>
    </row>
    <row r="20155" spans="8:9">
      <c r="H20155" s="1092"/>
      <c r="I20155" s="1092"/>
    </row>
    <row r="20156" spans="8:9">
      <c r="H20156" s="1092"/>
      <c r="I20156" s="1092"/>
    </row>
    <row r="20157" spans="8:9">
      <c r="H20157" s="1092"/>
      <c r="I20157" s="1092"/>
    </row>
    <row r="20158" spans="8:9">
      <c r="H20158" s="1092"/>
      <c r="I20158" s="1092"/>
    </row>
    <row r="20159" spans="8:9">
      <c r="H20159" s="1092"/>
      <c r="I20159" s="1092"/>
    </row>
    <row r="20160" spans="8:9">
      <c r="H20160" s="1092"/>
      <c r="I20160" s="1092"/>
    </row>
    <row r="20161" spans="8:9">
      <c r="H20161" s="1092"/>
      <c r="I20161" s="1092"/>
    </row>
    <row r="20162" spans="8:9">
      <c r="H20162" s="1092"/>
      <c r="I20162" s="1092"/>
    </row>
    <row r="20163" spans="8:9">
      <c r="H20163" s="1092"/>
      <c r="I20163" s="1092"/>
    </row>
    <row r="20164" spans="8:9">
      <c r="H20164" s="1092"/>
      <c r="I20164" s="1092"/>
    </row>
    <row r="20165" spans="8:9">
      <c r="H20165" s="1092"/>
      <c r="I20165" s="1092"/>
    </row>
    <row r="20166" spans="8:9">
      <c r="H20166" s="1092"/>
      <c r="I20166" s="1092"/>
    </row>
    <row r="20167" spans="8:9">
      <c r="H20167" s="1092"/>
      <c r="I20167" s="1092"/>
    </row>
    <row r="20168" spans="8:9">
      <c r="H20168" s="1092"/>
      <c r="I20168" s="1092"/>
    </row>
    <row r="20169" spans="8:9">
      <c r="H20169" s="1092"/>
      <c r="I20169" s="1092"/>
    </row>
    <row r="20170" spans="8:9">
      <c r="H20170" s="1092"/>
      <c r="I20170" s="1092"/>
    </row>
    <row r="20171" spans="8:9">
      <c r="H20171" s="1092"/>
      <c r="I20171" s="1092"/>
    </row>
    <row r="20172" spans="8:9">
      <c r="H20172" s="1092"/>
      <c r="I20172" s="1092"/>
    </row>
    <row r="20173" spans="8:9">
      <c r="H20173" s="1092"/>
      <c r="I20173" s="1092"/>
    </row>
    <row r="20174" spans="8:9">
      <c r="H20174" s="1092"/>
      <c r="I20174" s="1092"/>
    </row>
    <row r="20175" spans="8:9">
      <c r="H20175" s="1092"/>
      <c r="I20175" s="1092"/>
    </row>
    <row r="20176" spans="8:9">
      <c r="H20176" s="1092"/>
      <c r="I20176" s="1092"/>
    </row>
    <row r="20177" spans="8:9">
      <c r="H20177" s="1092"/>
      <c r="I20177" s="1092"/>
    </row>
    <row r="20178" spans="8:9">
      <c r="H20178" s="1092"/>
      <c r="I20178" s="1092"/>
    </row>
    <row r="20179" spans="8:9">
      <c r="H20179" s="1092"/>
      <c r="I20179" s="1092"/>
    </row>
    <row r="20180" spans="8:9">
      <c r="H20180" s="1092"/>
      <c r="I20180" s="1092"/>
    </row>
    <row r="20181" spans="8:9">
      <c r="H20181" s="1092"/>
      <c r="I20181" s="1092"/>
    </row>
    <row r="20182" spans="8:9">
      <c r="H20182" s="1092"/>
      <c r="I20182" s="1092"/>
    </row>
    <row r="20183" spans="8:9">
      <c r="H20183" s="1092"/>
      <c r="I20183" s="1092"/>
    </row>
    <row r="20184" spans="8:9">
      <c r="H20184" s="1092"/>
      <c r="I20184" s="1092"/>
    </row>
    <row r="20185" spans="8:9">
      <c r="H20185" s="1092"/>
      <c r="I20185" s="1092"/>
    </row>
    <row r="20186" spans="8:9">
      <c r="H20186" s="1092"/>
      <c r="I20186" s="1092"/>
    </row>
    <row r="20187" spans="8:9">
      <c r="H20187" s="1092"/>
      <c r="I20187" s="1092"/>
    </row>
    <row r="20188" spans="8:9">
      <c r="H20188" s="1092"/>
      <c r="I20188" s="1092"/>
    </row>
    <row r="20189" spans="8:9">
      <c r="H20189" s="1092"/>
      <c r="I20189" s="1092"/>
    </row>
    <row r="20190" spans="8:9">
      <c r="H20190" s="1092"/>
      <c r="I20190" s="1092"/>
    </row>
    <row r="20191" spans="8:9">
      <c r="H20191" s="1092"/>
      <c r="I20191" s="1092"/>
    </row>
    <row r="20192" spans="8:9">
      <c r="H20192" s="1092"/>
      <c r="I20192" s="1092"/>
    </row>
    <row r="20193" spans="8:9">
      <c r="H20193" s="1092"/>
      <c r="I20193" s="1092"/>
    </row>
    <row r="20194" spans="8:9">
      <c r="H20194" s="1092"/>
      <c r="I20194" s="1092"/>
    </row>
    <row r="20195" spans="8:9">
      <c r="H20195" s="1092"/>
      <c r="I20195" s="1092"/>
    </row>
    <row r="20196" spans="8:9">
      <c r="H20196" s="1092"/>
      <c r="I20196" s="1092"/>
    </row>
    <row r="20197" spans="8:9">
      <c r="H20197" s="1092"/>
      <c r="I20197" s="1092"/>
    </row>
    <row r="20198" spans="8:9">
      <c r="H20198" s="1092"/>
      <c r="I20198" s="1092"/>
    </row>
    <row r="20199" spans="8:9">
      <c r="H20199" s="1092"/>
      <c r="I20199" s="1092"/>
    </row>
    <row r="20200" spans="8:9">
      <c r="H20200" s="1092"/>
      <c r="I20200" s="1092"/>
    </row>
    <row r="20201" spans="8:9">
      <c r="H20201" s="1092"/>
      <c r="I20201" s="1092"/>
    </row>
    <row r="20202" spans="8:9">
      <c r="H20202" s="1092"/>
      <c r="I20202" s="1092"/>
    </row>
    <row r="20203" spans="8:9">
      <c r="H20203" s="1092"/>
      <c r="I20203" s="1092"/>
    </row>
    <row r="20204" spans="8:9">
      <c r="H20204" s="1092"/>
      <c r="I20204" s="1092"/>
    </row>
    <row r="20205" spans="8:9">
      <c r="H20205" s="1092"/>
      <c r="I20205" s="1092"/>
    </row>
    <row r="20206" spans="8:9">
      <c r="H20206" s="1092"/>
      <c r="I20206" s="1092"/>
    </row>
    <row r="20207" spans="8:9">
      <c r="H20207" s="1092"/>
      <c r="I20207" s="1092"/>
    </row>
    <row r="20208" spans="8:9">
      <c r="H20208" s="1092"/>
      <c r="I20208" s="1092"/>
    </row>
    <row r="20209" spans="8:9">
      <c r="H20209" s="1092"/>
      <c r="I20209" s="1092"/>
    </row>
    <row r="20210" spans="8:9">
      <c r="H20210" s="1092"/>
      <c r="I20210" s="1092"/>
    </row>
    <row r="20211" spans="8:9">
      <c r="H20211" s="1092"/>
      <c r="I20211" s="1092"/>
    </row>
    <row r="20212" spans="8:9">
      <c r="H20212" s="1092"/>
      <c r="I20212" s="1092"/>
    </row>
    <row r="20213" spans="8:9">
      <c r="H20213" s="1092"/>
      <c r="I20213" s="1092"/>
    </row>
    <row r="20214" spans="8:9">
      <c r="H20214" s="1092"/>
      <c r="I20214" s="1092"/>
    </row>
    <row r="20215" spans="8:9">
      <c r="H20215" s="1092"/>
      <c r="I20215" s="1092"/>
    </row>
    <row r="20216" spans="8:9">
      <c r="H20216" s="1092"/>
      <c r="I20216" s="1092"/>
    </row>
    <row r="20217" spans="8:9">
      <c r="H20217" s="1092"/>
      <c r="I20217" s="1092"/>
    </row>
    <row r="20218" spans="8:9">
      <c r="H20218" s="1092"/>
      <c r="I20218" s="1092"/>
    </row>
    <row r="20219" spans="8:9">
      <c r="H20219" s="1092"/>
      <c r="I20219" s="1092"/>
    </row>
    <row r="20220" spans="8:9">
      <c r="H20220" s="1092"/>
      <c r="I20220" s="1092"/>
    </row>
    <row r="20221" spans="8:9">
      <c r="H20221" s="1092"/>
      <c r="I20221" s="1092"/>
    </row>
    <row r="20222" spans="8:9">
      <c r="H20222" s="1092"/>
      <c r="I20222" s="1092"/>
    </row>
    <row r="20223" spans="8:9">
      <c r="H20223" s="1092"/>
      <c r="I20223" s="1092"/>
    </row>
    <row r="20224" spans="8:9">
      <c r="H20224" s="1092"/>
      <c r="I20224" s="1092"/>
    </row>
    <row r="20225" spans="8:9">
      <c r="H20225" s="1092"/>
      <c r="I20225" s="1092"/>
    </row>
    <row r="20226" spans="8:9">
      <c r="H20226" s="1092"/>
      <c r="I20226" s="1092"/>
    </row>
    <row r="20227" spans="8:9">
      <c r="H20227" s="1092"/>
      <c r="I20227" s="1092"/>
    </row>
    <row r="20228" spans="8:9">
      <c r="H20228" s="1092"/>
      <c r="I20228" s="1092"/>
    </row>
    <row r="20229" spans="8:9">
      <c r="H20229" s="1092"/>
      <c r="I20229" s="1092"/>
    </row>
    <row r="20230" spans="8:9">
      <c r="H20230" s="1092"/>
      <c r="I20230" s="1092"/>
    </row>
    <row r="20231" spans="8:9">
      <c r="H20231" s="1092"/>
      <c r="I20231" s="1092"/>
    </row>
    <row r="20232" spans="8:9">
      <c r="H20232" s="1092"/>
      <c r="I20232" s="1092"/>
    </row>
    <row r="20233" spans="8:9">
      <c r="H20233" s="1092"/>
      <c r="I20233" s="1092"/>
    </row>
    <row r="20234" spans="8:9">
      <c r="H20234" s="1092"/>
      <c r="I20234" s="1092"/>
    </row>
    <row r="20235" spans="8:9">
      <c r="H20235" s="1092"/>
      <c r="I20235" s="1092"/>
    </row>
    <row r="20236" spans="8:9">
      <c r="H20236" s="1092"/>
      <c r="I20236" s="1092"/>
    </row>
    <row r="20237" spans="8:9">
      <c r="H20237" s="1092"/>
      <c r="I20237" s="1092"/>
    </row>
    <row r="20238" spans="8:9">
      <c r="H20238" s="1092"/>
      <c r="I20238" s="1092"/>
    </row>
    <row r="20239" spans="8:9">
      <c r="H20239" s="1092"/>
      <c r="I20239" s="1092"/>
    </row>
    <row r="20240" spans="8:9">
      <c r="H20240" s="1092"/>
      <c r="I20240" s="1092"/>
    </row>
    <row r="20241" spans="8:9">
      <c r="H20241" s="1092"/>
      <c r="I20241" s="1092"/>
    </row>
    <row r="20242" spans="8:9">
      <c r="H20242" s="1092"/>
      <c r="I20242" s="1092"/>
    </row>
    <row r="20243" spans="8:9">
      <c r="H20243" s="1092"/>
      <c r="I20243" s="1092"/>
    </row>
    <row r="20244" spans="8:9">
      <c r="H20244" s="1092"/>
      <c r="I20244" s="1092"/>
    </row>
    <row r="20245" spans="8:9">
      <c r="H20245" s="1092"/>
      <c r="I20245" s="1092"/>
    </row>
    <row r="20246" spans="8:9">
      <c r="H20246" s="1092"/>
      <c r="I20246" s="1092"/>
    </row>
    <row r="20247" spans="8:9">
      <c r="H20247" s="1092"/>
      <c r="I20247" s="1092"/>
    </row>
    <row r="20248" spans="8:9">
      <c r="H20248" s="1092"/>
      <c r="I20248" s="1092"/>
    </row>
    <row r="20249" spans="8:9">
      <c r="H20249" s="1092"/>
      <c r="I20249" s="1092"/>
    </row>
    <row r="20250" spans="8:9">
      <c r="H20250" s="1092"/>
      <c r="I20250" s="1092"/>
    </row>
    <row r="20251" spans="8:9">
      <c r="H20251" s="1092"/>
      <c r="I20251" s="1092"/>
    </row>
    <row r="20252" spans="8:9">
      <c r="H20252" s="1092"/>
      <c r="I20252" s="1092"/>
    </row>
    <row r="20253" spans="8:9">
      <c r="H20253" s="1092"/>
      <c r="I20253" s="1092"/>
    </row>
    <row r="20254" spans="8:9">
      <c r="H20254" s="1092"/>
      <c r="I20254" s="1092"/>
    </row>
    <row r="20255" spans="8:9">
      <c r="H20255" s="1092"/>
      <c r="I20255" s="1092"/>
    </row>
    <row r="20256" spans="8:9">
      <c r="H20256" s="1092"/>
      <c r="I20256" s="1092"/>
    </row>
    <row r="20257" spans="8:9">
      <c r="H20257" s="1092"/>
      <c r="I20257" s="1092"/>
    </row>
    <row r="20258" spans="8:9">
      <c r="H20258" s="1092"/>
      <c r="I20258" s="1092"/>
    </row>
    <row r="20259" spans="8:9">
      <c r="H20259" s="1092"/>
      <c r="I20259" s="1092"/>
    </row>
    <row r="20260" spans="8:9">
      <c r="H20260" s="1092"/>
      <c r="I20260" s="1092"/>
    </row>
    <row r="20261" spans="8:9">
      <c r="H20261" s="1092"/>
      <c r="I20261" s="1092"/>
    </row>
    <row r="20262" spans="8:9">
      <c r="H20262" s="1092"/>
      <c r="I20262" s="1092"/>
    </row>
    <row r="20263" spans="8:9">
      <c r="H20263" s="1092"/>
      <c r="I20263" s="1092"/>
    </row>
    <row r="20264" spans="8:9">
      <c r="H20264" s="1092"/>
      <c r="I20264" s="1092"/>
    </row>
    <row r="20265" spans="8:9">
      <c r="H20265" s="1092"/>
      <c r="I20265" s="1092"/>
    </row>
    <row r="20266" spans="8:9">
      <c r="H20266" s="1092"/>
      <c r="I20266" s="1092"/>
    </row>
    <row r="20267" spans="8:9">
      <c r="H20267" s="1092"/>
      <c r="I20267" s="1092"/>
    </row>
    <row r="20268" spans="8:9">
      <c r="H20268" s="1092"/>
      <c r="I20268" s="1092"/>
    </row>
    <row r="20269" spans="8:9">
      <c r="H20269" s="1092"/>
      <c r="I20269" s="1092"/>
    </row>
    <row r="20270" spans="8:9">
      <c r="H20270" s="1092"/>
      <c r="I20270" s="1092"/>
    </row>
    <row r="20271" spans="8:9">
      <c r="H20271" s="1092"/>
      <c r="I20271" s="1092"/>
    </row>
    <row r="20272" spans="8:9">
      <c r="H20272" s="1092"/>
      <c r="I20272" s="1092"/>
    </row>
    <row r="20273" spans="8:9">
      <c r="H20273" s="1092"/>
      <c r="I20273" s="1092"/>
    </row>
    <row r="20274" spans="8:9">
      <c r="H20274" s="1092"/>
      <c r="I20274" s="1092"/>
    </row>
    <row r="20275" spans="8:9">
      <c r="H20275" s="1092"/>
      <c r="I20275" s="1092"/>
    </row>
    <row r="20276" spans="8:9">
      <c r="H20276" s="1092"/>
      <c r="I20276" s="1092"/>
    </row>
    <row r="20277" spans="8:9">
      <c r="H20277" s="1092"/>
      <c r="I20277" s="1092"/>
    </row>
    <row r="20278" spans="8:9">
      <c r="H20278" s="1092"/>
      <c r="I20278" s="1092"/>
    </row>
    <row r="20279" spans="8:9">
      <c r="H20279" s="1092"/>
      <c r="I20279" s="1092"/>
    </row>
    <row r="20280" spans="8:9">
      <c r="H20280" s="1092"/>
      <c r="I20280" s="1092"/>
    </row>
    <row r="20281" spans="8:9">
      <c r="H20281" s="1092"/>
      <c r="I20281" s="1092"/>
    </row>
    <row r="20282" spans="8:9">
      <c r="H20282" s="1092"/>
      <c r="I20282" s="1092"/>
    </row>
    <row r="20283" spans="8:9">
      <c r="H20283" s="1092"/>
      <c r="I20283" s="1092"/>
    </row>
    <row r="20284" spans="8:9">
      <c r="H20284" s="1092"/>
      <c r="I20284" s="1092"/>
    </row>
    <row r="20285" spans="8:9">
      <c r="H20285" s="1092"/>
      <c r="I20285" s="1092"/>
    </row>
    <row r="20286" spans="8:9">
      <c r="H20286" s="1092"/>
      <c r="I20286" s="1092"/>
    </row>
    <row r="20287" spans="8:9">
      <c r="H20287" s="1092"/>
      <c r="I20287" s="1092"/>
    </row>
    <row r="20288" spans="8:9">
      <c r="H20288" s="1092"/>
      <c r="I20288" s="1092"/>
    </row>
    <row r="20289" spans="8:9">
      <c r="H20289" s="1092"/>
      <c r="I20289" s="1092"/>
    </row>
    <row r="20290" spans="8:9">
      <c r="H20290" s="1092"/>
      <c r="I20290" s="1092"/>
    </row>
    <row r="20291" spans="8:9">
      <c r="H20291" s="1092"/>
      <c r="I20291" s="1092"/>
    </row>
    <row r="20292" spans="8:9">
      <c r="H20292" s="1092"/>
      <c r="I20292" s="1092"/>
    </row>
    <row r="20293" spans="8:9">
      <c r="H20293" s="1092"/>
      <c r="I20293" s="1092"/>
    </row>
    <row r="20294" spans="8:9">
      <c r="H20294" s="1092"/>
      <c r="I20294" s="1092"/>
    </row>
    <row r="20295" spans="8:9">
      <c r="H20295" s="1092"/>
      <c r="I20295" s="1092"/>
    </row>
    <row r="20296" spans="8:9">
      <c r="H20296" s="1092"/>
      <c r="I20296" s="1092"/>
    </row>
    <row r="20297" spans="8:9">
      <c r="H20297" s="1092"/>
      <c r="I20297" s="1092"/>
    </row>
    <row r="20298" spans="8:9">
      <c r="H20298" s="1092"/>
      <c r="I20298" s="1092"/>
    </row>
    <row r="20299" spans="8:9">
      <c r="H20299" s="1092"/>
      <c r="I20299" s="1092"/>
    </row>
    <row r="20300" spans="8:9">
      <c r="H20300" s="1092"/>
      <c r="I20300" s="1092"/>
    </row>
    <row r="20301" spans="8:9">
      <c r="H20301" s="1092"/>
      <c r="I20301" s="1092"/>
    </row>
    <row r="20302" spans="8:9">
      <c r="H20302" s="1092"/>
      <c r="I20302" s="1092"/>
    </row>
    <row r="20303" spans="8:9">
      <c r="H20303" s="1092"/>
      <c r="I20303" s="1092"/>
    </row>
    <row r="20304" spans="8:9">
      <c r="H20304" s="1092"/>
      <c r="I20304" s="1092"/>
    </row>
    <row r="20305" spans="8:9">
      <c r="H20305" s="1092"/>
      <c r="I20305" s="1092"/>
    </row>
    <row r="20306" spans="8:9">
      <c r="H20306" s="1092"/>
      <c r="I20306" s="1092"/>
    </row>
    <row r="20307" spans="8:9">
      <c r="H20307" s="1092"/>
      <c r="I20307" s="1092"/>
    </row>
    <row r="20308" spans="8:9">
      <c r="H20308" s="1092"/>
      <c r="I20308" s="1092"/>
    </row>
    <row r="20309" spans="8:9">
      <c r="H20309" s="1092"/>
      <c r="I20309" s="1092"/>
    </row>
    <row r="20310" spans="8:9">
      <c r="H20310" s="1092"/>
      <c r="I20310" s="1092"/>
    </row>
    <row r="20311" spans="8:9">
      <c r="H20311" s="1092"/>
      <c r="I20311" s="1092"/>
    </row>
    <row r="20312" spans="8:9">
      <c r="H20312" s="1092"/>
      <c r="I20312" s="1092"/>
    </row>
    <row r="20313" spans="8:9">
      <c r="H20313" s="1092"/>
      <c r="I20313" s="1092"/>
    </row>
    <row r="20314" spans="8:9">
      <c r="H20314" s="1092"/>
      <c r="I20314" s="1092"/>
    </row>
    <row r="20315" spans="8:9">
      <c r="H20315" s="1092"/>
      <c r="I20315" s="1092"/>
    </row>
    <row r="20316" spans="8:9">
      <c r="H20316" s="1092"/>
      <c r="I20316" s="1092"/>
    </row>
    <row r="20317" spans="8:9">
      <c r="H20317" s="1092"/>
      <c r="I20317" s="1092"/>
    </row>
    <row r="20318" spans="8:9">
      <c r="H20318" s="1092"/>
      <c r="I20318" s="1092"/>
    </row>
    <row r="20319" spans="8:9">
      <c r="H20319" s="1092"/>
      <c r="I20319" s="1092"/>
    </row>
    <row r="20320" spans="8:9">
      <c r="H20320" s="1092"/>
      <c r="I20320" s="1092"/>
    </row>
    <row r="20321" spans="8:9">
      <c r="H20321" s="1092"/>
      <c r="I20321" s="1092"/>
    </row>
    <row r="20322" spans="8:9">
      <c r="H20322" s="1092"/>
      <c r="I20322" s="1092"/>
    </row>
    <row r="20323" spans="8:9">
      <c r="H20323" s="1092"/>
      <c r="I20323" s="1092"/>
    </row>
    <row r="20324" spans="8:9">
      <c r="H20324" s="1092"/>
      <c r="I20324" s="1092"/>
    </row>
    <row r="20325" spans="8:9">
      <c r="H20325" s="1092"/>
      <c r="I20325" s="1092"/>
    </row>
    <row r="20326" spans="8:9">
      <c r="H20326" s="1092"/>
      <c r="I20326" s="1092"/>
    </row>
    <row r="20327" spans="8:9">
      <c r="H20327" s="1092"/>
      <c r="I20327" s="1092"/>
    </row>
    <row r="20328" spans="8:9">
      <c r="H20328" s="1092"/>
      <c r="I20328" s="1092"/>
    </row>
    <row r="20329" spans="8:9">
      <c r="H20329" s="1092"/>
      <c r="I20329" s="1092"/>
    </row>
    <row r="20330" spans="8:9">
      <c r="H20330" s="1092"/>
      <c r="I20330" s="1092"/>
    </row>
    <row r="20331" spans="8:9">
      <c r="H20331" s="1092"/>
      <c r="I20331" s="1092"/>
    </row>
    <row r="20332" spans="8:9">
      <c r="H20332" s="1092"/>
      <c r="I20332" s="1092"/>
    </row>
    <row r="20333" spans="8:9">
      <c r="H20333" s="1092"/>
      <c r="I20333" s="1092"/>
    </row>
    <row r="20334" spans="8:9">
      <c r="H20334" s="1092"/>
      <c r="I20334" s="1092"/>
    </row>
    <row r="20335" spans="8:9">
      <c r="H20335" s="1092"/>
      <c r="I20335" s="1092"/>
    </row>
    <row r="20336" spans="8:9">
      <c r="H20336" s="1092"/>
      <c r="I20336" s="1092"/>
    </row>
    <row r="20337" spans="8:9">
      <c r="H20337" s="1092"/>
      <c r="I20337" s="1092"/>
    </row>
    <row r="20338" spans="8:9">
      <c r="H20338" s="1092"/>
      <c r="I20338" s="1092"/>
    </row>
    <row r="20339" spans="8:9">
      <c r="H20339" s="1092"/>
      <c r="I20339" s="1092"/>
    </row>
    <row r="20340" spans="8:9">
      <c r="H20340" s="1092"/>
      <c r="I20340" s="1092"/>
    </row>
    <row r="20341" spans="8:9">
      <c r="H20341" s="1092"/>
      <c r="I20341" s="1092"/>
    </row>
    <row r="20342" spans="8:9">
      <c r="H20342" s="1092"/>
      <c r="I20342" s="1092"/>
    </row>
    <row r="20343" spans="8:9">
      <c r="H20343" s="1092"/>
      <c r="I20343" s="1092"/>
    </row>
    <row r="20344" spans="8:9">
      <c r="H20344" s="1092"/>
      <c r="I20344" s="1092"/>
    </row>
    <row r="20345" spans="8:9">
      <c r="H20345" s="1092"/>
      <c r="I20345" s="1092"/>
    </row>
    <row r="20346" spans="8:9">
      <c r="H20346" s="1092"/>
      <c r="I20346" s="1092"/>
    </row>
    <row r="20347" spans="8:9">
      <c r="H20347" s="1092"/>
      <c r="I20347" s="1092"/>
    </row>
    <row r="20348" spans="8:9">
      <c r="H20348" s="1092"/>
      <c r="I20348" s="1092"/>
    </row>
    <row r="20349" spans="8:9">
      <c r="H20349" s="1092"/>
      <c r="I20349" s="1092"/>
    </row>
    <row r="20350" spans="8:9">
      <c r="H20350" s="1092"/>
      <c r="I20350" s="1092"/>
    </row>
    <row r="20351" spans="8:9">
      <c r="H20351" s="1092"/>
      <c r="I20351" s="1092"/>
    </row>
    <row r="20352" spans="8:9">
      <c r="H20352" s="1092"/>
      <c r="I20352" s="1092"/>
    </row>
    <row r="20353" spans="8:9">
      <c r="H20353" s="1092"/>
      <c r="I20353" s="1092"/>
    </row>
    <row r="20354" spans="8:9">
      <c r="H20354" s="1092"/>
      <c r="I20354" s="1092"/>
    </row>
    <row r="20355" spans="8:9">
      <c r="H20355" s="1092"/>
      <c r="I20355" s="1092"/>
    </row>
    <row r="20356" spans="8:9">
      <c r="H20356" s="1092"/>
      <c r="I20356" s="1092"/>
    </row>
    <row r="20357" spans="8:9">
      <c r="H20357" s="1092"/>
      <c r="I20357" s="1092"/>
    </row>
    <row r="20358" spans="8:9">
      <c r="H20358" s="1092"/>
      <c r="I20358" s="1092"/>
    </row>
    <row r="20359" spans="8:9">
      <c r="H20359" s="1092"/>
      <c r="I20359" s="1092"/>
    </row>
    <row r="20360" spans="8:9">
      <c r="H20360" s="1092"/>
      <c r="I20360" s="1092"/>
    </row>
    <row r="20361" spans="8:9">
      <c r="H20361" s="1092"/>
      <c r="I20361" s="1092"/>
    </row>
    <row r="20362" spans="8:9">
      <c r="H20362" s="1092"/>
      <c r="I20362" s="1092"/>
    </row>
    <row r="20363" spans="8:9">
      <c r="H20363" s="1092"/>
      <c r="I20363" s="1092"/>
    </row>
    <row r="20364" spans="8:9">
      <c r="H20364" s="1092"/>
      <c r="I20364" s="1092"/>
    </row>
    <row r="20365" spans="8:9">
      <c r="H20365" s="1092"/>
      <c r="I20365" s="1092"/>
    </row>
    <row r="20366" spans="8:9">
      <c r="H20366" s="1092"/>
      <c r="I20366" s="1092"/>
    </row>
    <row r="20367" spans="8:9">
      <c r="H20367" s="1092"/>
      <c r="I20367" s="1092"/>
    </row>
    <row r="20368" spans="8:9">
      <c r="H20368" s="1092"/>
      <c r="I20368" s="1092"/>
    </row>
    <row r="20369" spans="8:9">
      <c r="H20369" s="1092"/>
      <c r="I20369" s="1092"/>
    </row>
    <row r="20370" spans="8:9">
      <c r="H20370" s="1092"/>
      <c r="I20370" s="1092"/>
    </row>
    <row r="20371" spans="8:9">
      <c r="H20371" s="1092"/>
      <c r="I20371" s="1092"/>
    </row>
    <row r="20372" spans="8:9">
      <c r="H20372" s="1092"/>
      <c r="I20372" s="1092"/>
    </row>
    <row r="20373" spans="8:9">
      <c r="H20373" s="1092"/>
      <c r="I20373" s="1092"/>
    </row>
    <row r="20374" spans="8:9">
      <c r="H20374" s="1092"/>
      <c r="I20374" s="1092"/>
    </row>
    <row r="20375" spans="8:9">
      <c r="H20375" s="1092"/>
      <c r="I20375" s="1092"/>
    </row>
    <row r="20376" spans="8:9">
      <c r="H20376" s="1092"/>
      <c r="I20376" s="1092"/>
    </row>
    <row r="20377" spans="8:9">
      <c r="H20377" s="1092"/>
      <c r="I20377" s="1092"/>
    </row>
    <row r="20378" spans="8:9">
      <c r="H20378" s="1092"/>
      <c r="I20378" s="1092"/>
    </row>
    <row r="20379" spans="8:9">
      <c r="H20379" s="1092"/>
      <c r="I20379" s="1092"/>
    </row>
    <row r="20380" spans="8:9">
      <c r="H20380" s="1092"/>
      <c r="I20380" s="1092"/>
    </row>
    <row r="20381" spans="8:9">
      <c r="H20381" s="1092"/>
      <c r="I20381" s="1092"/>
    </row>
    <row r="20382" spans="8:9">
      <c r="H20382" s="1092"/>
      <c r="I20382" s="1092"/>
    </row>
    <row r="20383" spans="8:9">
      <c r="H20383" s="1092"/>
      <c r="I20383" s="1092"/>
    </row>
    <row r="20384" spans="8:9">
      <c r="H20384" s="1092"/>
      <c r="I20384" s="1092"/>
    </row>
    <row r="20385" spans="8:9">
      <c r="H20385" s="1092"/>
      <c r="I20385" s="1092"/>
    </row>
    <row r="20386" spans="8:9">
      <c r="H20386" s="1092"/>
      <c r="I20386" s="1092"/>
    </row>
    <row r="20387" spans="8:9">
      <c r="H20387" s="1092"/>
      <c r="I20387" s="1092"/>
    </row>
    <row r="20388" spans="8:9">
      <c r="H20388" s="1092"/>
      <c r="I20388" s="1092"/>
    </row>
    <row r="20389" spans="8:9">
      <c r="H20389" s="1092"/>
      <c r="I20389" s="1092"/>
    </row>
    <row r="20390" spans="8:9">
      <c r="H20390" s="1092"/>
      <c r="I20390" s="1092"/>
    </row>
    <row r="20391" spans="8:9">
      <c r="H20391" s="1092"/>
      <c r="I20391" s="1092"/>
    </row>
    <row r="20392" spans="8:9">
      <c r="H20392" s="1092"/>
      <c r="I20392" s="1092"/>
    </row>
    <row r="20393" spans="8:9">
      <c r="H20393" s="1092"/>
      <c r="I20393" s="1092"/>
    </row>
    <row r="20394" spans="8:9">
      <c r="H20394" s="1092"/>
      <c r="I20394" s="1092"/>
    </row>
    <row r="20395" spans="8:9">
      <c r="H20395" s="1092"/>
      <c r="I20395" s="1092"/>
    </row>
    <row r="20396" spans="8:9">
      <c r="H20396" s="1092"/>
      <c r="I20396" s="1092"/>
    </row>
    <row r="20397" spans="8:9">
      <c r="H20397" s="1092"/>
      <c r="I20397" s="1092"/>
    </row>
    <row r="20398" spans="8:9">
      <c r="H20398" s="1092"/>
      <c r="I20398" s="1092"/>
    </row>
    <row r="20399" spans="8:9">
      <c r="H20399" s="1092"/>
      <c r="I20399" s="1092"/>
    </row>
    <row r="20400" spans="8:9">
      <c r="H20400" s="1092"/>
      <c r="I20400" s="1092"/>
    </row>
    <row r="20401" spans="8:9">
      <c r="H20401" s="1092"/>
      <c r="I20401" s="1092"/>
    </row>
    <row r="20402" spans="8:9">
      <c r="H20402" s="1092"/>
      <c r="I20402" s="1092"/>
    </row>
    <row r="20403" spans="8:9">
      <c r="H20403" s="1092"/>
      <c r="I20403" s="1092"/>
    </row>
    <row r="20404" spans="8:9">
      <c r="H20404" s="1092"/>
      <c r="I20404" s="1092"/>
    </row>
    <row r="20405" spans="8:9">
      <c r="H20405" s="1092"/>
      <c r="I20405" s="1092"/>
    </row>
    <row r="20406" spans="8:9">
      <c r="H20406" s="1092"/>
      <c r="I20406" s="1092"/>
    </row>
    <row r="20407" spans="8:9">
      <c r="H20407" s="1092"/>
      <c r="I20407" s="1092"/>
    </row>
    <row r="20408" spans="8:9">
      <c r="H20408" s="1092"/>
      <c r="I20408" s="1092"/>
    </row>
    <row r="20409" spans="8:9">
      <c r="H20409" s="1092"/>
      <c r="I20409" s="1092"/>
    </row>
    <row r="20410" spans="8:9">
      <c r="H20410" s="1092"/>
      <c r="I20410" s="1092"/>
    </row>
    <row r="20411" spans="8:9">
      <c r="H20411" s="1092"/>
      <c r="I20411" s="1092"/>
    </row>
    <row r="20412" spans="8:9">
      <c r="H20412" s="1092"/>
      <c r="I20412" s="1092"/>
    </row>
    <row r="20413" spans="8:9">
      <c r="H20413" s="1092"/>
      <c r="I20413" s="1092"/>
    </row>
    <row r="20414" spans="8:9">
      <c r="H20414" s="1092"/>
      <c r="I20414" s="1092"/>
    </row>
    <row r="20415" spans="8:9">
      <c r="H20415" s="1092"/>
      <c r="I20415" s="1092"/>
    </row>
    <row r="20416" spans="8:9">
      <c r="H20416" s="1092"/>
      <c r="I20416" s="1092"/>
    </row>
    <row r="20417" spans="8:9">
      <c r="H20417" s="1092"/>
      <c r="I20417" s="1092"/>
    </row>
    <row r="20418" spans="8:9">
      <c r="H20418" s="1092"/>
      <c r="I20418" s="1092"/>
    </row>
    <row r="20419" spans="8:9">
      <c r="H20419" s="1092"/>
      <c r="I20419" s="1092"/>
    </row>
    <row r="20420" spans="8:9">
      <c r="H20420" s="1092"/>
      <c r="I20420" s="1092"/>
    </row>
    <row r="20421" spans="8:9">
      <c r="H20421" s="1092"/>
      <c r="I20421" s="1092"/>
    </row>
    <row r="20422" spans="8:9">
      <c r="H20422" s="1092"/>
      <c r="I20422" s="1092"/>
    </row>
    <row r="20423" spans="8:9">
      <c r="H20423" s="1092"/>
      <c r="I20423" s="1092"/>
    </row>
    <row r="20424" spans="8:9">
      <c r="H20424" s="1092"/>
      <c r="I20424" s="1092"/>
    </row>
    <row r="20425" spans="8:9">
      <c r="H20425" s="1092"/>
      <c r="I20425" s="1092"/>
    </row>
    <row r="20426" spans="8:9">
      <c r="H20426" s="1092"/>
      <c r="I20426" s="1092"/>
    </row>
    <row r="20427" spans="8:9">
      <c r="H20427" s="1092"/>
      <c r="I20427" s="1092"/>
    </row>
    <row r="20428" spans="8:9">
      <c r="H20428" s="1092"/>
      <c r="I20428" s="1092"/>
    </row>
    <row r="20429" spans="8:9">
      <c r="H20429" s="1092"/>
      <c r="I20429" s="1092"/>
    </row>
    <row r="20430" spans="8:9">
      <c r="H20430" s="1092"/>
      <c r="I20430" s="1092"/>
    </row>
    <row r="20431" spans="8:9">
      <c r="H20431" s="1092"/>
      <c r="I20431" s="1092"/>
    </row>
    <row r="20432" spans="8:9">
      <c r="H20432" s="1092"/>
      <c r="I20432" s="1092"/>
    </row>
    <row r="20433" spans="8:9">
      <c r="H20433" s="1092"/>
      <c r="I20433" s="1092"/>
    </row>
    <row r="20434" spans="8:9">
      <c r="H20434" s="1092"/>
      <c r="I20434" s="1092"/>
    </row>
    <row r="20435" spans="8:9">
      <c r="H20435" s="1092"/>
      <c r="I20435" s="1092"/>
    </row>
    <row r="20436" spans="8:9">
      <c r="H20436" s="1092"/>
      <c r="I20436" s="1092"/>
    </row>
    <row r="20437" spans="8:9">
      <c r="H20437" s="1092"/>
      <c r="I20437" s="1092"/>
    </row>
    <row r="20438" spans="8:9">
      <c r="H20438" s="1092"/>
      <c r="I20438" s="1092"/>
    </row>
    <row r="20439" spans="8:9">
      <c r="H20439" s="1092"/>
      <c r="I20439" s="1092"/>
    </row>
    <row r="20440" spans="8:9">
      <c r="H20440" s="1092"/>
      <c r="I20440" s="1092"/>
    </row>
    <row r="20441" spans="8:9">
      <c r="H20441" s="1092"/>
      <c r="I20441" s="1092"/>
    </row>
    <row r="20442" spans="8:9">
      <c r="H20442" s="1092"/>
      <c r="I20442" s="1092"/>
    </row>
    <row r="20443" spans="8:9">
      <c r="H20443" s="1092"/>
      <c r="I20443" s="1092"/>
    </row>
    <row r="20444" spans="8:9">
      <c r="H20444" s="1092"/>
      <c r="I20444" s="1092"/>
    </row>
    <row r="20445" spans="8:9">
      <c r="H20445" s="1092"/>
      <c r="I20445" s="1092"/>
    </row>
    <row r="20446" spans="8:9">
      <c r="H20446" s="1092"/>
      <c r="I20446" s="1092"/>
    </row>
    <row r="20447" spans="8:9">
      <c r="H20447" s="1092"/>
      <c r="I20447" s="1092"/>
    </row>
    <row r="20448" spans="8:9">
      <c r="H20448" s="1092"/>
      <c r="I20448" s="1092"/>
    </row>
    <row r="20449" spans="8:9">
      <c r="H20449" s="1092"/>
      <c r="I20449" s="1092"/>
    </row>
    <row r="20450" spans="8:9">
      <c r="H20450" s="1092"/>
      <c r="I20450" s="1092"/>
    </row>
    <row r="20451" spans="8:9">
      <c r="H20451" s="1092"/>
      <c r="I20451" s="1092"/>
    </row>
    <row r="20452" spans="8:9">
      <c r="H20452" s="1092"/>
      <c r="I20452" s="1092"/>
    </row>
    <row r="20453" spans="8:9">
      <c r="H20453" s="1092"/>
      <c r="I20453" s="1092"/>
    </row>
    <row r="20454" spans="8:9">
      <c r="H20454" s="1092"/>
      <c r="I20454" s="1092"/>
    </row>
    <row r="20455" spans="8:9">
      <c r="H20455" s="1092"/>
      <c r="I20455" s="1092"/>
    </row>
    <row r="20456" spans="8:9">
      <c r="H20456" s="1092"/>
      <c r="I20456" s="1092"/>
    </row>
    <row r="20457" spans="8:9">
      <c r="H20457" s="1092"/>
      <c r="I20457" s="1092"/>
    </row>
    <row r="20458" spans="8:9">
      <c r="H20458" s="1092"/>
      <c r="I20458" s="1092"/>
    </row>
    <row r="20459" spans="8:9">
      <c r="H20459" s="1092"/>
      <c r="I20459" s="1092"/>
    </row>
    <row r="20460" spans="8:9">
      <c r="H20460" s="1092"/>
      <c r="I20460" s="1092"/>
    </row>
    <row r="20461" spans="8:9">
      <c r="H20461" s="1092"/>
      <c r="I20461" s="1092"/>
    </row>
    <row r="20462" spans="8:9">
      <c r="H20462" s="1092"/>
      <c r="I20462" s="1092"/>
    </row>
    <row r="20463" spans="8:9">
      <c r="H20463" s="1092"/>
      <c r="I20463" s="1092"/>
    </row>
    <row r="20464" spans="8:9">
      <c r="H20464" s="1092"/>
      <c r="I20464" s="1092"/>
    </row>
    <row r="20465" spans="8:9">
      <c r="H20465" s="1092"/>
      <c r="I20465" s="1092"/>
    </row>
    <row r="20466" spans="8:9">
      <c r="H20466" s="1092"/>
      <c r="I20466" s="1092"/>
    </row>
    <row r="20467" spans="8:9">
      <c r="H20467" s="1092"/>
      <c r="I20467" s="1092"/>
    </row>
    <row r="20468" spans="8:9">
      <c r="H20468" s="1092"/>
      <c r="I20468" s="1092"/>
    </row>
    <row r="20469" spans="8:9">
      <c r="H20469" s="1092"/>
      <c r="I20469" s="1092"/>
    </row>
    <row r="20470" spans="8:9">
      <c r="H20470" s="1092"/>
      <c r="I20470" s="1092"/>
    </row>
    <row r="20471" spans="8:9">
      <c r="H20471" s="1092"/>
      <c r="I20471" s="1092"/>
    </row>
    <row r="20472" spans="8:9">
      <c r="H20472" s="1092"/>
      <c r="I20472" s="1092"/>
    </row>
    <row r="20473" spans="8:9">
      <c r="H20473" s="1092"/>
      <c r="I20473" s="1092"/>
    </row>
    <row r="20474" spans="8:9">
      <c r="H20474" s="1092"/>
      <c r="I20474" s="1092"/>
    </row>
    <row r="20475" spans="8:9">
      <c r="H20475" s="1092"/>
      <c r="I20475" s="1092"/>
    </row>
    <row r="20476" spans="8:9">
      <c r="H20476" s="1092"/>
      <c r="I20476" s="1092"/>
    </row>
    <row r="20477" spans="8:9">
      <c r="H20477" s="1092"/>
      <c r="I20477" s="1092"/>
    </row>
    <row r="20478" spans="8:9">
      <c r="H20478" s="1092"/>
      <c r="I20478" s="1092"/>
    </row>
    <row r="20479" spans="8:9">
      <c r="H20479" s="1092"/>
      <c r="I20479" s="1092"/>
    </row>
    <row r="20480" spans="8:9">
      <c r="H20480" s="1092"/>
      <c r="I20480" s="1092"/>
    </row>
    <row r="20481" spans="8:9">
      <c r="H20481" s="1092"/>
      <c r="I20481" s="1092"/>
    </row>
    <row r="20482" spans="8:9">
      <c r="H20482" s="1092"/>
      <c r="I20482" s="1092"/>
    </row>
    <row r="20483" spans="8:9">
      <c r="H20483" s="1092"/>
      <c r="I20483" s="1092"/>
    </row>
    <row r="20484" spans="8:9">
      <c r="H20484" s="1092"/>
      <c r="I20484" s="1092"/>
    </row>
    <row r="20485" spans="8:9">
      <c r="H20485" s="1092"/>
      <c r="I20485" s="1092"/>
    </row>
    <row r="20486" spans="8:9">
      <c r="H20486" s="1092"/>
      <c r="I20486" s="1092"/>
    </row>
    <row r="20487" spans="8:9">
      <c r="H20487" s="1092"/>
      <c r="I20487" s="1092"/>
    </row>
    <row r="20488" spans="8:9">
      <c r="H20488" s="1092"/>
      <c r="I20488" s="1092"/>
    </row>
    <row r="20489" spans="8:9">
      <c r="H20489" s="1092"/>
      <c r="I20489" s="1092"/>
    </row>
    <row r="20490" spans="8:9">
      <c r="H20490" s="1092"/>
      <c r="I20490" s="1092"/>
    </row>
    <row r="20491" spans="8:9">
      <c r="H20491" s="1092"/>
      <c r="I20491" s="1092"/>
    </row>
    <row r="20492" spans="8:9">
      <c r="H20492" s="1092"/>
      <c r="I20492" s="1092"/>
    </row>
    <row r="20493" spans="8:9">
      <c r="H20493" s="1092"/>
      <c r="I20493" s="1092"/>
    </row>
    <row r="20494" spans="8:9">
      <c r="H20494" s="1092"/>
      <c r="I20494" s="1092"/>
    </row>
    <row r="20495" spans="8:9">
      <c r="H20495" s="1092"/>
      <c r="I20495" s="1092"/>
    </row>
    <row r="20496" spans="8:9">
      <c r="H20496" s="1092"/>
      <c r="I20496" s="1092"/>
    </row>
    <row r="20497" spans="8:9">
      <c r="H20497" s="1092"/>
      <c r="I20497" s="1092"/>
    </row>
    <row r="20498" spans="8:9">
      <c r="H20498" s="1092"/>
      <c r="I20498" s="1092"/>
    </row>
    <row r="20499" spans="8:9">
      <c r="H20499" s="1092"/>
      <c r="I20499" s="1092"/>
    </row>
    <row r="20500" spans="8:9">
      <c r="H20500" s="1092"/>
      <c r="I20500" s="1092"/>
    </row>
    <row r="20501" spans="8:9">
      <c r="H20501" s="1092"/>
      <c r="I20501" s="1092"/>
    </row>
    <row r="20502" spans="8:9">
      <c r="H20502" s="1092"/>
      <c r="I20502" s="1092"/>
    </row>
    <row r="20503" spans="8:9">
      <c r="H20503" s="1092"/>
      <c r="I20503" s="1092"/>
    </row>
    <row r="20504" spans="8:9">
      <c r="H20504" s="1092"/>
      <c r="I20504" s="1092"/>
    </row>
    <row r="20505" spans="8:9">
      <c r="H20505" s="1092"/>
      <c r="I20505" s="1092"/>
    </row>
    <row r="20506" spans="8:9">
      <c r="H20506" s="1092"/>
      <c r="I20506" s="1092"/>
    </row>
    <row r="20507" spans="8:9">
      <c r="H20507" s="1092"/>
      <c r="I20507" s="1092"/>
    </row>
    <row r="20508" spans="8:9">
      <c r="H20508" s="1092"/>
      <c r="I20508" s="1092"/>
    </row>
    <row r="20509" spans="8:9">
      <c r="H20509" s="1092"/>
      <c r="I20509" s="1092"/>
    </row>
    <row r="20510" spans="8:9">
      <c r="H20510" s="1092"/>
      <c r="I20510" s="1092"/>
    </row>
    <row r="20511" spans="8:9">
      <c r="H20511" s="1092"/>
      <c r="I20511" s="1092"/>
    </row>
    <row r="20512" spans="8:9">
      <c r="H20512" s="1092"/>
      <c r="I20512" s="1092"/>
    </row>
    <row r="20513" spans="8:9">
      <c r="H20513" s="1092"/>
      <c r="I20513" s="1092"/>
    </row>
    <row r="20514" spans="8:9">
      <c r="H20514" s="1092"/>
      <c r="I20514" s="1092"/>
    </row>
    <row r="20515" spans="8:9">
      <c r="H20515" s="1092"/>
      <c r="I20515" s="1092"/>
    </row>
    <row r="20516" spans="8:9">
      <c r="H20516" s="1092"/>
      <c r="I20516" s="1092"/>
    </row>
    <row r="20517" spans="8:9">
      <c r="H20517" s="1092"/>
      <c r="I20517" s="1092"/>
    </row>
    <row r="20518" spans="8:9">
      <c r="H20518" s="1092"/>
      <c r="I20518" s="1092"/>
    </row>
    <row r="20519" spans="8:9">
      <c r="H20519" s="1092"/>
      <c r="I20519" s="1092"/>
    </row>
    <row r="20520" spans="8:9">
      <c r="H20520" s="1092"/>
      <c r="I20520" s="1092"/>
    </row>
    <row r="20521" spans="8:9">
      <c r="H20521" s="1092"/>
      <c r="I20521" s="1092"/>
    </row>
    <row r="20522" spans="8:9">
      <c r="H20522" s="1092"/>
      <c r="I20522" s="1092"/>
    </row>
    <row r="20523" spans="8:9">
      <c r="H20523" s="1092"/>
      <c r="I20523" s="1092"/>
    </row>
    <row r="20524" spans="8:9">
      <c r="H20524" s="1092"/>
      <c r="I20524" s="1092"/>
    </row>
    <row r="20525" spans="8:9">
      <c r="H20525" s="1092"/>
      <c r="I20525" s="1092"/>
    </row>
    <row r="20526" spans="8:9">
      <c r="H20526" s="1092"/>
      <c r="I20526" s="1092"/>
    </row>
    <row r="20527" spans="8:9">
      <c r="H20527" s="1092"/>
      <c r="I20527" s="1092"/>
    </row>
    <row r="20528" spans="8:9">
      <c r="H20528" s="1092"/>
      <c r="I20528" s="1092"/>
    </row>
    <row r="20529" spans="8:9">
      <c r="H20529" s="1092"/>
      <c r="I20529" s="1092"/>
    </row>
    <row r="20530" spans="8:9">
      <c r="H20530" s="1092"/>
      <c r="I20530" s="1092"/>
    </row>
    <row r="20531" spans="8:9">
      <c r="H20531" s="1092"/>
      <c r="I20531" s="1092"/>
    </row>
    <row r="20532" spans="8:9">
      <c r="H20532" s="1092"/>
      <c r="I20532" s="1092"/>
    </row>
    <row r="20533" spans="8:9">
      <c r="H20533" s="1092"/>
      <c r="I20533" s="1092"/>
    </row>
    <row r="20534" spans="8:9">
      <c r="H20534" s="1092"/>
      <c r="I20534" s="1092"/>
    </row>
    <row r="20535" spans="8:9">
      <c r="H20535" s="1092"/>
      <c r="I20535" s="1092"/>
    </row>
    <row r="20536" spans="8:9">
      <c r="H20536" s="1092"/>
      <c r="I20536" s="1092"/>
    </row>
    <row r="20537" spans="8:9">
      <c r="H20537" s="1092"/>
      <c r="I20537" s="1092"/>
    </row>
    <row r="20538" spans="8:9">
      <c r="H20538" s="1092"/>
      <c r="I20538" s="1092"/>
    </row>
    <row r="20539" spans="8:9">
      <c r="H20539" s="1092"/>
      <c r="I20539" s="1092"/>
    </row>
    <row r="20540" spans="8:9">
      <c r="H20540" s="1092"/>
      <c r="I20540" s="1092"/>
    </row>
    <row r="20541" spans="8:9">
      <c r="H20541" s="1092"/>
      <c r="I20541" s="1092"/>
    </row>
    <row r="20542" spans="8:9">
      <c r="H20542" s="1092"/>
      <c r="I20542" s="1092"/>
    </row>
    <row r="20543" spans="8:9">
      <c r="H20543" s="1092"/>
      <c r="I20543" s="1092"/>
    </row>
    <row r="20544" spans="8:9">
      <c r="H20544" s="1092"/>
      <c r="I20544" s="1092"/>
    </row>
    <row r="20545" spans="8:9">
      <c r="H20545" s="1092"/>
      <c r="I20545" s="1092"/>
    </row>
    <row r="20546" spans="8:9">
      <c r="H20546" s="1092"/>
      <c r="I20546" s="1092"/>
    </row>
    <row r="20547" spans="8:9">
      <c r="H20547" s="1092"/>
      <c r="I20547" s="1092"/>
    </row>
    <row r="20548" spans="8:9">
      <c r="H20548" s="1092"/>
      <c r="I20548" s="1092"/>
    </row>
    <row r="20549" spans="8:9">
      <c r="H20549" s="1092"/>
      <c r="I20549" s="1092"/>
    </row>
    <row r="20550" spans="8:9">
      <c r="H20550" s="1092"/>
      <c r="I20550" s="1092"/>
    </row>
    <row r="20551" spans="8:9">
      <c r="H20551" s="1092"/>
      <c r="I20551" s="1092"/>
    </row>
    <row r="20552" spans="8:9">
      <c r="H20552" s="1092"/>
      <c r="I20552" s="1092"/>
    </row>
    <row r="20553" spans="8:9">
      <c r="H20553" s="1092"/>
      <c r="I20553" s="1092"/>
    </row>
    <row r="20554" spans="8:9">
      <c r="H20554" s="1092"/>
      <c r="I20554" s="1092"/>
    </row>
    <row r="20555" spans="8:9">
      <c r="H20555" s="1092"/>
      <c r="I20555" s="1092"/>
    </row>
    <row r="20556" spans="8:9">
      <c r="H20556" s="1092"/>
      <c r="I20556" s="1092"/>
    </row>
    <row r="20557" spans="8:9">
      <c r="H20557" s="1092"/>
      <c r="I20557" s="1092"/>
    </row>
    <row r="20558" spans="8:9">
      <c r="H20558" s="1092"/>
      <c r="I20558" s="1092"/>
    </row>
    <row r="20559" spans="8:9">
      <c r="H20559" s="1092"/>
      <c r="I20559" s="1092"/>
    </row>
    <row r="20560" spans="8:9">
      <c r="H20560" s="1092"/>
      <c r="I20560" s="1092"/>
    </row>
    <row r="20561" spans="8:9">
      <c r="H20561" s="1092"/>
      <c r="I20561" s="1092"/>
    </row>
    <row r="20562" spans="8:9">
      <c r="H20562" s="1092"/>
      <c r="I20562" s="1092"/>
    </row>
    <row r="20563" spans="8:9">
      <c r="H20563" s="1092"/>
      <c r="I20563" s="1092"/>
    </row>
    <row r="20564" spans="8:9">
      <c r="H20564" s="1092"/>
      <c r="I20564" s="1092"/>
    </row>
    <row r="20565" spans="8:9">
      <c r="H20565" s="1092"/>
      <c r="I20565" s="1092"/>
    </row>
    <row r="20566" spans="8:9">
      <c r="H20566" s="1092"/>
      <c r="I20566" s="1092"/>
    </row>
    <row r="20567" spans="8:9">
      <c r="H20567" s="1092"/>
      <c r="I20567" s="1092"/>
    </row>
    <row r="20568" spans="8:9">
      <c r="H20568" s="1092"/>
      <c r="I20568" s="1092"/>
    </row>
    <row r="20569" spans="8:9">
      <c r="H20569" s="1092"/>
      <c r="I20569" s="1092"/>
    </row>
    <row r="20570" spans="8:9">
      <c r="H20570" s="1092"/>
      <c r="I20570" s="1092"/>
    </row>
    <row r="20571" spans="8:9">
      <c r="H20571" s="1092"/>
      <c r="I20571" s="1092"/>
    </row>
    <row r="20572" spans="8:9">
      <c r="H20572" s="1092"/>
      <c r="I20572" s="1092"/>
    </row>
    <row r="20573" spans="8:9">
      <c r="H20573" s="1092"/>
      <c r="I20573" s="1092"/>
    </row>
    <row r="20574" spans="8:9">
      <c r="H20574" s="1092"/>
      <c r="I20574" s="1092"/>
    </row>
    <row r="20575" spans="8:9">
      <c r="H20575" s="1092"/>
      <c r="I20575" s="1092"/>
    </row>
    <row r="20576" spans="8:9">
      <c r="H20576" s="1092"/>
      <c r="I20576" s="1092"/>
    </row>
    <row r="20577" spans="8:9">
      <c r="H20577" s="1092"/>
      <c r="I20577" s="1092"/>
    </row>
    <row r="20578" spans="8:9">
      <c r="H20578" s="1092"/>
      <c r="I20578" s="1092"/>
    </row>
    <row r="20579" spans="8:9">
      <c r="H20579" s="1092"/>
      <c r="I20579" s="1092"/>
    </row>
    <row r="20580" spans="8:9">
      <c r="H20580" s="1092"/>
      <c r="I20580" s="1092"/>
    </row>
    <row r="20581" spans="8:9">
      <c r="H20581" s="1092"/>
      <c r="I20581" s="1092"/>
    </row>
    <row r="20582" spans="8:9">
      <c r="H20582" s="1092"/>
      <c r="I20582" s="1092"/>
    </row>
    <row r="20583" spans="8:9">
      <c r="H20583" s="1092"/>
      <c r="I20583" s="1092"/>
    </row>
    <row r="20584" spans="8:9">
      <c r="H20584" s="1092"/>
      <c r="I20584" s="1092"/>
    </row>
    <row r="20585" spans="8:9">
      <c r="H20585" s="1092"/>
      <c r="I20585" s="1092"/>
    </row>
    <row r="20586" spans="8:9">
      <c r="H20586" s="1092"/>
      <c r="I20586" s="1092"/>
    </row>
    <row r="20587" spans="8:9">
      <c r="H20587" s="1092"/>
      <c r="I20587" s="1092"/>
    </row>
    <row r="20588" spans="8:9">
      <c r="H20588" s="1092"/>
      <c r="I20588" s="1092"/>
    </row>
    <row r="20589" spans="8:9">
      <c r="H20589" s="1092"/>
      <c r="I20589" s="1092"/>
    </row>
    <row r="20590" spans="8:9">
      <c r="H20590" s="1092"/>
      <c r="I20590" s="1092"/>
    </row>
    <row r="20591" spans="8:9">
      <c r="H20591" s="1092"/>
      <c r="I20591" s="1092"/>
    </row>
    <row r="20592" spans="8:9">
      <c r="H20592" s="1092"/>
      <c r="I20592" s="1092"/>
    </row>
    <row r="20593" spans="8:9">
      <c r="H20593" s="1092"/>
      <c r="I20593" s="1092"/>
    </row>
    <row r="20594" spans="8:9">
      <c r="H20594" s="1092"/>
      <c r="I20594" s="1092"/>
    </row>
    <row r="20595" spans="8:9">
      <c r="H20595" s="1092"/>
      <c r="I20595" s="1092"/>
    </row>
    <row r="20596" spans="8:9">
      <c r="H20596" s="1092"/>
      <c r="I20596" s="1092"/>
    </row>
    <row r="20597" spans="8:9">
      <c r="H20597" s="1092"/>
      <c r="I20597" s="1092"/>
    </row>
    <row r="20598" spans="8:9">
      <c r="H20598" s="1092"/>
      <c r="I20598" s="1092"/>
    </row>
    <row r="20599" spans="8:9">
      <c r="H20599" s="1092"/>
      <c r="I20599" s="1092"/>
    </row>
    <row r="20600" spans="8:9">
      <c r="H20600" s="1092"/>
      <c r="I20600" s="1092"/>
    </row>
    <row r="20601" spans="8:9">
      <c r="H20601" s="1092"/>
      <c r="I20601" s="1092"/>
    </row>
    <row r="20602" spans="8:9">
      <c r="H20602" s="1092"/>
      <c r="I20602" s="1092"/>
    </row>
    <row r="20603" spans="8:9">
      <c r="H20603" s="1092"/>
      <c r="I20603" s="1092"/>
    </row>
    <row r="20604" spans="8:9">
      <c r="H20604" s="1092"/>
      <c r="I20604" s="1092"/>
    </row>
    <row r="20605" spans="8:9">
      <c r="H20605" s="1092"/>
      <c r="I20605" s="1092"/>
    </row>
    <row r="20606" spans="8:9">
      <c r="H20606" s="1092"/>
      <c r="I20606" s="1092"/>
    </row>
    <row r="20607" spans="8:9">
      <c r="H20607" s="1092"/>
      <c r="I20607" s="1092"/>
    </row>
    <row r="20608" spans="8:9">
      <c r="H20608" s="1092"/>
      <c r="I20608" s="1092"/>
    </row>
    <row r="20609" spans="8:9">
      <c r="H20609" s="1092"/>
      <c r="I20609" s="1092"/>
    </row>
    <row r="20610" spans="8:9">
      <c r="H20610" s="1092"/>
      <c r="I20610" s="1092"/>
    </row>
    <row r="20611" spans="8:9">
      <c r="H20611" s="1092"/>
      <c r="I20611" s="1092"/>
    </row>
    <row r="20612" spans="8:9">
      <c r="H20612" s="1092"/>
      <c r="I20612" s="1092"/>
    </row>
    <row r="20613" spans="8:9">
      <c r="H20613" s="1092"/>
      <c r="I20613" s="1092"/>
    </row>
    <row r="20614" spans="8:9">
      <c r="H20614" s="1092"/>
      <c r="I20614" s="1092"/>
    </row>
    <row r="20615" spans="8:9">
      <c r="H20615" s="1092"/>
      <c r="I20615" s="1092"/>
    </row>
    <row r="20616" spans="8:9">
      <c r="H20616" s="1092"/>
      <c r="I20616" s="1092"/>
    </row>
    <row r="20617" spans="8:9">
      <c r="H20617" s="1092"/>
      <c r="I20617" s="1092"/>
    </row>
    <row r="20618" spans="8:9">
      <c r="H20618" s="1092"/>
      <c r="I20618" s="1092"/>
    </row>
    <row r="20619" spans="8:9">
      <c r="H20619" s="1092"/>
      <c r="I20619" s="1092"/>
    </row>
    <row r="20620" spans="8:9">
      <c r="H20620" s="1092"/>
      <c r="I20620" s="1092"/>
    </row>
    <row r="20621" spans="8:9">
      <c r="H20621" s="1092"/>
      <c r="I20621" s="1092"/>
    </row>
    <row r="20622" spans="8:9">
      <c r="H20622" s="1092"/>
      <c r="I20622" s="1092"/>
    </row>
    <row r="20623" spans="8:9">
      <c r="H20623" s="1092"/>
      <c r="I20623" s="1092"/>
    </row>
    <row r="20624" spans="8:9">
      <c r="H20624" s="1092"/>
      <c r="I20624" s="1092"/>
    </row>
    <row r="20625" spans="8:9">
      <c r="H20625" s="1092"/>
      <c r="I20625" s="1092"/>
    </row>
    <row r="20626" spans="8:9">
      <c r="H20626" s="1092"/>
      <c r="I20626" s="1092"/>
    </row>
    <row r="20627" spans="8:9">
      <c r="H20627" s="1092"/>
      <c r="I20627" s="1092"/>
    </row>
    <row r="20628" spans="8:9">
      <c r="H20628" s="1092"/>
      <c r="I20628" s="1092"/>
    </row>
    <row r="20629" spans="8:9">
      <c r="H20629" s="1092"/>
      <c r="I20629" s="1092"/>
    </row>
    <row r="20630" spans="8:9">
      <c r="H20630" s="1092"/>
      <c r="I20630" s="1092"/>
    </row>
    <row r="20631" spans="8:9">
      <c r="H20631" s="1092"/>
      <c r="I20631" s="1092"/>
    </row>
    <row r="20632" spans="8:9">
      <c r="H20632" s="1092"/>
      <c r="I20632" s="1092"/>
    </row>
    <row r="20633" spans="8:9">
      <c r="H20633" s="1092"/>
      <c r="I20633" s="1092"/>
    </row>
    <row r="20634" spans="8:9">
      <c r="H20634" s="1092"/>
      <c r="I20634" s="1092"/>
    </row>
    <row r="20635" spans="8:9">
      <c r="H20635" s="1092"/>
      <c r="I20635" s="1092"/>
    </row>
    <row r="20636" spans="8:9">
      <c r="H20636" s="1092"/>
      <c r="I20636" s="1092"/>
    </row>
    <row r="20637" spans="8:9">
      <c r="H20637" s="1092"/>
      <c r="I20637" s="1092"/>
    </row>
    <row r="20638" spans="8:9">
      <c r="H20638" s="1092"/>
      <c r="I20638" s="1092"/>
    </row>
    <row r="20639" spans="8:9">
      <c r="H20639" s="1092"/>
      <c r="I20639" s="1092"/>
    </row>
    <row r="20640" spans="8:9">
      <c r="H20640" s="1092"/>
      <c r="I20640" s="1092"/>
    </row>
    <row r="20641" spans="8:9">
      <c r="H20641" s="1092"/>
      <c r="I20641" s="1092"/>
    </row>
    <row r="20642" spans="8:9">
      <c r="H20642" s="1092"/>
      <c r="I20642" s="1092"/>
    </row>
    <row r="20643" spans="8:9">
      <c r="H20643" s="1092"/>
      <c r="I20643" s="1092"/>
    </row>
    <row r="20644" spans="8:9">
      <c r="H20644" s="1092"/>
      <c r="I20644" s="1092"/>
    </row>
    <row r="20645" spans="8:9">
      <c r="H20645" s="1092"/>
      <c r="I20645" s="1092"/>
    </row>
    <row r="20646" spans="8:9">
      <c r="H20646" s="1092"/>
      <c r="I20646" s="1092"/>
    </row>
    <row r="20647" spans="8:9">
      <c r="H20647" s="1092"/>
      <c r="I20647" s="1092"/>
    </row>
    <row r="20648" spans="8:9">
      <c r="H20648" s="1092"/>
      <c r="I20648" s="1092"/>
    </row>
    <row r="20649" spans="8:9">
      <c r="H20649" s="1092"/>
      <c r="I20649" s="1092"/>
    </row>
    <row r="20650" spans="8:9">
      <c r="H20650" s="1092"/>
      <c r="I20650" s="1092"/>
    </row>
    <row r="20651" spans="8:9">
      <c r="H20651" s="1092"/>
      <c r="I20651" s="1092"/>
    </row>
    <row r="20652" spans="8:9">
      <c r="H20652" s="1092"/>
      <c r="I20652" s="1092"/>
    </row>
    <row r="20653" spans="8:9">
      <c r="H20653" s="1092"/>
      <c r="I20653" s="1092"/>
    </row>
    <row r="20654" spans="8:9">
      <c r="H20654" s="1092"/>
      <c r="I20654" s="1092"/>
    </row>
    <row r="20655" spans="8:9">
      <c r="H20655" s="1092"/>
      <c r="I20655" s="1092"/>
    </row>
    <row r="20656" spans="8:9">
      <c r="H20656" s="1092"/>
      <c r="I20656" s="1092"/>
    </row>
    <row r="20657" spans="8:9">
      <c r="H20657" s="1092"/>
      <c r="I20657" s="1092"/>
    </row>
    <row r="20658" spans="8:9">
      <c r="H20658" s="1092"/>
      <c r="I20658" s="1092"/>
    </row>
    <row r="20659" spans="8:9">
      <c r="H20659" s="1092"/>
      <c r="I20659" s="1092"/>
    </row>
    <row r="20660" spans="8:9">
      <c r="H20660" s="1092"/>
      <c r="I20660" s="1092"/>
    </row>
    <row r="20661" spans="8:9">
      <c r="H20661" s="1092"/>
      <c r="I20661" s="1092"/>
    </row>
    <row r="20662" spans="8:9">
      <c r="H20662" s="1092"/>
      <c r="I20662" s="1092"/>
    </row>
    <row r="20663" spans="8:9">
      <c r="H20663" s="1092"/>
      <c r="I20663" s="1092"/>
    </row>
    <row r="20664" spans="8:9">
      <c r="H20664" s="1092"/>
      <c r="I20664" s="1092"/>
    </row>
    <row r="20665" spans="8:9">
      <c r="H20665" s="1092"/>
      <c r="I20665" s="1092"/>
    </row>
    <row r="20666" spans="8:9">
      <c r="H20666" s="1092"/>
      <c r="I20666" s="1092"/>
    </row>
    <row r="20667" spans="8:9">
      <c r="H20667" s="1092"/>
      <c r="I20667" s="1092"/>
    </row>
    <row r="20668" spans="8:9">
      <c r="H20668" s="1092"/>
      <c r="I20668" s="1092"/>
    </row>
    <row r="20669" spans="8:9">
      <c r="H20669" s="1092"/>
      <c r="I20669" s="1092"/>
    </row>
    <row r="20670" spans="8:9">
      <c r="H20670" s="1092"/>
      <c r="I20670" s="1092"/>
    </row>
    <row r="20671" spans="8:9">
      <c r="H20671" s="1092"/>
      <c r="I20671" s="1092"/>
    </row>
    <row r="20672" spans="8:9">
      <c r="H20672" s="1092"/>
      <c r="I20672" s="1092"/>
    </row>
    <row r="20673" spans="8:9">
      <c r="H20673" s="1092"/>
      <c r="I20673" s="1092"/>
    </row>
    <row r="20674" spans="8:9">
      <c r="H20674" s="1092"/>
      <c r="I20674" s="1092"/>
    </row>
    <row r="20675" spans="8:9">
      <c r="H20675" s="1092"/>
      <c r="I20675" s="1092"/>
    </row>
    <row r="20676" spans="8:9">
      <c r="H20676" s="1092"/>
      <c r="I20676" s="1092"/>
    </row>
    <row r="20677" spans="8:9">
      <c r="H20677" s="1092"/>
      <c r="I20677" s="1092"/>
    </row>
    <row r="20678" spans="8:9">
      <c r="H20678" s="1092"/>
      <c r="I20678" s="1092"/>
    </row>
    <row r="20679" spans="8:9">
      <c r="H20679" s="1092"/>
      <c r="I20679" s="1092"/>
    </row>
    <row r="20680" spans="8:9">
      <c r="H20680" s="1092"/>
      <c r="I20680" s="1092"/>
    </row>
    <row r="20681" spans="8:9">
      <c r="H20681" s="1092"/>
      <c r="I20681" s="1092"/>
    </row>
    <row r="20682" spans="8:9">
      <c r="H20682" s="1092"/>
      <c r="I20682" s="1092"/>
    </row>
    <row r="20683" spans="8:9">
      <c r="H20683" s="1092"/>
      <c r="I20683" s="1092"/>
    </row>
    <row r="20684" spans="8:9">
      <c r="H20684" s="1092"/>
      <c r="I20684" s="1092"/>
    </row>
    <row r="20685" spans="8:9">
      <c r="H20685" s="1092"/>
      <c r="I20685" s="1092"/>
    </row>
    <row r="20686" spans="8:9">
      <c r="H20686" s="1092"/>
      <c r="I20686" s="1092"/>
    </row>
    <row r="20687" spans="8:9">
      <c r="H20687" s="1092"/>
      <c r="I20687" s="1092"/>
    </row>
    <row r="20688" spans="8:9">
      <c r="H20688" s="1092"/>
      <c r="I20688" s="1092"/>
    </row>
    <row r="20689" spans="8:9">
      <c r="H20689" s="1092"/>
      <c r="I20689" s="1092"/>
    </row>
    <row r="20690" spans="8:9">
      <c r="H20690" s="1092"/>
      <c r="I20690" s="1092"/>
    </row>
    <row r="20691" spans="8:9">
      <c r="H20691" s="1092"/>
      <c r="I20691" s="1092"/>
    </row>
    <row r="20692" spans="8:9">
      <c r="H20692" s="1092"/>
      <c r="I20692" s="1092"/>
    </row>
    <row r="20693" spans="8:9">
      <c r="H20693" s="1092"/>
      <c r="I20693" s="1092"/>
    </row>
    <row r="20694" spans="8:9">
      <c r="H20694" s="1092"/>
      <c r="I20694" s="1092"/>
    </row>
    <row r="20695" spans="8:9">
      <c r="H20695" s="1092"/>
      <c r="I20695" s="1092"/>
    </row>
    <row r="20696" spans="8:9">
      <c r="H20696" s="1092"/>
      <c r="I20696" s="1092"/>
    </row>
    <row r="20697" spans="8:9">
      <c r="H20697" s="1092"/>
      <c r="I20697" s="1092"/>
    </row>
    <row r="20698" spans="8:9">
      <c r="H20698" s="1092"/>
      <c r="I20698" s="1092"/>
    </row>
    <row r="20699" spans="8:9">
      <c r="H20699" s="1092"/>
      <c r="I20699" s="1092"/>
    </row>
    <row r="20700" spans="8:9">
      <c r="H20700" s="1092"/>
      <c r="I20700" s="1092"/>
    </row>
    <row r="20701" spans="8:9">
      <c r="H20701" s="1092"/>
      <c r="I20701" s="1092"/>
    </row>
    <row r="20702" spans="8:9">
      <c r="H20702" s="1092"/>
      <c r="I20702" s="1092"/>
    </row>
    <row r="20703" spans="8:9">
      <c r="H20703" s="1092"/>
      <c r="I20703" s="1092"/>
    </row>
    <row r="20704" spans="8:9">
      <c r="H20704" s="1092"/>
      <c r="I20704" s="1092"/>
    </row>
    <row r="20705" spans="8:9">
      <c r="H20705" s="1092"/>
      <c r="I20705" s="1092"/>
    </row>
    <row r="20706" spans="8:9">
      <c r="H20706" s="1092"/>
      <c r="I20706" s="1092"/>
    </row>
    <row r="20707" spans="8:9">
      <c r="H20707" s="1092"/>
      <c r="I20707" s="1092"/>
    </row>
    <row r="20708" spans="8:9">
      <c r="H20708" s="1092"/>
      <c r="I20708" s="1092"/>
    </row>
    <row r="20709" spans="8:9">
      <c r="H20709" s="1092"/>
      <c r="I20709" s="1092"/>
    </row>
    <row r="20710" spans="8:9">
      <c r="H20710" s="1092"/>
      <c r="I20710" s="1092"/>
    </row>
    <row r="20711" spans="8:9">
      <c r="H20711" s="1092"/>
      <c r="I20711" s="1092"/>
    </row>
    <row r="20712" spans="8:9">
      <c r="H20712" s="1092"/>
      <c r="I20712" s="1092"/>
    </row>
    <row r="20713" spans="8:9">
      <c r="H20713" s="1092"/>
      <c r="I20713" s="1092"/>
    </row>
    <row r="20714" spans="8:9">
      <c r="H20714" s="1092"/>
      <c r="I20714" s="1092"/>
    </row>
    <row r="20715" spans="8:9">
      <c r="H20715" s="1092"/>
      <c r="I20715" s="1092"/>
    </row>
    <row r="20716" spans="8:9">
      <c r="H20716" s="1092"/>
      <c r="I20716" s="1092"/>
    </row>
    <row r="20717" spans="8:9">
      <c r="H20717" s="1092"/>
      <c r="I20717" s="1092"/>
    </row>
    <row r="20718" spans="8:9">
      <c r="H20718" s="1092"/>
      <c r="I20718" s="1092"/>
    </row>
    <row r="20719" spans="8:9">
      <c r="H20719" s="1092"/>
      <c r="I20719" s="1092"/>
    </row>
    <row r="20720" spans="8:9">
      <c r="H20720" s="1092"/>
      <c r="I20720" s="1092"/>
    </row>
    <row r="20721" spans="8:9">
      <c r="H20721" s="1092"/>
      <c r="I20721" s="1092"/>
    </row>
    <row r="20722" spans="8:9">
      <c r="H20722" s="1092"/>
      <c r="I20722" s="1092"/>
    </row>
    <row r="20723" spans="8:9">
      <c r="H20723" s="1092"/>
      <c r="I20723" s="1092"/>
    </row>
    <row r="20724" spans="8:9">
      <c r="H20724" s="1092"/>
      <c r="I20724" s="1092"/>
    </row>
    <row r="20725" spans="8:9">
      <c r="H20725" s="1092"/>
      <c r="I20725" s="1092"/>
    </row>
    <row r="20726" spans="8:9">
      <c r="H20726" s="1092"/>
      <c r="I20726" s="1092"/>
    </row>
    <row r="20727" spans="8:9">
      <c r="H20727" s="1092"/>
      <c r="I20727" s="1092"/>
    </row>
    <row r="20728" spans="8:9">
      <c r="H20728" s="1092"/>
      <c r="I20728" s="1092"/>
    </row>
    <row r="20729" spans="8:9">
      <c r="H20729" s="1092"/>
      <c r="I20729" s="1092"/>
    </row>
    <row r="20730" spans="8:9">
      <c r="H20730" s="1092"/>
      <c r="I20730" s="1092"/>
    </row>
    <row r="20731" spans="8:9">
      <c r="H20731" s="1092"/>
      <c r="I20731" s="1092"/>
    </row>
    <row r="20732" spans="8:9">
      <c r="H20732" s="1092"/>
      <c r="I20732" s="1092"/>
    </row>
    <row r="20733" spans="8:9">
      <c r="H20733" s="1092"/>
      <c r="I20733" s="1092"/>
    </row>
    <row r="20734" spans="8:9">
      <c r="H20734" s="1092"/>
      <c r="I20734" s="1092"/>
    </row>
    <row r="20735" spans="8:9">
      <c r="H20735" s="1092"/>
      <c r="I20735" s="1092"/>
    </row>
    <row r="20736" spans="8:9">
      <c r="H20736" s="1092"/>
      <c r="I20736" s="1092"/>
    </row>
    <row r="20737" spans="8:9">
      <c r="H20737" s="1092"/>
      <c r="I20737" s="1092"/>
    </row>
    <row r="20738" spans="8:9">
      <c r="H20738" s="1092"/>
      <c r="I20738" s="1092"/>
    </row>
    <row r="20739" spans="8:9">
      <c r="H20739" s="1092"/>
      <c r="I20739" s="1092"/>
    </row>
    <row r="20740" spans="8:9">
      <c r="H20740" s="1092"/>
      <c r="I20740" s="1092"/>
    </row>
    <row r="20741" spans="8:9">
      <c r="H20741" s="1092"/>
      <c r="I20741" s="1092"/>
    </row>
    <row r="20742" spans="8:9">
      <c r="H20742" s="1092"/>
      <c r="I20742" s="1092"/>
    </row>
    <row r="20743" spans="8:9">
      <c r="H20743" s="1092"/>
      <c r="I20743" s="1092"/>
    </row>
    <row r="20744" spans="8:9">
      <c r="H20744" s="1092"/>
      <c r="I20744" s="1092"/>
    </row>
    <row r="20745" spans="8:9">
      <c r="H20745" s="1092"/>
      <c r="I20745" s="1092"/>
    </row>
    <row r="20746" spans="8:9">
      <c r="H20746" s="1092"/>
      <c r="I20746" s="1092"/>
    </row>
    <row r="20747" spans="8:9">
      <c r="H20747" s="1092"/>
      <c r="I20747" s="1092"/>
    </row>
    <row r="20748" spans="8:9">
      <c r="H20748" s="1092"/>
      <c r="I20748" s="1092"/>
    </row>
    <row r="20749" spans="8:9">
      <c r="H20749" s="1092"/>
      <c r="I20749" s="1092"/>
    </row>
    <row r="20750" spans="8:9">
      <c r="H20750" s="1092"/>
      <c r="I20750" s="1092"/>
    </row>
    <row r="20751" spans="8:9">
      <c r="H20751" s="1092"/>
      <c r="I20751" s="1092"/>
    </row>
    <row r="20752" spans="8:9">
      <c r="H20752" s="1092"/>
      <c r="I20752" s="1092"/>
    </row>
    <row r="20753" spans="8:9">
      <c r="H20753" s="1092"/>
      <c r="I20753" s="1092"/>
    </row>
    <row r="20754" spans="8:9">
      <c r="H20754" s="1092"/>
      <c r="I20754" s="1092"/>
    </row>
    <row r="20755" spans="8:9">
      <c r="H20755" s="1092"/>
      <c r="I20755" s="1092"/>
    </row>
    <row r="20756" spans="8:9">
      <c r="H20756" s="1092"/>
      <c r="I20756" s="1092"/>
    </row>
    <row r="20757" spans="8:9">
      <c r="H20757" s="1092"/>
      <c r="I20757" s="1092"/>
    </row>
    <row r="20758" spans="8:9">
      <c r="H20758" s="1092"/>
      <c r="I20758" s="1092"/>
    </row>
    <row r="20759" spans="8:9">
      <c r="H20759" s="1092"/>
      <c r="I20759" s="1092"/>
    </row>
    <row r="20760" spans="8:9">
      <c r="H20760" s="1092"/>
      <c r="I20760" s="1092"/>
    </row>
    <row r="20761" spans="8:9">
      <c r="H20761" s="1092"/>
      <c r="I20761" s="1092"/>
    </row>
    <row r="20762" spans="8:9">
      <c r="H20762" s="1092"/>
      <c r="I20762" s="1092"/>
    </row>
    <row r="20763" spans="8:9">
      <c r="H20763" s="1092"/>
      <c r="I20763" s="1092"/>
    </row>
    <row r="20764" spans="8:9">
      <c r="H20764" s="1092"/>
      <c r="I20764" s="1092"/>
    </row>
    <row r="20765" spans="8:9">
      <c r="H20765" s="1092"/>
      <c r="I20765" s="1092"/>
    </row>
    <row r="20766" spans="8:9">
      <c r="H20766" s="1092"/>
      <c r="I20766" s="1092"/>
    </row>
    <row r="20767" spans="8:9">
      <c r="H20767" s="1092"/>
      <c r="I20767" s="1092"/>
    </row>
    <row r="20768" spans="8:9">
      <c r="H20768" s="1092"/>
      <c r="I20768" s="1092"/>
    </row>
    <row r="20769" spans="8:9">
      <c r="H20769" s="1092"/>
      <c r="I20769" s="1092"/>
    </row>
    <row r="20770" spans="8:9">
      <c r="H20770" s="1092"/>
      <c r="I20770" s="1092"/>
    </row>
    <row r="20771" spans="8:9">
      <c r="H20771" s="1092"/>
      <c r="I20771" s="1092"/>
    </row>
    <row r="20772" spans="8:9">
      <c r="H20772" s="1092"/>
      <c r="I20772" s="1092"/>
    </row>
    <row r="20773" spans="8:9">
      <c r="H20773" s="1092"/>
      <c r="I20773" s="1092"/>
    </row>
    <row r="20774" spans="8:9">
      <c r="H20774" s="1092"/>
      <c r="I20774" s="1092"/>
    </row>
    <row r="20775" spans="8:9">
      <c r="H20775" s="1092"/>
      <c r="I20775" s="1092"/>
    </row>
    <row r="20776" spans="8:9">
      <c r="H20776" s="1092"/>
      <c r="I20776" s="1092"/>
    </row>
    <row r="20777" spans="8:9">
      <c r="H20777" s="1092"/>
      <c r="I20777" s="1092"/>
    </row>
    <row r="20778" spans="8:9">
      <c r="H20778" s="1092"/>
      <c r="I20778" s="1092"/>
    </row>
    <row r="20779" spans="8:9">
      <c r="H20779" s="1092"/>
      <c r="I20779" s="1092"/>
    </row>
    <row r="20780" spans="8:9">
      <c r="H20780" s="1092"/>
      <c r="I20780" s="1092"/>
    </row>
    <row r="20781" spans="8:9">
      <c r="H20781" s="1092"/>
      <c r="I20781" s="1092"/>
    </row>
    <row r="20782" spans="8:9">
      <c r="H20782" s="1092"/>
      <c r="I20782" s="1092"/>
    </row>
    <row r="20783" spans="8:9">
      <c r="H20783" s="1092"/>
      <c r="I20783" s="1092"/>
    </row>
    <row r="20784" spans="8:9">
      <c r="H20784" s="1092"/>
      <c r="I20784" s="1092"/>
    </row>
    <row r="20785" spans="8:9">
      <c r="H20785" s="1092"/>
      <c r="I20785" s="1092"/>
    </row>
    <row r="20786" spans="8:9">
      <c r="H20786" s="1092"/>
      <c r="I20786" s="1092"/>
    </row>
    <row r="20787" spans="8:9">
      <c r="H20787" s="1092"/>
      <c r="I20787" s="1092"/>
    </row>
    <row r="20788" spans="8:9">
      <c r="H20788" s="1092"/>
      <c r="I20788" s="1092"/>
    </row>
    <row r="20789" spans="8:9">
      <c r="H20789" s="1092"/>
      <c r="I20789" s="1092"/>
    </row>
    <row r="20790" spans="8:9">
      <c r="H20790" s="1092"/>
      <c r="I20790" s="1092"/>
    </row>
    <row r="20791" spans="8:9">
      <c r="H20791" s="1092"/>
      <c r="I20791" s="1092"/>
    </row>
    <row r="20792" spans="8:9">
      <c r="H20792" s="1092"/>
      <c r="I20792" s="1092"/>
    </row>
    <row r="20793" spans="8:9">
      <c r="H20793" s="1092"/>
      <c r="I20793" s="1092"/>
    </row>
    <row r="20794" spans="8:9">
      <c r="H20794" s="1092"/>
      <c r="I20794" s="1092"/>
    </row>
    <row r="20795" spans="8:9">
      <c r="H20795" s="1092"/>
      <c r="I20795" s="1092"/>
    </row>
    <row r="20796" spans="8:9">
      <c r="H20796" s="1092"/>
      <c r="I20796" s="1092"/>
    </row>
    <row r="20797" spans="8:9">
      <c r="H20797" s="1092"/>
      <c r="I20797" s="1092"/>
    </row>
    <row r="20798" spans="8:9">
      <c r="H20798" s="1092"/>
      <c r="I20798" s="1092"/>
    </row>
    <row r="20799" spans="8:9">
      <c r="H20799" s="1092"/>
      <c r="I20799" s="1092"/>
    </row>
    <row r="20800" spans="8:9">
      <c r="H20800" s="1092"/>
      <c r="I20800" s="1092"/>
    </row>
    <row r="20801" spans="8:9">
      <c r="H20801" s="1092"/>
      <c r="I20801" s="1092"/>
    </row>
    <row r="20802" spans="8:9">
      <c r="H20802" s="1092"/>
      <c r="I20802" s="1092"/>
    </row>
    <row r="20803" spans="8:9">
      <c r="H20803" s="1092"/>
      <c r="I20803" s="1092"/>
    </row>
    <row r="20804" spans="8:9">
      <c r="H20804" s="1092"/>
      <c r="I20804" s="1092"/>
    </row>
    <row r="20805" spans="8:9">
      <c r="H20805" s="1092"/>
      <c r="I20805" s="1092"/>
    </row>
    <row r="20806" spans="8:9">
      <c r="H20806" s="1092"/>
      <c r="I20806" s="1092"/>
    </row>
    <row r="20807" spans="8:9">
      <c r="H20807" s="1092"/>
      <c r="I20807" s="1092"/>
    </row>
    <row r="20808" spans="8:9">
      <c r="H20808" s="1092"/>
      <c r="I20808" s="1092"/>
    </row>
    <row r="20809" spans="8:9">
      <c r="H20809" s="1092"/>
      <c r="I20809" s="1092"/>
    </row>
    <row r="20810" spans="8:9">
      <c r="H20810" s="1092"/>
      <c r="I20810" s="1092"/>
    </row>
    <row r="20811" spans="8:9">
      <c r="H20811" s="1092"/>
      <c r="I20811" s="1092"/>
    </row>
    <row r="20812" spans="8:9">
      <c r="H20812" s="1092"/>
      <c r="I20812" s="1092"/>
    </row>
    <row r="20813" spans="8:9">
      <c r="H20813" s="1092"/>
      <c r="I20813" s="1092"/>
    </row>
    <row r="20814" spans="8:9">
      <c r="H20814" s="1092"/>
      <c r="I20814" s="1092"/>
    </row>
    <row r="20815" spans="8:9">
      <c r="H20815" s="1092"/>
      <c r="I20815" s="1092"/>
    </row>
    <row r="20816" spans="8:9">
      <c r="H20816" s="1092"/>
      <c r="I20816" s="1092"/>
    </row>
    <row r="20817" spans="8:9">
      <c r="H20817" s="1092"/>
      <c r="I20817" s="1092"/>
    </row>
    <row r="20818" spans="8:9">
      <c r="H20818" s="1092"/>
      <c r="I20818" s="1092"/>
    </row>
    <row r="20819" spans="8:9">
      <c r="H20819" s="1092"/>
      <c r="I20819" s="1092"/>
    </row>
    <row r="20820" spans="8:9">
      <c r="H20820" s="1092"/>
      <c r="I20820" s="1092"/>
    </row>
    <row r="20821" spans="8:9">
      <c r="H20821" s="1092"/>
      <c r="I20821" s="1092"/>
    </row>
    <row r="20822" spans="8:9">
      <c r="H20822" s="1092"/>
      <c r="I20822" s="1092"/>
    </row>
    <row r="20823" spans="8:9">
      <c r="H20823" s="1092"/>
      <c r="I20823" s="1092"/>
    </row>
    <row r="20824" spans="8:9">
      <c r="H20824" s="1092"/>
      <c r="I20824" s="1092"/>
    </row>
    <row r="20825" spans="8:9">
      <c r="H20825" s="1092"/>
      <c r="I20825" s="1092"/>
    </row>
    <row r="20826" spans="8:9">
      <c r="H20826" s="1092"/>
      <c r="I20826" s="1092"/>
    </row>
    <row r="20827" spans="8:9">
      <c r="H20827" s="1092"/>
      <c r="I20827" s="1092"/>
    </row>
    <row r="20828" spans="8:9">
      <c r="H20828" s="1092"/>
      <c r="I20828" s="1092"/>
    </row>
    <row r="20829" spans="8:9">
      <c r="H20829" s="1092"/>
      <c r="I20829" s="1092"/>
    </row>
    <row r="20830" spans="8:9">
      <c r="H20830" s="1092"/>
      <c r="I20830" s="1092"/>
    </row>
    <row r="20831" spans="8:9">
      <c r="H20831" s="1092"/>
      <c r="I20831" s="1092"/>
    </row>
    <row r="20832" spans="8:9">
      <c r="H20832" s="1092"/>
      <c r="I20832" s="1092"/>
    </row>
    <row r="20833" spans="8:9">
      <c r="H20833" s="1092"/>
      <c r="I20833" s="1092"/>
    </row>
    <row r="20834" spans="8:9">
      <c r="H20834" s="1092"/>
      <c r="I20834" s="1092"/>
    </row>
    <row r="20835" spans="8:9">
      <c r="H20835" s="1092"/>
      <c r="I20835" s="1092"/>
    </row>
    <row r="20836" spans="8:9">
      <c r="H20836" s="1092"/>
      <c r="I20836" s="1092"/>
    </row>
    <row r="20837" spans="8:9">
      <c r="H20837" s="1092"/>
      <c r="I20837" s="1092"/>
    </row>
    <row r="20838" spans="8:9">
      <c r="H20838" s="1092"/>
      <c r="I20838" s="1092"/>
    </row>
    <row r="20839" spans="8:9">
      <c r="H20839" s="1092"/>
      <c r="I20839" s="1092"/>
    </row>
    <row r="20840" spans="8:9">
      <c r="H20840" s="1092"/>
      <c r="I20840" s="1092"/>
    </row>
    <row r="20841" spans="8:9">
      <c r="H20841" s="1092"/>
      <c r="I20841" s="1092"/>
    </row>
    <row r="20842" spans="8:9">
      <c r="H20842" s="1092"/>
      <c r="I20842" s="1092"/>
    </row>
    <row r="20843" spans="8:9">
      <c r="H20843" s="1092"/>
      <c r="I20843" s="1092"/>
    </row>
    <row r="20844" spans="8:9">
      <c r="H20844" s="1092"/>
      <c r="I20844" s="1092"/>
    </row>
    <row r="20845" spans="8:9">
      <c r="H20845" s="1092"/>
      <c r="I20845" s="1092"/>
    </row>
    <row r="20846" spans="8:9">
      <c r="H20846" s="1092"/>
      <c r="I20846" s="1092"/>
    </row>
    <row r="20847" spans="8:9">
      <c r="H20847" s="1092"/>
      <c r="I20847" s="1092"/>
    </row>
    <row r="20848" spans="8:9">
      <c r="H20848" s="1092"/>
      <c r="I20848" s="1092"/>
    </row>
    <row r="20849" spans="8:9">
      <c r="H20849" s="1092"/>
      <c r="I20849" s="1092"/>
    </row>
    <row r="20850" spans="8:9">
      <c r="H20850" s="1092"/>
      <c r="I20850" s="1092"/>
    </row>
    <row r="20851" spans="8:9">
      <c r="H20851" s="1092"/>
      <c r="I20851" s="1092"/>
    </row>
    <row r="20852" spans="8:9">
      <c r="H20852" s="1092"/>
      <c r="I20852" s="1092"/>
    </row>
    <row r="20853" spans="8:9">
      <c r="H20853" s="1092"/>
      <c r="I20853" s="1092"/>
    </row>
    <row r="20854" spans="8:9">
      <c r="H20854" s="1092"/>
      <c r="I20854" s="1092"/>
    </row>
    <row r="20855" spans="8:9">
      <c r="H20855" s="1092"/>
      <c r="I20855" s="1092"/>
    </row>
    <row r="20856" spans="8:9">
      <c r="H20856" s="1092"/>
      <c r="I20856" s="1092"/>
    </row>
    <row r="20857" spans="8:9">
      <c r="H20857" s="1092"/>
      <c r="I20857" s="1092"/>
    </row>
    <row r="20858" spans="8:9">
      <c r="H20858" s="1092"/>
      <c r="I20858" s="1092"/>
    </row>
    <row r="20859" spans="8:9">
      <c r="H20859" s="1092"/>
      <c r="I20859" s="1092"/>
    </row>
    <row r="20860" spans="8:9">
      <c r="H20860" s="1092"/>
      <c r="I20860" s="1092"/>
    </row>
    <row r="20861" spans="8:9">
      <c r="H20861" s="1092"/>
      <c r="I20861" s="1092"/>
    </row>
    <row r="20862" spans="8:9">
      <c r="H20862" s="1092"/>
      <c r="I20862" s="1092"/>
    </row>
    <row r="20863" spans="8:9">
      <c r="H20863" s="1092"/>
      <c r="I20863" s="1092"/>
    </row>
    <row r="20864" spans="8:9">
      <c r="H20864" s="1092"/>
      <c r="I20864" s="1092"/>
    </row>
    <row r="20865" spans="8:9">
      <c r="H20865" s="1092"/>
      <c r="I20865" s="1092"/>
    </row>
    <row r="20866" spans="8:9">
      <c r="H20866" s="1092"/>
      <c r="I20866" s="1092"/>
    </row>
    <row r="20867" spans="8:9">
      <c r="H20867" s="1092"/>
      <c r="I20867" s="1092"/>
    </row>
    <row r="20868" spans="8:9">
      <c r="H20868" s="1092"/>
      <c r="I20868" s="1092"/>
    </row>
    <row r="20869" spans="8:9">
      <c r="H20869" s="1092"/>
      <c r="I20869" s="1092"/>
    </row>
    <row r="20870" spans="8:9">
      <c r="H20870" s="1092"/>
      <c r="I20870" s="1092"/>
    </row>
    <row r="20871" spans="8:9">
      <c r="H20871" s="1092"/>
      <c r="I20871" s="1092"/>
    </row>
    <row r="20872" spans="8:9">
      <c r="H20872" s="1092"/>
      <c r="I20872" s="1092"/>
    </row>
    <row r="20873" spans="8:9">
      <c r="H20873" s="1092"/>
      <c r="I20873" s="1092"/>
    </row>
    <row r="20874" spans="8:9">
      <c r="H20874" s="1092"/>
      <c r="I20874" s="1092"/>
    </row>
    <row r="20875" spans="8:9">
      <c r="H20875" s="1092"/>
      <c r="I20875" s="1092"/>
    </row>
    <row r="20876" spans="8:9">
      <c r="H20876" s="1092"/>
      <c r="I20876" s="1092"/>
    </row>
    <row r="20877" spans="8:9">
      <c r="H20877" s="1092"/>
      <c r="I20877" s="1092"/>
    </row>
    <row r="20878" spans="8:9">
      <c r="H20878" s="1092"/>
      <c r="I20878" s="1092"/>
    </row>
    <row r="20879" spans="8:9">
      <c r="H20879" s="1092"/>
      <c r="I20879" s="1092"/>
    </row>
    <row r="20880" spans="8:9">
      <c r="H20880" s="1092"/>
      <c r="I20880" s="1092"/>
    </row>
    <row r="20881" spans="8:9">
      <c r="H20881" s="1092"/>
      <c r="I20881" s="1092"/>
    </row>
    <row r="20882" spans="8:9">
      <c r="H20882" s="1092"/>
      <c r="I20882" s="1092"/>
    </row>
    <row r="20883" spans="8:9">
      <c r="H20883" s="1092"/>
      <c r="I20883" s="1092"/>
    </row>
    <row r="20884" spans="8:9">
      <c r="H20884" s="1092"/>
      <c r="I20884" s="1092"/>
    </row>
    <row r="20885" spans="8:9">
      <c r="H20885" s="1092"/>
      <c r="I20885" s="1092"/>
    </row>
    <row r="20886" spans="8:9">
      <c r="H20886" s="1092"/>
      <c r="I20886" s="1092"/>
    </row>
    <row r="20887" spans="8:9">
      <c r="H20887" s="1092"/>
      <c r="I20887" s="1092"/>
    </row>
    <row r="20888" spans="8:9">
      <c r="H20888" s="1092"/>
      <c r="I20888" s="1092"/>
    </row>
    <row r="20889" spans="8:9">
      <c r="H20889" s="1092"/>
      <c r="I20889" s="1092"/>
    </row>
    <row r="20890" spans="8:9">
      <c r="H20890" s="1092"/>
      <c r="I20890" s="1092"/>
    </row>
    <row r="20891" spans="8:9">
      <c r="H20891" s="1092"/>
      <c r="I20891" s="1092"/>
    </row>
    <row r="20892" spans="8:9">
      <c r="H20892" s="1092"/>
      <c r="I20892" s="1092"/>
    </row>
    <row r="20893" spans="8:9">
      <c r="H20893" s="1092"/>
      <c r="I20893" s="1092"/>
    </row>
    <row r="20894" spans="8:9">
      <c r="H20894" s="1092"/>
      <c r="I20894" s="1092"/>
    </row>
    <row r="20895" spans="8:9">
      <c r="H20895" s="1092"/>
      <c r="I20895" s="1092"/>
    </row>
    <row r="20896" spans="8:9">
      <c r="H20896" s="1092"/>
      <c r="I20896" s="1092"/>
    </row>
    <row r="20897" spans="8:9">
      <c r="H20897" s="1092"/>
      <c r="I20897" s="1092"/>
    </row>
    <row r="20898" spans="8:9">
      <c r="H20898" s="1092"/>
      <c r="I20898" s="1092"/>
    </row>
    <row r="20899" spans="8:9">
      <c r="H20899" s="1092"/>
      <c r="I20899" s="1092"/>
    </row>
    <row r="20900" spans="8:9">
      <c r="H20900" s="1092"/>
      <c r="I20900" s="1092"/>
    </row>
    <row r="20901" spans="8:9">
      <c r="H20901" s="1092"/>
      <c r="I20901" s="1092"/>
    </row>
    <row r="20902" spans="8:9">
      <c r="H20902" s="1092"/>
      <c r="I20902" s="1092"/>
    </row>
    <row r="20903" spans="8:9">
      <c r="H20903" s="1092"/>
      <c r="I20903" s="1092"/>
    </row>
    <row r="20904" spans="8:9">
      <c r="H20904" s="1092"/>
      <c r="I20904" s="1092"/>
    </row>
    <row r="20905" spans="8:9">
      <c r="H20905" s="1092"/>
      <c r="I20905" s="1092"/>
    </row>
    <row r="20906" spans="8:9">
      <c r="H20906" s="1092"/>
      <c r="I20906" s="1092"/>
    </row>
    <row r="20907" spans="8:9">
      <c r="H20907" s="1092"/>
      <c r="I20907" s="1092"/>
    </row>
    <row r="20908" spans="8:9">
      <c r="H20908" s="1092"/>
      <c r="I20908" s="1092"/>
    </row>
    <row r="20909" spans="8:9">
      <c r="H20909" s="1092"/>
      <c r="I20909" s="1092"/>
    </row>
    <row r="20910" spans="8:9">
      <c r="H20910" s="1092"/>
      <c r="I20910" s="1092"/>
    </row>
    <row r="20911" spans="8:9">
      <c r="H20911" s="1092"/>
      <c r="I20911" s="1092"/>
    </row>
    <row r="20912" spans="8:9">
      <c r="H20912" s="1092"/>
      <c r="I20912" s="1092"/>
    </row>
    <row r="20913" spans="8:9">
      <c r="H20913" s="1092"/>
      <c r="I20913" s="1092"/>
    </row>
    <row r="20914" spans="8:9">
      <c r="H20914" s="1092"/>
      <c r="I20914" s="1092"/>
    </row>
    <row r="20915" spans="8:9">
      <c r="H20915" s="1092"/>
      <c r="I20915" s="1092"/>
    </row>
    <row r="20916" spans="8:9">
      <c r="H20916" s="1092"/>
      <c r="I20916" s="1092"/>
    </row>
    <row r="20917" spans="8:9">
      <c r="H20917" s="1092"/>
      <c r="I20917" s="1092"/>
    </row>
    <row r="20918" spans="8:9">
      <c r="H20918" s="1092"/>
      <c r="I20918" s="1092"/>
    </row>
    <row r="20919" spans="8:9">
      <c r="H20919" s="1092"/>
      <c r="I20919" s="1092"/>
    </row>
    <row r="20920" spans="8:9">
      <c r="H20920" s="1092"/>
      <c r="I20920" s="1092"/>
    </row>
    <row r="20921" spans="8:9">
      <c r="H20921" s="1092"/>
      <c r="I20921" s="1092"/>
    </row>
    <row r="20922" spans="8:9">
      <c r="H20922" s="1092"/>
      <c r="I20922" s="1092"/>
    </row>
    <row r="20923" spans="8:9">
      <c r="H20923" s="1092"/>
      <c r="I20923" s="1092"/>
    </row>
    <row r="20924" spans="8:9">
      <c r="H20924" s="1092"/>
      <c r="I20924" s="1092"/>
    </row>
    <row r="20925" spans="8:9">
      <c r="H20925" s="1092"/>
      <c r="I20925" s="1092"/>
    </row>
    <row r="20926" spans="8:9">
      <c r="H20926" s="1092"/>
      <c r="I20926" s="1092"/>
    </row>
    <row r="20927" spans="8:9">
      <c r="H20927" s="1092"/>
      <c r="I20927" s="1092"/>
    </row>
    <row r="20928" spans="8:9">
      <c r="H20928" s="1092"/>
      <c r="I20928" s="1092"/>
    </row>
    <row r="20929" spans="8:9">
      <c r="H20929" s="1092"/>
      <c r="I20929" s="1092"/>
    </row>
    <row r="20930" spans="8:9">
      <c r="H20930" s="1092"/>
      <c r="I20930" s="1092"/>
    </row>
    <row r="20931" spans="8:9">
      <c r="H20931" s="1092"/>
      <c r="I20931" s="1092"/>
    </row>
    <row r="20932" spans="8:9">
      <c r="H20932" s="1092"/>
      <c r="I20932" s="1092"/>
    </row>
    <row r="20933" spans="8:9">
      <c r="H20933" s="1092"/>
      <c r="I20933" s="1092"/>
    </row>
    <row r="20934" spans="8:9">
      <c r="H20934" s="1092"/>
      <c r="I20934" s="1092"/>
    </row>
    <row r="20935" spans="8:9">
      <c r="H20935" s="1092"/>
      <c r="I20935" s="1092"/>
    </row>
    <row r="20936" spans="8:9">
      <c r="H20936" s="1092"/>
      <c r="I20936" s="1092"/>
    </row>
    <row r="20937" spans="8:9">
      <c r="H20937" s="1092"/>
      <c r="I20937" s="1092"/>
    </row>
    <row r="20938" spans="8:9">
      <c r="H20938" s="1092"/>
      <c r="I20938" s="1092"/>
    </row>
    <row r="20939" spans="8:9">
      <c r="H20939" s="1092"/>
      <c r="I20939" s="1092"/>
    </row>
    <row r="20940" spans="8:9">
      <c r="H20940" s="1092"/>
      <c r="I20940" s="1092"/>
    </row>
    <row r="20941" spans="8:9">
      <c r="H20941" s="1092"/>
      <c r="I20941" s="1092"/>
    </row>
    <row r="20942" spans="8:9">
      <c r="H20942" s="1092"/>
      <c r="I20942" s="1092"/>
    </row>
    <row r="20943" spans="8:9">
      <c r="H20943" s="1092"/>
      <c r="I20943" s="1092"/>
    </row>
    <row r="20944" spans="8:9">
      <c r="H20944" s="1092"/>
      <c r="I20944" s="1092"/>
    </row>
    <row r="20945" spans="8:9">
      <c r="H20945" s="1092"/>
      <c r="I20945" s="1092"/>
    </row>
    <row r="20946" spans="8:9">
      <c r="H20946" s="1092"/>
      <c r="I20946" s="1092"/>
    </row>
    <row r="20947" spans="8:9">
      <c r="H20947" s="1092"/>
      <c r="I20947" s="1092"/>
    </row>
    <row r="20948" spans="8:9">
      <c r="H20948" s="1092"/>
      <c r="I20948" s="1092"/>
    </row>
    <row r="20949" spans="8:9">
      <c r="H20949" s="1092"/>
      <c r="I20949" s="1092"/>
    </row>
    <row r="20950" spans="8:9">
      <c r="H20950" s="1092"/>
      <c r="I20950" s="1092"/>
    </row>
    <row r="20951" spans="8:9">
      <c r="H20951" s="1092"/>
      <c r="I20951" s="1092"/>
    </row>
    <row r="20952" spans="8:9">
      <c r="H20952" s="1092"/>
      <c r="I20952" s="1092"/>
    </row>
    <row r="20953" spans="8:9">
      <c r="H20953" s="1092"/>
      <c r="I20953" s="1092"/>
    </row>
    <row r="20954" spans="8:9">
      <c r="H20954" s="1092"/>
      <c r="I20954" s="1092"/>
    </row>
    <row r="20955" spans="8:9">
      <c r="H20955" s="1092"/>
      <c r="I20955" s="1092"/>
    </row>
    <row r="20956" spans="8:9">
      <c r="H20956" s="1092"/>
      <c r="I20956" s="1092"/>
    </row>
    <row r="20957" spans="8:9">
      <c r="H20957" s="1092"/>
      <c r="I20957" s="1092"/>
    </row>
    <row r="20958" spans="8:9">
      <c r="H20958" s="1092"/>
      <c r="I20958" s="1092"/>
    </row>
    <row r="20959" spans="8:9">
      <c r="H20959" s="1092"/>
      <c r="I20959" s="1092"/>
    </row>
    <row r="20960" spans="8:9">
      <c r="H20960" s="1092"/>
      <c r="I20960" s="1092"/>
    </row>
    <row r="20961" spans="8:9">
      <c r="H20961" s="1092"/>
      <c r="I20961" s="1092"/>
    </row>
    <row r="20962" spans="8:9">
      <c r="H20962" s="1092"/>
      <c r="I20962" s="1092"/>
    </row>
    <row r="20963" spans="8:9">
      <c r="H20963" s="1092"/>
      <c r="I20963" s="1092"/>
    </row>
    <row r="20964" spans="8:9">
      <c r="H20964" s="1092"/>
      <c r="I20964" s="1092"/>
    </row>
    <row r="20965" spans="8:9">
      <c r="H20965" s="1092"/>
      <c r="I20965" s="1092"/>
    </row>
    <row r="20966" spans="8:9">
      <c r="H20966" s="1092"/>
      <c r="I20966" s="1092"/>
    </row>
    <row r="20967" spans="8:9">
      <c r="H20967" s="1092"/>
      <c r="I20967" s="1092"/>
    </row>
    <row r="20968" spans="8:9">
      <c r="H20968" s="1092"/>
      <c r="I20968" s="1092"/>
    </row>
    <row r="20969" spans="8:9">
      <c r="H20969" s="1092"/>
      <c r="I20969" s="1092"/>
    </row>
    <row r="20970" spans="8:9">
      <c r="H20970" s="1092"/>
      <c r="I20970" s="1092"/>
    </row>
    <row r="20971" spans="8:9">
      <c r="H20971" s="1092"/>
      <c r="I20971" s="1092"/>
    </row>
    <row r="20972" spans="8:9">
      <c r="H20972" s="1092"/>
      <c r="I20972" s="1092"/>
    </row>
    <row r="20973" spans="8:9">
      <c r="H20973" s="1092"/>
      <c r="I20973" s="1092"/>
    </row>
    <row r="20974" spans="8:9">
      <c r="H20974" s="1092"/>
      <c r="I20974" s="1092"/>
    </row>
    <row r="20975" spans="8:9">
      <c r="H20975" s="1092"/>
      <c r="I20975" s="1092"/>
    </row>
    <row r="20976" spans="8:9">
      <c r="H20976" s="1092"/>
      <c r="I20976" s="1092"/>
    </row>
    <row r="20977" spans="8:9">
      <c r="H20977" s="1092"/>
      <c r="I20977" s="1092"/>
    </row>
    <row r="20978" spans="8:9">
      <c r="H20978" s="1092"/>
      <c r="I20978" s="1092"/>
    </row>
    <row r="20979" spans="8:9">
      <c r="H20979" s="1092"/>
      <c r="I20979" s="1092"/>
    </row>
    <row r="20980" spans="8:9">
      <c r="H20980" s="1092"/>
      <c r="I20980" s="1092"/>
    </row>
    <row r="20981" spans="8:9">
      <c r="H20981" s="1092"/>
      <c r="I20981" s="1092"/>
    </row>
    <row r="20982" spans="8:9">
      <c r="H20982" s="1092"/>
      <c r="I20982" s="1092"/>
    </row>
    <row r="20983" spans="8:9">
      <c r="H20983" s="1092"/>
      <c r="I20983" s="1092"/>
    </row>
    <row r="20984" spans="8:9">
      <c r="H20984" s="1092"/>
      <c r="I20984" s="1092"/>
    </row>
    <row r="20985" spans="8:9">
      <c r="H20985" s="1092"/>
      <c r="I20985" s="1092"/>
    </row>
    <row r="20986" spans="8:9">
      <c r="H20986" s="1092"/>
      <c r="I20986" s="1092"/>
    </row>
    <row r="20987" spans="8:9">
      <c r="H20987" s="1092"/>
      <c r="I20987" s="1092"/>
    </row>
    <row r="20988" spans="8:9">
      <c r="H20988" s="1092"/>
      <c r="I20988" s="1092"/>
    </row>
    <row r="20989" spans="8:9">
      <c r="H20989" s="1092"/>
      <c r="I20989" s="1092"/>
    </row>
    <row r="20990" spans="8:9">
      <c r="H20990" s="1092"/>
      <c r="I20990" s="1092"/>
    </row>
    <row r="20991" spans="8:9">
      <c r="H20991" s="1092"/>
      <c r="I20991" s="1092"/>
    </row>
    <row r="20992" spans="8:9">
      <c r="H20992" s="1092"/>
      <c r="I20992" s="1092"/>
    </row>
    <row r="20993" spans="8:9">
      <c r="H20993" s="1092"/>
      <c r="I20993" s="1092"/>
    </row>
    <row r="20994" spans="8:9">
      <c r="H20994" s="1092"/>
      <c r="I20994" s="1092"/>
    </row>
    <row r="20995" spans="8:9">
      <c r="H20995" s="1092"/>
      <c r="I20995" s="1092"/>
    </row>
    <row r="20996" spans="8:9">
      <c r="H20996" s="1092"/>
      <c r="I20996" s="1092"/>
    </row>
    <row r="20997" spans="8:9">
      <c r="H20997" s="1092"/>
      <c r="I20997" s="1092"/>
    </row>
    <row r="20998" spans="8:9">
      <c r="H20998" s="1092"/>
      <c r="I20998" s="1092"/>
    </row>
    <row r="20999" spans="8:9">
      <c r="H20999" s="1092"/>
      <c r="I20999" s="1092"/>
    </row>
    <row r="21000" spans="8:9">
      <c r="H21000" s="1092"/>
      <c r="I21000" s="1092"/>
    </row>
    <row r="21001" spans="8:9">
      <c r="H21001" s="1092"/>
      <c r="I21001" s="1092"/>
    </row>
    <row r="21002" spans="8:9">
      <c r="H21002" s="1092"/>
      <c r="I21002" s="1092"/>
    </row>
    <row r="21003" spans="8:9">
      <c r="H21003" s="1092"/>
      <c r="I21003" s="1092"/>
    </row>
    <row r="21004" spans="8:9">
      <c r="H21004" s="1092"/>
      <c r="I21004" s="1092"/>
    </row>
    <row r="21005" spans="8:9">
      <c r="H21005" s="1092"/>
      <c r="I21005" s="1092"/>
    </row>
    <row r="21006" spans="8:9">
      <c r="H21006" s="1092"/>
      <c r="I21006" s="1092"/>
    </row>
    <row r="21007" spans="8:9">
      <c r="H21007" s="1092"/>
      <c r="I21007" s="1092"/>
    </row>
    <row r="21008" spans="8:9">
      <c r="H21008" s="1092"/>
      <c r="I21008" s="1092"/>
    </row>
    <row r="21009" spans="8:9">
      <c r="H21009" s="1092"/>
      <c r="I21009" s="1092"/>
    </row>
    <row r="21010" spans="8:9">
      <c r="H21010" s="1092"/>
      <c r="I21010" s="1092"/>
    </row>
    <row r="21011" spans="8:9">
      <c r="H21011" s="1092"/>
      <c r="I21011" s="1092"/>
    </row>
    <row r="21012" spans="8:9">
      <c r="H21012" s="1092"/>
      <c r="I21012" s="1092"/>
    </row>
    <row r="21013" spans="8:9">
      <c r="H21013" s="1092"/>
      <c r="I21013" s="1092"/>
    </row>
    <row r="21014" spans="8:9">
      <c r="H21014" s="1092"/>
      <c r="I21014" s="1092"/>
    </row>
    <row r="21015" spans="8:9">
      <c r="H21015" s="1092"/>
      <c r="I21015" s="1092"/>
    </row>
    <row r="21016" spans="8:9">
      <c r="H21016" s="1092"/>
      <c r="I21016" s="1092"/>
    </row>
    <row r="21017" spans="8:9">
      <c r="H21017" s="1092"/>
      <c r="I21017" s="1092"/>
    </row>
    <row r="21018" spans="8:9">
      <c r="H21018" s="1092"/>
      <c r="I21018" s="1092"/>
    </row>
    <row r="21019" spans="8:9">
      <c r="H21019" s="1092"/>
      <c r="I21019" s="1092"/>
    </row>
    <row r="21020" spans="8:9">
      <c r="H21020" s="1092"/>
      <c r="I21020" s="1092"/>
    </row>
    <row r="21021" spans="8:9">
      <c r="H21021" s="1092"/>
      <c r="I21021" s="1092"/>
    </row>
    <row r="21022" spans="8:9">
      <c r="H21022" s="1092"/>
      <c r="I21022" s="1092"/>
    </row>
    <row r="21023" spans="8:9">
      <c r="H21023" s="1092"/>
      <c r="I21023" s="1092"/>
    </row>
    <row r="21024" spans="8:9">
      <c r="H21024" s="1092"/>
      <c r="I21024" s="1092"/>
    </row>
    <row r="21025" spans="8:9">
      <c r="H21025" s="1092"/>
      <c r="I21025" s="1092"/>
    </row>
    <row r="21026" spans="8:9">
      <c r="H21026" s="1092"/>
      <c r="I21026" s="1092"/>
    </row>
    <row r="21027" spans="8:9">
      <c r="H21027" s="1092"/>
      <c r="I21027" s="1092"/>
    </row>
    <row r="21028" spans="8:9">
      <c r="H21028" s="1092"/>
      <c r="I21028" s="1092"/>
    </row>
    <row r="21029" spans="8:9">
      <c r="H21029" s="1092"/>
      <c r="I21029" s="1092"/>
    </row>
    <row r="21030" spans="8:9">
      <c r="H21030" s="1092"/>
      <c r="I21030" s="1092"/>
    </row>
    <row r="21031" spans="8:9">
      <c r="H21031" s="1092"/>
      <c r="I21031" s="1092"/>
    </row>
    <row r="21032" spans="8:9">
      <c r="H21032" s="1092"/>
      <c r="I21032" s="1092"/>
    </row>
    <row r="21033" spans="8:9">
      <c r="H21033" s="1092"/>
      <c r="I21033" s="1092"/>
    </row>
    <row r="21034" spans="8:9">
      <c r="H21034" s="1092"/>
      <c r="I21034" s="1092"/>
    </row>
    <row r="21035" spans="8:9">
      <c r="H21035" s="1092"/>
      <c r="I21035" s="1092"/>
    </row>
    <row r="21036" spans="8:9">
      <c r="H21036" s="1092"/>
      <c r="I21036" s="1092"/>
    </row>
    <row r="21037" spans="8:9">
      <c r="H21037" s="1092"/>
      <c r="I21037" s="1092"/>
    </row>
    <row r="21038" spans="8:9">
      <c r="H21038" s="1092"/>
      <c r="I21038" s="1092"/>
    </row>
    <row r="21039" spans="8:9">
      <c r="H21039" s="1092"/>
      <c r="I21039" s="1092"/>
    </row>
    <row r="21040" spans="8:9">
      <c r="H21040" s="1092"/>
      <c r="I21040" s="1092"/>
    </row>
    <row r="21041" spans="8:9">
      <c r="H21041" s="1092"/>
      <c r="I21041" s="1092"/>
    </row>
    <row r="21042" spans="8:9">
      <c r="H21042" s="1092"/>
      <c r="I21042" s="1092"/>
    </row>
    <row r="21043" spans="8:9">
      <c r="H21043" s="1092"/>
      <c r="I21043" s="1092"/>
    </row>
    <row r="21044" spans="8:9">
      <c r="H21044" s="1092"/>
      <c r="I21044" s="1092"/>
    </row>
    <row r="21045" spans="8:9">
      <c r="H21045" s="1092"/>
      <c r="I21045" s="1092"/>
    </row>
    <row r="21046" spans="8:9">
      <c r="H21046" s="1092"/>
      <c r="I21046" s="1092"/>
    </row>
    <row r="21047" spans="8:9">
      <c r="H21047" s="1092"/>
      <c r="I21047" s="1092"/>
    </row>
    <row r="21048" spans="8:9">
      <c r="H21048" s="1092"/>
      <c r="I21048" s="1092"/>
    </row>
    <row r="21049" spans="8:9">
      <c r="H21049" s="1092"/>
      <c r="I21049" s="1092"/>
    </row>
    <row r="21050" spans="8:9">
      <c r="H21050" s="1092"/>
      <c r="I21050" s="1092"/>
    </row>
    <row r="21051" spans="8:9">
      <c r="H21051" s="1092"/>
      <c r="I21051" s="1092"/>
    </row>
    <row r="21052" spans="8:9">
      <c r="H21052" s="1092"/>
      <c r="I21052" s="1092"/>
    </row>
    <row r="21053" spans="8:9">
      <c r="H21053" s="1092"/>
      <c r="I21053" s="1092"/>
    </row>
    <row r="21054" spans="8:9">
      <c r="H21054" s="1092"/>
      <c r="I21054" s="1092"/>
    </row>
    <row r="21055" spans="8:9">
      <c r="H21055" s="1092"/>
      <c r="I21055" s="1092"/>
    </row>
    <row r="21056" spans="8:9">
      <c r="H21056" s="1092"/>
      <c r="I21056" s="1092"/>
    </row>
    <row r="21057" spans="8:9">
      <c r="H21057" s="1092"/>
      <c r="I21057" s="1092"/>
    </row>
    <row r="21058" spans="8:9">
      <c r="H21058" s="1092"/>
      <c r="I21058" s="1092"/>
    </row>
    <row r="21059" spans="8:9">
      <c r="H21059" s="1092"/>
      <c r="I21059" s="1092"/>
    </row>
    <row r="21060" spans="8:9">
      <c r="H21060" s="1092"/>
      <c r="I21060" s="1092"/>
    </row>
    <row r="21061" spans="8:9">
      <c r="H21061" s="1092"/>
      <c r="I21061" s="1092"/>
    </row>
    <row r="21062" spans="8:9">
      <c r="H21062" s="1092"/>
      <c r="I21062" s="1092"/>
    </row>
    <row r="21063" spans="8:9">
      <c r="H21063" s="1092"/>
      <c r="I21063" s="1092"/>
    </row>
    <row r="21064" spans="8:9">
      <c r="H21064" s="1092"/>
      <c r="I21064" s="1092"/>
    </row>
    <row r="21065" spans="8:9">
      <c r="H21065" s="1092"/>
      <c r="I21065" s="1092"/>
    </row>
    <row r="21066" spans="8:9">
      <c r="H21066" s="1092"/>
      <c r="I21066" s="1092"/>
    </row>
    <row r="21067" spans="8:9">
      <c r="H21067" s="1092"/>
      <c r="I21067" s="1092"/>
    </row>
    <row r="21068" spans="8:9">
      <c r="H21068" s="1092"/>
      <c r="I21068" s="1092"/>
    </row>
    <row r="21069" spans="8:9">
      <c r="H21069" s="1092"/>
      <c r="I21069" s="1092"/>
    </row>
    <row r="21070" spans="8:9">
      <c r="H21070" s="1092"/>
      <c r="I21070" s="1092"/>
    </row>
    <row r="21071" spans="8:9">
      <c r="H21071" s="1092"/>
      <c r="I21071" s="1092"/>
    </row>
    <row r="21072" spans="8:9">
      <c r="H21072" s="1092"/>
      <c r="I21072" s="1092"/>
    </row>
    <row r="21073" spans="8:9">
      <c r="H21073" s="1092"/>
      <c r="I21073" s="1092"/>
    </row>
    <row r="21074" spans="8:9">
      <c r="H21074" s="1092"/>
      <c r="I21074" s="1092"/>
    </row>
    <row r="21075" spans="8:9">
      <c r="H21075" s="1092"/>
      <c r="I21075" s="1092"/>
    </row>
    <row r="21076" spans="8:9">
      <c r="H21076" s="1092"/>
      <c r="I21076" s="1092"/>
    </row>
    <row r="21077" spans="8:9">
      <c r="H21077" s="1092"/>
      <c r="I21077" s="1092"/>
    </row>
    <row r="21078" spans="8:9">
      <c r="H21078" s="1092"/>
      <c r="I21078" s="1092"/>
    </row>
    <row r="21079" spans="8:9">
      <c r="H21079" s="1092"/>
      <c r="I21079" s="1092"/>
    </row>
    <row r="21080" spans="8:9">
      <c r="H21080" s="1092"/>
      <c r="I21080" s="1092"/>
    </row>
    <row r="21081" spans="8:9">
      <c r="H21081" s="1092"/>
      <c r="I21081" s="1092"/>
    </row>
    <row r="21082" spans="8:9">
      <c r="H21082" s="1092"/>
      <c r="I21082" s="1092"/>
    </row>
    <row r="21083" spans="8:9">
      <c r="H21083" s="1092"/>
      <c r="I21083" s="1092"/>
    </row>
    <row r="21084" spans="8:9">
      <c r="H21084" s="1092"/>
      <c r="I21084" s="1092"/>
    </row>
    <row r="21085" spans="8:9">
      <c r="H21085" s="1092"/>
      <c r="I21085" s="1092"/>
    </row>
    <row r="21086" spans="8:9">
      <c r="H21086" s="1092"/>
      <c r="I21086" s="1092"/>
    </row>
    <row r="21087" spans="8:9">
      <c r="H21087" s="1092"/>
      <c r="I21087" s="1092"/>
    </row>
    <row r="21088" spans="8:9">
      <c r="H21088" s="1092"/>
      <c r="I21088" s="1092"/>
    </row>
    <row r="21089" spans="8:9">
      <c r="H21089" s="1092"/>
      <c r="I21089" s="1092"/>
    </row>
    <row r="21090" spans="8:9">
      <c r="H21090" s="1092"/>
      <c r="I21090" s="1092"/>
    </row>
    <row r="21091" spans="8:9">
      <c r="H21091" s="1092"/>
      <c r="I21091" s="1092"/>
    </row>
    <row r="21092" spans="8:9">
      <c r="H21092" s="1092"/>
      <c r="I21092" s="1092"/>
    </row>
    <row r="21093" spans="8:9">
      <c r="H21093" s="1092"/>
      <c r="I21093" s="1092"/>
    </row>
    <row r="21094" spans="8:9">
      <c r="H21094" s="1092"/>
      <c r="I21094" s="1092"/>
    </row>
    <row r="21095" spans="8:9">
      <c r="H21095" s="1092"/>
      <c r="I21095" s="1092"/>
    </row>
    <row r="21096" spans="8:9">
      <c r="H21096" s="1092"/>
      <c r="I21096" s="1092"/>
    </row>
    <row r="21097" spans="8:9">
      <c r="H21097" s="1092"/>
      <c r="I21097" s="1092"/>
    </row>
    <row r="21098" spans="8:9">
      <c r="H21098" s="1092"/>
      <c r="I21098" s="1092"/>
    </row>
    <row r="21099" spans="8:9">
      <c r="H21099" s="1092"/>
      <c r="I21099" s="1092"/>
    </row>
    <row r="21100" spans="8:9">
      <c r="H21100" s="1092"/>
      <c r="I21100" s="1092"/>
    </row>
    <row r="21101" spans="8:9">
      <c r="H21101" s="1092"/>
      <c r="I21101" s="1092"/>
    </row>
    <row r="21102" spans="8:9">
      <c r="H21102" s="1092"/>
      <c r="I21102" s="1092"/>
    </row>
    <row r="21103" spans="8:9">
      <c r="H21103" s="1092"/>
      <c r="I21103" s="1092"/>
    </row>
    <row r="21104" spans="8:9">
      <c r="H21104" s="1092"/>
      <c r="I21104" s="1092"/>
    </row>
    <row r="21105" spans="8:9">
      <c r="H21105" s="1092"/>
      <c r="I21105" s="1092"/>
    </row>
    <row r="21106" spans="8:9">
      <c r="H21106" s="1092"/>
      <c r="I21106" s="1092"/>
    </row>
    <row r="21107" spans="8:9">
      <c r="H21107" s="1092"/>
      <c r="I21107" s="1092"/>
    </row>
    <row r="21108" spans="8:9">
      <c r="H21108" s="1092"/>
      <c r="I21108" s="1092"/>
    </row>
    <row r="21109" spans="8:9">
      <c r="H21109" s="1092"/>
      <c r="I21109" s="1092"/>
    </row>
    <row r="21110" spans="8:9">
      <c r="H21110" s="1092"/>
      <c r="I21110" s="1092"/>
    </row>
    <row r="21111" spans="8:9">
      <c r="H21111" s="1092"/>
      <c r="I21111" s="1092"/>
    </row>
    <row r="21112" spans="8:9">
      <c r="H21112" s="1092"/>
      <c r="I21112" s="1092"/>
    </row>
    <row r="21113" spans="8:9">
      <c r="H21113" s="1092"/>
      <c r="I21113" s="1092"/>
    </row>
    <row r="21114" spans="8:9">
      <c r="H21114" s="1092"/>
      <c r="I21114" s="1092"/>
    </row>
    <row r="21115" spans="8:9">
      <c r="H21115" s="1092"/>
      <c r="I21115" s="1092"/>
    </row>
    <row r="21116" spans="8:9">
      <c r="H21116" s="1092"/>
      <c r="I21116" s="1092"/>
    </row>
    <row r="21117" spans="8:9">
      <c r="H21117" s="1092"/>
      <c r="I21117" s="1092"/>
    </row>
    <row r="21118" spans="8:9">
      <c r="H21118" s="1092"/>
      <c r="I21118" s="1092"/>
    </row>
    <row r="21119" spans="8:9">
      <c r="H21119" s="1092"/>
      <c r="I21119" s="1092"/>
    </row>
    <row r="21120" spans="8:9">
      <c r="H21120" s="1092"/>
      <c r="I21120" s="1092"/>
    </row>
    <row r="21121" spans="8:9">
      <c r="H21121" s="1092"/>
      <c r="I21121" s="1092"/>
    </row>
    <row r="21122" spans="8:9">
      <c r="H21122" s="1092"/>
      <c r="I21122" s="1092"/>
    </row>
    <row r="21123" spans="8:9">
      <c r="H21123" s="1092"/>
      <c r="I21123" s="1092"/>
    </row>
    <row r="21124" spans="8:9">
      <c r="H21124" s="1092"/>
      <c r="I21124" s="1092"/>
    </row>
    <row r="21125" spans="8:9">
      <c r="H21125" s="1092"/>
      <c r="I21125" s="1092"/>
    </row>
    <row r="21126" spans="8:9">
      <c r="H21126" s="1092"/>
      <c r="I21126" s="1092"/>
    </row>
    <row r="21127" spans="8:9">
      <c r="H21127" s="1092"/>
      <c r="I21127" s="1092"/>
    </row>
    <row r="21128" spans="8:9">
      <c r="H21128" s="1092"/>
      <c r="I21128" s="1092"/>
    </row>
    <row r="21129" spans="8:9">
      <c r="H21129" s="1092"/>
      <c r="I21129" s="1092"/>
    </row>
    <row r="21130" spans="8:9">
      <c r="H21130" s="1092"/>
      <c r="I21130" s="1092"/>
    </row>
    <row r="21131" spans="8:9">
      <c r="H21131" s="1092"/>
      <c r="I21131" s="1092"/>
    </row>
    <row r="21132" spans="8:9">
      <c r="H21132" s="1092"/>
      <c r="I21132" s="1092"/>
    </row>
    <row r="21133" spans="8:9">
      <c r="H21133" s="1092"/>
      <c r="I21133" s="1092"/>
    </row>
    <row r="21134" spans="8:9">
      <c r="H21134" s="1092"/>
      <c r="I21134" s="1092"/>
    </row>
    <row r="21135" spans="8:9">
      <c r="H21135" s="1092"/>
      <c r="I21135" s="1092"/>
    </row>
    <row r="21136" spans="8:9">
      <c r="H21136" s="1092"/>
      <c r="I21136" s="1092"/>
    </row>
    <row r="21137" spans="8:9">
      <c r="H21137" s="1092"/>
      <c r="I21137" s="1092"/>
    </row>
    <row r="21138" spans="8:9">
      <c r="H21138" s="1092"/>
      <c r="I21138" s="1092"/>
    </row>
    <row r="21139" spans="8:9">
      <c r="H21139" s="1092"/>
      <c r="I21139" s="1092"/>
    </row>
    <row r="21140" spans="8:9">
      <c r="H21140" s="1092"/>
      <c r="I21140" s="1092"/>
    </row>
    <row r="21141" spans="8:9">
      <c r="H21141" s="1092"/>
      <c r="I21141" s="1092"/>
    </row>
    <row r="21142" spans="8:9">
      <c r="H21142" s="1092"/>
      <c r="I21142" s="1092"/>
    </row>
    <row r="21143" spans="8:9">
      <c r="H21143" s="1092"/>
      <c r="I21143" s="1092"/>
    </row>
    <row r="21144" spans="8:9">
      <c r="H21144" s="1092"/>
      <c r="I21144" s="1092"/>
    </row>
    <row r="21145" spans="8:9">
      <c r="H21145" s="1092"/>
      <c r="I21145" s="1092"/>
    </row>
    <row r="21146" spans="8:9">
      <c r="H21146" s="1092"/>
      <c r="I21146" s="1092"/>
    </row>
    <row r="21147" spans="8:9">
      <c r="H21147" s="1092"/>
      <c r="I21147" s="1092"/>
    </row>
    <row r="21148" spans="8:9">
      <c r="H21148" s="1092"/>
      <c r="I21148" s="1092"/>
    </row>
    <row r="21149" spans="8:9">
      <c r="H21149" s="1092"/>
      <c r="I21149" s="1092"/>
    </row>
    <row r="21150" spans="8:9">
      <c r="H21150" s="1092"/>
      <c r="I21150" s="1092"/>
    </row>
    <row r="21151" spans="8:9">
      <c r="H21151" s="1092"/>
      <c r="I21151" s="1092"/>
    </row>
    <row r="21152" spans="8:9">
      <c r="H21152" s="1092"/>
      <c r="I21152" s="1092"/>
    </row>
    <row r="21153" spans="8:9">
      <c r="H21153" s="1092"/>
      <c r="I21153" s="1092"/>
    </row>
    <row r="21154" spans="8:9">
      <c r="H21154" s="1092"/>
      <c r="I21154" s="1092"/>
    </row>
    <row r="21155" spans="8:9">
      <c r="H21155" s="1092"/>
      <c r="I21155" s="1092"/>
    </row>
    <row r="21156" spans="8:9">
      <c r="H21156" s="1092"/>
      <c r="I21156" s="1092"/>
    </row>
    <row r="21157" spans="8:9">
      <c r="H21157" s="1092"/>
      <c r="I21157" s="1092"/>
    </row>
    <row r="21158" spans="8:9">
      <c r="H21158" s="1092"/>
      <c r="I21158" s="1092"/>
    </row>
    <row r="21159" spans="8:9">
      <c r="H21159" s="1092"/>
      <c r="I21159" s="1092"/>
    </row>
    <row r="21160" spans="8:9">
      <c r="H21160" s="1092"/>
      <c r="I21160" s="1092"/>
    </row>
    <row r="21161" spans="8:9">
      <c r="H21161" s="1092"/>
      <c r="I21161" s="1092"/>
    </row>
    <row r="21162" spans="8:9">
      <c r="H21162" s="1092"/>
      <c r="I21162" s="1092"/>
    </row>
    <row r="21163" spans="8:9">
      <c r="H21163" s="1092"/>
      <c r="I21163" s="1092"/>
    </row>
    <row r="21164" spans="8:9">
      <c r="H21164" s="1092"/>
      <c r="I21164" s="1092"/>
    </row>
    <row r="21165" spans="8:9">
      <c r="H21165" s="1092"/>
      <c r="I21165" s="1092"/>
    </row>
    <row r="21166" spans="8:9">
      <c r="H21166" s="1092"/>
      <c r="I21166" s="1092"/>
    </row>
    <row r="21167" spans="8:9">
      <c r="H21167" s="1092"/>
      <c r="I21167" s="1092"/>
    </row>
    <row r="21168" spans="8:9">
      <c r="H21168" s="1092"/>
      <c r="I21168" s="1092"/>
    </row>
    <row r="21169" spans="8:9">
      <c r="H21169" s="1092"/>
      <c r="I21169" s="1092"/>
    </row>
    <row r="21170" spans="8:9">
      <c r="H21170" s="1092"/>
      <c r="I21170" s="1092"/>
    </row>
    <row r="21171" spans="8:9">
      <c r="H21171" s="1092"/>
      <c r="I21171" s="1092"/>
    </row>
    <row r="21172" spans="8:9">
      <c r="H21172" s="1092"/>
      <c r="I21172" s="1092"/>
    </row>
    <row r="21173" spans="8:9">
      <c r="H21173" s="1092"/>
      <c r="I21173" s="1092"/>
    </row>
    <row r="21174" spans="8:9">
      <c r="H21174" s="1092"/>
      <c r="I21174" s="1092"/>
    </row>
    <row r="21175" spans="8:9">
      <c r="H21175" s="1092"/>
      <c r="I21175" s="1092"/>
    </row>
    <row r="21176" spans="8:9">
      <c r="H21176" s="1092"/>
      <c r="I21176" s="1092"/>
    </row>
    <row r="21177" spans="8:9">
      <c r="H21177" s="1092"/>
      <c r="I21177" s="1092"/>
    </row>
    <row r="21178" spans="8:9">
      <c r="H21178" s="1092"/>
      <c r="I21178" s="1092"/>
    </row>
    <row r="21179" spans="8:9">
      <c r="H21179" s="1092"/>
      <c r="I21179" s="1092"/>
    </row>
    <row r="21180" spans="8:9">
      <c r="H21180" s="1092"/>
      <c r="I21180" s="1092"/>
    </row>
    <row r="21181" spans="8:9">
      <c r="H21181" s="1092"/>
      <c r="I21181" s="1092"/>
    </row>
    <row r="21182" spans="8:9">
      <c r="H21182" s="1092"/>
      <c r="I21182" s="1092"/>
    </row>
    <row r="21183" spans="8:9">
      <c r="H21183" s="1092"/>
      <c r="I21183" s="1092"/>
    </row>
    <row r="21184" spans="8:9">
      <c r="H21184" s="1092"/>
      <c r="I21184" s="1092"/>
    </row>
    <row r="21185" spans="8:9">
      <c r="H21185" s="1092"/>
      <c r="I21185" s="1092"/>
    </row>
    <row r="21186" spans="8:9">
      <c r="H21186" s="1092"/>
      <c r="I21186" s="1092"/>
    </row>
    <row r="21187" spans="8:9">
      <c r="H21187" s="1092"/>
      <c r="I21187" s="1092"/>
    </row>
    <row r="21188" spans="8:9">
      <c r="H21188" s="1092"/>
      <c r="I21188" s="1092"/>
    </row>
    <row r="21189" spans="8:9">
      <c r="H21189" s="1092"/>
      <c r="I21189" s="1092"/>
    </row>
    <row r="21190" spans="8:9">
      <c r="H21190" s="1092"/>
      <c r="I21190" s="1092"/>
    </row>
    <row r="21191" spans="8:9">
      <c r="H21191" s="1092"/>
      <c r="I21191" s="1092"/>
    </row>
    <row r="21192" spans="8:9">
      <c r="H21192" s="1092"/>
      <c r="I21192" s="1092"/>
    </row>
    <row r="21193" spans="8:9">
      <c r="H21193" s="1092"/>
      <c r="I21193" s="1092"/>
    </row>
    <row r="21194" spans="8:9">
      <c r="H21194" s="1092"/>
      <c r="I21194" s="1092"/>
    </row>
    <row r="21195" spans="8:9">
      <c r="H21195" s="1092"/>
      <c r="I21195" s="1092"/>
    </row>
    <row r="21196" spans="8:9">
      <c r="H21196" s="1092"/>
      <c r="I21196" s="1092"/>
    </row>
    <row r="21197" spans="8:9">
      <c r="H21197" s="1092"/>
      <c r="I21197" s="1092"/>
    </row>
    <row r="21198" spans="8:9">
      <c r="H21198" s="1092"/>
      <c r="I21198" s="1092"/>
    </row>
    <row r="21199" spans="8:9">
      <c r="H21199" s="1092"/>
      <c r="I21199" s="1092"/>
    </row>
    <row r="21200" spans="8:9">
      <c r="H21200" s="1092"/>
      <c r="I21200" s="1092"/>
    </row>
    <row r="21201" spans="8:9">
      <c r="H21201" s="1092"/>
      <c r="I21201" s="1092"/>
    </row>
    <row r="21202" spans="8:9">
      <c r="H21202" s="1092"/>
      <c r="I21202" s="1092"/>
    </row>
    <row r="21203" spans="8:9">
      <c r="H21203" s="1092"/>
      <c r="I21203" s="1092"/>
    </row>
    <row r="21204" spans="8:9">
      <c r="H21204" s="1092"/>
      <c r="I21204" s="1092"/>
    </row>
    <row r="21205" spans="8:9">
      <c r="H21205" s="1092"/>
      <c r="I21205" s="1092"/>
    </row>
    <row r="21206" spans="8:9">
      <c r="H21206" s="1092"/>
      <c r="I21206" s="1092"/>
    </row>
    <row r="21207" spans="8:9">
      <c r="H21207" s="1092"/>
      <c r="I21207" s="1092"/>
    </row>
    <row r="21208" spans="8:9">
      <c r="H21208" s="1092"/>
      <c r="I21208" s="1092"/>
    </row>
    <row r="21209" spans="8:9">
      <c r="H21209" s="1092"/>
      <c r="I21209" s="1092"/>
    </row>
    <row r="21210" spans="8:9">
      <c r="H21210" s="1092"/>
      <c r="I21210" s="1092"/>
    </row>
    <row r="21211" spans="8:9">
      <c r="H21211" s="1092"/>
      <c r="I21211" s="1092"/>
    </row>
    <row r="21212" spans="8:9">
      <c r="H21212" s="1092"/>
      <c r="I21212" s="1092"/>
    </row>
    <row r="21213" spans="8:9">
      <c r="H21213" s="1092"/>
      <c r="I21213" s="1092"/>
    </row>
    <row r="21214" spans="8:9">
      <c r="H21214" s="1092"/>
      <c r="I21214" s="1092"/>
    </row>
    <row r="21215" spans="8:9">
      <c r="H21215" s="1092"/>
      <c r="I21215" s="1092"/>
    </row>
    <row r="21216" spans="8:9">
      <c r="H21216" s="1092"/>
      <c r="I21216" s="1092"/>
    </row>
    <row r="21217" spans="8:9">
      <c r="H21217" s="1092"/>
      <c r="I21217" s="1092"/>
    </row>
    <row r="21218" spans="8:9">
      <c r="H21218" s="1092"/>
      <c r="I21218" s="1092"/>
    </row>
    <row r="21219" spans="8:9">
      <c r="H21219" s="1092"/>
      <c r="I21219" s="1092"/>
    </row>
    <row r="21220" spans="8:9">
      <c r="H21220" s="1092"/>
      <c r="I21220" s="1092"/>
    </row>
    <row r="21221" spans="8:9">
      <c r="H21221" s="1092"/>
      <c r="I21221" s="1092"/>
    </row>
    <row r="21222" spans="8:9">
      <c r="H21222" s="1092"/>
      <c r="I21222" s="1092"/>
    </row>
    <row r="21223" spans="8:9">
      <c r="H21223" s="1092"/>
      <c r="I21223" s="1092"/>
    </row>
    <row r="21224" spans="8:9">
      <c r="H21224" s="1092"/>
      <c r="I21224" s="1092"/>
    </row>
    <row r="21225" spans="8:9">
      <c r="H21225" s="1092"/>
      <c r="I21225" s="1092"/>
    </row>
    <row r="21226" spans="8:9">
      <c r="H21226" s="1092"/>
      <c r="I21226" s="1092"/>
    </row>
    <row r="21227" spans="8:9">
      <c r="H21227" s="1092"/>
      <c r="I21227" s="1092"/>
    </row>
    <row r="21228" spans="8:9">
      <c r="H21228" s="1092"/>
      <c r="I21228" s="1092"/>
    </row>
    <row r="21229" spans="8:9">
      <c r="H21229" s="1092"/>
      <c r="I21229" s="1092"/>
    </row>
    <row r="21230" spans="8:9">
      <c r="H21230" s="1092"/>
      <c r="I21230" s="1092"/>
    </row>
    <row r="21231" spans="8:9">
      <c r="H21231" s="1092"/>
      <c r="I21231" s="1092"/>
    </row>
    <row r="21232" spans="8:9">
      <c r="H21232" s="1092"/>
      <c r="I21232" s="1092"/>
    </row>
    <row r="21233" spans="8:9">
      <c r="H21233" s="1092"/>
      <c r="I21233" s="1092"/>
    </row>
    <row r="21234" spans="8:9">
      <c r="H21234" s="1092"/>
      <c r="I21234" s="1092"/>
    </row>
    <row r="21235" spans="8:9">
      <c r="H21235" s="1092"/>
      <c r="I21235" s="1092"/>
    </row>
    <row r="21236" spans="8:9">
      <c r="H21236" s="1092"/>
      <c r="I21236" s="1092"/>
    </row>
    <row r="21237" spans="8:9">
      <c r="H21237" s="1092"/>
      <c r="I21237" s="1092"/>
    </row>
    <row r="21238" spans="8:9">
      <c r="H21238" s="1092"/>
      <c r="I21238" s="1092"/>
    </row>
    <row r="21239" spans="8:9">
      <c r="H21239" s="1092"/>
      <c r="I21239" s="1092"/>
    </row>
    <row r="21240" spans="8:9">
      <c r="H21240" s="1092"/>
      <c r="I21240" s="1092"/>
    </row>
    <row r="21241" spans="8:9">
      <c r="H21241" s="1092"/>
      <c r="I21241" s="1092"/>
    </row>
    <row r="21242" spans="8:9">
      <c r="H21242" s="1092"/>
      <c r="I21242" s="1092"/>
    </row>
    <row r="21243" spans="8:9">
      <c r="H21243" s="1092"/>
      <c r="I21243" s="1092"/>
    </row>
    <row r="21244" spans="8:9">
      <c r="H21244" s="1092"/>
      <c r="I21244" s="1092"/>
    </row>
    <row r="21245" spans="8:9">
      <c r="H21245" s="1092"/>
      <c r="I21245" s="1092"/>
    </row>
    <row r="21246" spans="8:9">
      <c r="H21246" s="1092"/>
      <c r="I21246" s="1092"/>
    </row>
    <row r="21247" spans="8:9">
      <c r="H21247" s="1092"/>
      <c r="I21247" s="1092"/>
    </row>
    <row r="21248" spans="8:9">
      <c r="H21248" s="1092"/>
      <c r="I21248" s="1092"/>
    </row>
    <row r="21249" spans="8:9">
      <c r="H21249" s="1092"/>
      <c r="I21249" s="1092"/>
    </row>
    <row r="21250" spans="8:9">
      <c r="H21250" s="1092"/>
      <c r="I21250" s="1092"/>
    </row>
    <row r="21251" spans="8:9">
      <c r="H21251" s="1092"/>
      <c r="I21251" s="1092"/>
    </row>
    <row r="21252" spans="8:9">
      <c r="H21252" s="1092"/>
      <c r="I21252" s="1092"/>
    </row>
    <row r="21253" spans="8:9">
      <c r="H21253" s="1092"/>
      <c r="I21253" s="1092"/>
    </row>
    <row r="21254" spans="8:9">
      <c r="H21254" s="1092"/>
      <c r="I21254" s="1092"/>
    </row>
    <row r="21255" spans="8:9">
      <c r="H21255" s="1092"/>
      <c r="I21255" s="1092"/>
    </row>
    <row r="21256" spans="8:9">
      <c r="H21256" s="1092"/>
      <c r="I21256" s="1092"/>
    </row>
    <row r="21257" spans="8:9">
      <c r="H21257" s="1092"/>
      <c r="I21257" s="1092"/>
    </row>
    <row r="21258" spans="8:9">
      <c r="H21258" s="1092"/>
      <c r="I21258" s="1092"/>
    </row>
    <row r="21259" spans="8:9">
      <c r="H21259" s="1092"/>
      <c r="I21259" s="1092"/>
    </row>
    <row r="21260" spans="8:9">
      <c r="H21260" s="1092"/>
      <c r="I21260" s="1092"/>
    </row>
    <row r="21261" spans="8:9">
      <c r="H21261" s="1092"/>
      <c r="I21261" s="1092"/>
    </row>
    <row r="21262" spans="8:9">
      <c r="H21262" s="1092"/>
      <c r="I21262" s="1092"/>
    </row>
    <row r="21263" spans="8:9">
      <c r="H21263" s="1092"/>
      <c r="I21263" s="1092"/>
    </row>
    <row r="21264" spans="8:9">
      <c r="H21264" s="1092"/>
      <c r="I21264" s="1092"/>
    </row>
    <row r="21265" spans="8:9">
      <c r="H21265" s="1092"/>
      <c r="I21265" s="1092"/>
    </row>
    <row r="21266" spans="8:9">
      <c r="H21266" s="1092"/>
      <c r="I21266" s="1092"/>
    </row>
    <row r="21267" spans="8:9">
      <c r="H21267" s="1092"/>
      <c r="I21267" s="1092"/>
    </row>
    <row r="21268" spans="8:9">
      <c r="H21268" s="1092"/>
      <c r="I21268" s="1092"/>
    </row>
    <row r="21269" spans="8:9">
      <c r="H21269" s="1092"/>
      <c r="I21269" s="1092"/>
    </row>
    <row r="21270" spans="8:9">
      <c r="H21270" s="1092"/>
      <c r="I21270" s="1092"/>
    </row>
    <row r="21271" spans="8:9">
      <c r="H21271" s="1092"/>
      <c r="I21271" s="1092"/>
    </row>
    <row r="21272" spans="8:9">
      <c r="H21272" s="1092"/>
      <c r="I21272" s="1092"/>
    </row>
    <row r="21273" spans="8:9">
      <c r="H21273" s="1092"/>
      <c r="I21273" s="1092"/>
    </row>
    <row r="21274" spans="8:9">
      <c r="H21274" s="1092"/>
      <c r="I21274" s="1092"/>
    </row>
    <row r="21275" spans="8:9">
      <c r="H21275" s="1092"/>
      <c r="I21275" s="1092"/>
    </row>
    <row r="21276" spans="8:9">
      <c r="H21276" s="1092"/>
      <c r="I21276" s="1092"/>
    </row>
    <row r="21277" spans="8:9">
      <c r="H21277" s="1092"/>
      <c r="I21277" s="1092"/>
    </row>
    <row r="21278" spans="8:9">
      <c r="H21278" s="1092"/>
      <c r="I21278" s="1092"/>
    </row>
    <row r="21279" spans="8:9">
      <c r="H21279" s="1092"/>
      <c r="I21279" s="1092"/>
    </row>
    <row r="21280" spans="8:9">
      <c r="H21280" s="1092"/>
      <c r="I21280" s="1092"/>
    </row>
    <row r="21281" spans="8:9">
      <c r="H21281" s="1092"/>
      <c r="I21281" s="1092"/>
    </row>
    <row r="21282" spans="8:9">
      <c r="H21282" s="1092"/>
      <c r="I21282" s="1092"/>
    </row>
    <row r="21283" spans="8:9">
      <c r="H21283" s="1092"/>
      <c r="I21283" s="1092"/>
    </row>
    <row r="21284" spans="8:9">
      <c r="H21284" s="1092"/>
      <c r="I21284" s="1092"/>
    </row>
    <row r="21285" spans="8:9">
      <c r="H21285" s="1092"/>
      <c r="I21285" s="1092"/>
    </row>
    <row r="21286" spans="8:9">
      <c r="H21286" s="1092"/>
      <c r="I21286" s="1092"/>
    </row>
    <row r="21287" spans="8:9">
      <c r="H21287" s="1092"/>
      <c r="I21287" s="1092"/>
    </row>
    <row r="21288" spans="8:9">
      <c r="H21288" s="1092"/>
      <c r="I21288" s="1092"/>
    </row>
    <row r="21289" spans="8:9">
      <c r="H21289" s="1092"/>
      <c r="I21289" s="1092"/>
    </row>
    <row r="21290" spans="8:9">
      <c r="H21290" s="1092"/>
      <c r="I21290" s="1092"/>
    </row>
    <row r="21291" spans="8:9">
      <c r="H21291" s="1092"/>
      <c r="I21291" s="1092"/>
    </row>
    <row r="21292" spans="8:9">
      <c r="H21292" s="1092"/>
      <c r="I21292" s="1092"/>
    </row>
    <row r="21293" spans="8:9">
      <c r="H21293" s="1092"/>
      <c r="I21293" s="1092"/>
    </row>
    <row r="21294" spans="8:9">
      <c r="H21294" s="1092"/>
      <c r="I21294" s="1092"/>
    </row>
    <row r="21295" spans="8:9">
      <c r="H21295" s="1092"/>
      <c r="I21295" s="1092"/>
    </row>
    <row r="21296" spans="8:9">
      <c r="H21296" s="1092"/>
      <c r="I21296" s="1092"/>
    </row>
    <row r="21297" spans="8:9">
      <c r="H21297" s="1092"/>
      <c r="I21297" s="1092"/>
    </row>
    <row r="21298" spans="8:9">
      <c r="H21298" s="1092"/>
      <c r="I21298" s="1092"/>
    </row>
    <row r="21299" spans="8:9">
      <c r="H21299" s="1092"/>
      <c r="I21299" s="1092"/>
    </row>
    <row r="21300" spans="8:9">
      <c r="H21300" s="1092"/>
      <c r="I21300" s="1092"/>
    </row>
    <row r="21301" spans="8:9">
      <c r="H21301" s="1092"/>
      <c r="I21301" s="1092"/>
    </row>
    <row r="21302" spans="8:9">
      <c r="H21302" s="1092"/>
      <c r="I21302" s="1092"/>
    </row>
    <row r="21303" spans="8:9">
      <c r="H21303" s="1092"/>
      <c r="I21303" s="1092"/>
    </row>
    <row r="21304" spans="8:9">
      <c r="H21304" s="1092"/>
      <c r="I21304" s="1092"/>
    </row>
    <row r="21305" spans="8:9">
      <c r="H21305" s="1092"/>
      <c r="I21305" s="1092"/>
    </row>
    <row r="21306" spans="8:9">
      <c r="H21306" s="1092"/>
      <c r="I21306" s="1092"/>
    </row>
    <row r="21307" spans="8:9">
      <c r="H21307" s="1092"/>
      <c r="I21307" s="1092"/>
    </row>
    <row r="21308" spans="8:9">
      <c r="H21308" s="1092"/>
      <c r="I21308" s="1092"/>
    </row>
    <row r="21309" spans="8:9">
      <c r="H21309" s="1092"/>
      <c r="I21309" s="1092"/>
    </row>
    <row r="21310" spans="8:9">
      <c r="H21310" s="1092"/>
      <c r="I21310" s="1092"/>
    </row>
    <row r="21311" spans="8:9">
      <c r="H21311" s="1092"/>
      <c r="I21311" s="1092"/>
    </row>
    <row r="21312" spans="8:9">
      <c r="H21312" s="1092"/>
      <c r="I21312" s="1092"/>
    </row>
    <row r="21313" spans="8:9">
      <c r="H21313" s="1092"/>
      <c r="I21313" s="1092"/>
    </row>
    <row r="21314" spans="8:9">
      <c r="H21314" s="1092"/>
      <c r="I21314" s="1092"/>
    </row>
    <row r="21315" spans="8:9">
      <c r="H21315" s="1092"/>
      <c r="I21315" s="1092"/>
    </row>
    <row r="21316" spans="8:9">
      <c r="H21316" s="1092"/>
      <c r="I21316" s="1092"/>
    </row>
    <row r="21317" spans="8:9">
      <c r="H21317" s="1092"/>
      <c r="I21317" s="1092"/>
    </row>
    <row r="21318" spans="8:9">
      <c r="H21318" s="1092"/>
      <c r="I21318" s="1092"/>
    </row>
    <row r="21319" spans="8:9">
      <c r="H21319" s="1092"/>
      <c r="I21319" s="1092"/>
    </row>
    <row r="21320" spans="8:9">
      <c r="H21320" s="1092"/>
      <c r="I21320" s="1092"/>
    </row>
    <row r="21321" spans="8:9">
      <c r="H21321" s="1092"/>
      <c r="I21321" s="1092"/>
    </row>
    <row r="21322" spans="8:9">
      <c r="H21322" s="1092"/>
      <c r="I21322" s="1092"/>
    </row>
    <row r="21323" spans="8:9">
      <c r="H21323" s="1092"/>
      <c r="I21323" s="1092"/>
    </row>
    <row r="21324" spans="8:9">
      <c r="H21324" s="1092"/>
      <c r="I21324" s="1092"/>
    </row>
    <row r="21325" spans="8:9">
      <c r="H21325" s="1092"/>
      <c r="I21325" s="1092"/>
    </row>
    <row r="21326" spans="8:9">
      <c r="H21326" s="1092"/>
      <c r="I21326" s="1092"/>
    </row>
    <row r="21327" spans="8:9">
      <c r="H21327" s="1092"/>
      <c r="I21327" s="1092"/>
    </row>
    <row r="21328" spans="8:9">
      <c r="H21328" s="1092"/>
      <c r="I21328" s="1092"/>
    </row>
    <row r="21329" spans="8:9">
      <c r="H21329" s="1092"/>
      <c r="I21329" s="1092"/>
    </row>
    <row r="21330" spans="8:9">
      <c r="H21330" s="1092"/>
      <c r="I21330" s="1092"/>
    </row>
    <row r="21331" spans="8:9">
      <c r="H21331" s="1092"/>
      <c r="I21331" s="1092"/>
    </row>
    <row r="21332" spans="8:9">
      <c r="H21332" s="1092"/>
      <c r="I21332" s="1092"/>
    </row>
    <row r="21333" spans="8:9">
      <c r="H21333" s="1092"/>
      <c r="I21333" s="1092"/>
    </row>
    <row r="21334" spans="8:9">
      <c r="H21334" s="1092"/>
      <c r="I21334" s="1092"/>
    </row>
    <row r="21335" spans="8:9">
      <c r="H21335" s="1092"/>
      <c r="I21335" s="1092"/>
    </row>
    <row r="21336" spans="8:9">
      <c r="H21336" s="1092"/>
      <c r="I21336" s="1092"/>
    </row>
    <row r="21337" spans="8:9">
      <c r="H21337" s="1092"/>
      <c r="I21337" s="1092"/>
    </row>
    <row r="21338" spans="8:9">
      <c r="H21338" s="1092"/>
      <c r="I21338" s="1092"/>
    </row>
    <row r="21339" spans="8:9">
      <c r="H21339" s="1092"/>
      <c r="I21339" s="1092"/>
    </row>
    <row r="21340" spans="8:9">
      <c r="H21340" s="1092"/>
      <c r="I21340" s="1092"/>
    </row>
    <row r="21341" spans="8:9">
      <c r="H21341" s="1092"/>
      <c r="I21341" s="1092"/>
    </row>
    <row r="21342" spans="8:9">
      <c r="H21342" s="1092"/>
      <c r="I21342" s="1092"/>
    </row>
    <row r="21343" spans="8:9">
      <c r="H21343" s="1092"/>
      <c r="I21343" s="1092"/>
    </row>
    <row r="21344" spans="8:9">
      <c r="H21344" s="1092"/>
      <c r="I21344" s="1092"/>
    </row>
    <row r="21345" spans="8:9">
      <c r="H21345" s="1092"/>
      <c r="I21345" s="1092"/>
    </row>
    <row r="21346" spans="8:9">
      <c r="H21346" s="1092"/>
      <c r="I21346" s="1092"/>
    </row>
    <row r="21347" spans="8:9">
      <c r="H21347" s="1092"/>
      <c r="I21347" s="1092"/>
    </row>
    <row r="21348" spans="8:9">
      <c r="H21348" s="1092"/>
      <c r="I21348" s="1092"/>
    </row>
    <row r="21349" spans="8:9">
      <c r="H21349" s="1092"/>
      <c r="I21349" s="1092"/>
    </row>
    <row r="21350" spans="8:9">
      <c r="H21350" s="1092"/>
      <c r="I21350" s="1092"/>
    </row>
    <row r="21351" spans="8:9">
      <c r="H21351" s="1092"/>
      <c r="I21351" s="1092"/>
    </row>
    <row r="21352" spans="8:9">
      <c r="H21352" s="1092"/>
      <c r="I21352" s="1092"/>
    </row>
    <row r="21353" spans="8:9">
      <c r="H21353" s="1092"/>
      <c r="I21353" s="1092"/>
    </row>
    <row r="21354" spans="8:9">
      <c r="H21354" s="1092"/>
      <c r="I21354" s="1092"/>
    </row>
    <row r="21355" spans="8:9">
      <c r="H21355" s="1092"/>
      <c r="I21355" s="1092"/>
    </row>
    <row r="21356" spans="8:9">
      <c r="H21356" s="1092"/>
      <c r="I21356" s="1092"/>
    </row>
    <row r="21357" spans="8:9">
      <c r="H21357" s="1092"/>
      <c r="I21357" s="1092"/>
    </row>
    <row r="21358" spans="8:9">
      <c r="H21358" s="1092"/>
      <c r="I21358" s="1092"/>
    </row>
    <row r="21359" spans="8:9">
      <c r="H21359" s="1092"/>
      <c r="I21359" s="1092"/>
    </row>
    <row r="21360" spans="8:9">
      <c r="H21360" s="1092"/>
      <c r="I21360" s="1092"/>
    </row>
    <row r="21361" spans="8:9">
      <c r="H21361" s="1092"/>
      <c r="I21361" s="1092"/>
    </row>
    <row r="21362" spans="8:9">
      <c r="H21362" s="1092"/>
      <c r="I21362" s="1092"/>
    </row>
    <row r="21363" spans="8:9">
      <c r="H21363" s="1092"/>
      <c r="I21363" s="1092"/>
    </row>
    <row r="21364" spans="8:9">
      <c r="H21364" s="1092"/>
      <c r="I21364" s="1092"/>
    </row>
    <row r="21365" spans="8:9">
      <c r="H21365" s="1092"/>
      <c r="I21365" s="1092"/>
    </row>
    <row r="21366" spans="8:9">
      <c r="H21366" s="1092"/>
      <c r="I21366" s="1092"/>
    </row>
    <row r="21367" spans="8:9">
      <c r="H21367" s="1092"/>
      <c r="I21367" s="1092"/>
    </row>
    <row r="21368" spans="8:9">
      <c r="H21368" s="1092"/>
      <c r="I21368" s="1092"/>
    </row>
    <row r="21369" spans="8:9">
      <c r="H21369" s="1092"/>
      <c r="I21369" s="1092"/>
    </row>
    <row r="21370" spans="8:9">
      <c r="H21370" s="1092"/>
      <c r="I21370" s="1092"/>
    </row>
    <row r="21371" spans="8:9">
      <c r="H21371" s="1092"/>
      <c r="I21371" s="1092"/>
    </row>
    <row r="21372" spans="8:9">
      <c r="H21372" s="1092"/>
      <c r="I21372" s="1092"/>
    </row>
    <row r="21373" spans="8:9">
      <c r="H21373" s="1092"/>
      <c r="I21373" s="1092"/>
    </row>
    <row r="21374" spans="8:9">
      <c r="H21374" s="1092"/>
      <c r="I21374" s="1092"/>
    </row>
    <row r="21375" spans="8:9">
      <c r="H21375" s="1092"/>
      <c r="I21375" s="1092"/>
    </row>
    <row r="21376" spans="8:9">
      <c r="H21376" s="1092"/>
      <c r="I21376" s="1092"/>
    </row>
    <row r="21377" spans="8:9">
      <c r="H21377" s="1092"/>
      <c r="I21377" s="1092"/>
    </row>
    <row r="21378" spans="8:9">
      <c r="H21378" s="1092"/>
      <c r="I21378" s="1092"/>
    </row>
    <row r="21379" spans="8:9">
      <c r="H21379" s="1092"/>
      <c r="I21379" s="1092"/>
    </row>
    <row r="21380" spans="8:9">
      <c r="H21380" s="1092"/>
      <c r="I21380" s="1092"/>
    </row>
    <row r="21381" spans="8:9">
      <c r="H21381" s="1092"/>
      <c r="I21381" s="1092"/>
    </row>
    <row r="21382" spans="8:9">
      <c r="H21382" s="1092"/>
      <c r="I21382" s="1092"/>
    </row>
    <row r="21383" spans="8:9">
      <c r="H21383" s="1092"/>
      <c r="I21383" s="1092"/>
    </row>
    <row r="21384" spans="8:9">
      <c r="H21384" s="1092"/>
      <c r="I21384" s="1092"/>
    </row>
    <row r="21385" spans="8:9">
      <c r="H21385" s="1092"/>
      <c r="I21385" s="1092"/>
    </row>
    <row r="21386" spans="8:9">
      <c r="H21386" s="1092"/>
      <c r="I21386" s="1092"/>
    </row>
    <row r="21387" spans="8:9">
      <c r="H21387" s="1092"/>
      <c r="I21387" s="1092"/>
    </row>
    <row r="21388" spans="8:9">
      <c r="H21388" s="1092"/>
      <c r="I21388" s="1092"/>
    </row>
    <row r="21389" spans="8:9">
      <c r="H21389" s="1092"/>
      <c r="I21389" s="1092"/>
    </row>
    <row r="21390" spans="8:9">
      <c r="H21390" s="1092"/>
      <c r="I21390" s="1092"/>
    </row>
    <row r="21391" spans="8:9">
      <c r="H21391" s="1092"/>
      <c r="I21391" s="1092"/>
    </row>
    <row r="21392" spans="8:9">
      <c r="H21392" s="1092"/>
      <c r="I21392" s="1092"/>
    </row>
    <row r="21393" spans="8:9">
      <c r="H21393" s="1092"/>
      <c r="I21393" s="1092"/>
    </row>
    <row r="21394" spans="8:9">
      <c r="H21394" s="1092"/>
      <c r="I21394" s="1092"/>
    </row>
    <row r="21395" spans="8:9">
      <c r="H21395" s="1092"/>
      <c r="I21395" s="1092"/>
    </row>
    <row r="21396" spans="8:9">
      <c r="H21396" s="1092"/>
      <c r="I21396" s="1092"/>
    </row>
    <row r="21397" spans="8:9">
      <c r="H21397" s="1092"/>
      <c r="I21397" s="1092"/>
    </row>
    <row r="21398" spans="8:9">
      <c r="H21398" s="1092"/>
      <c r="I21398" s="1092"/>
    </row>
    <row r="21399" spans="8:9">
      <c r="H21399" s="1092"/>
      <c r="I21399" s="1092"/>
    </row>
    <row r="21400" spans="8:9">
      <c r="H21400" s="1092"/>
      <c r="I21400" s="1092"/>
    </row>
    <row r="21401" spans="8:9">
      <c r="H21401" s="1092"/>
      <c r="I21401" s="1092"/>
    </row>
    <row r="21402" spans="8:9">
      <c r="H21402" s="1092"/>
      <c r="I21402" s="1092"/>
    </row>
    <row r="21403" spans="8:9">
      <c r="H21403" s="1092"/>
      <c r="I21403" s="1092"/>
    </row>
    <row r="21404" spans="8:9">
      <c r="H21404" s="1092"/>
      <c r="I21404" s="1092"/>
    </row>
    <row r="21405" spans="8:9">
      <c r="H21405" s="1092"/>
      <c r="I21405" s="1092"/>
    </row>
    <row r="21406" spans="8:9">
      <c r="H21406" s="1092"/>
      <c r="I21406" s="1092"/>
    </row>
    <row r="21407" spans="8:9">
      <c r="H21407" s="1092"/>
      <c r="I21407" s="1092"/>
    </row>
    <row r="21408" spans="8:9">
      <c r="H21408" s="1092"/>
      <c r="I21408" s="1092"/>
    </row>
    <row r="21409" spans="8:9">
      <c r="H21409" s="1092"/>
      <c r="I21409" s="1092"/>
    </row>
    <row r="21410" spans="8:9">
      <c r="H21410" s="1092"/>
      <c r="I21410" s="1092"/>
    </row>
    <row r="21411" spans="8:9">
      <c r="H21411" s="1092"/>
      <c r="I21411" s="1092"/>
    </row>
    <row r="21412" spans="8:9">
      <c r="H21412" s="1092"/>
      <c r="I21412" s="1092"/>
    </row>
    <row r="21413" spans="8:9">
      <c r="H21413" s="1092"/>
      <c r="I21413" s="1092"/>
    </row>
    <row r="21414" spans="8:9">
      <c r="H21414" s="1092"/>
      <c r="I21414" s="1092"/>
    </row>
    <row r="21415" spans="8:9">
      <c r="H21415" s="1092"/>
      <c r="I21415" s="1092"/>
    </row>
    <row r="21416" spans="8:9">
      <c r="H21416" s="1092"/>
      <c r="I21416" s="1092"/>
    </row>
    <row r="21417" spans="8:9">
      <c r="H21417" s="1092"/>
      <c r="I21417" s="1092"/>
    </row>
    <row r="21418" spans="8:9">
      <c r="H21418" s="1092"/>
      <c r="I21418" s="1092"/>
    </row>
    <row r="21419" spans="8:9">
      <c r="H21419" s="1092"/>
      <c r="I21419" s="1092"/>
    </row>
    <row r="21420" spans="8:9">
      <c r="H21420" s="1092"/>
      <c r="I21420" s="1092"/>
    </row>
    <row r="21421" spans="8:9">
      <c r="H21421" s="1092"/>
      <c r="I21421" s="1092"/>
    </row>
    <row r="21422" spans="8:9">
      <c r="H21422" s="1092"/>
      <c r="I21422" s="1092"/>
    </row>
    <row r="21423" spans="8:9">
      <c r="H21423" s="1092"/>
      <c r="I21423" s="1092"/>
    </row>
    <row r="21424" spans="8:9">
      <c r="H21424" s="1092"/>
      <c r="I21424" s="1092"/>
    </row>
    <row r="21425" spans="8:9">
      <c r="H21425" s="1092"/>
      <c r="I21425" s="1092"/>
    </row>
    <row r="21426" spans="8:9">
      <c r="H21426" s="1092"/>
      <c r="I21426" s="1092"/>
    </row>
    <row r="21427" spans="8:9">
      <c r="H21427" s="1092"/>
      <c r="I21427" s="1092"/>
    </row>
    <row r="21428" spans="8:9">
      <c r="H21428" s="1092"/>
      <c r="I21428" s="1092"/>
    </row>
    <row r="21429" spans="8:9">
      <c r="H21429" s="1092"/>
      <c r="I21429" s="1092"/>
    </row>
    <row r="21430" spans="8:9">
      <c r="H21430" s="1092"/>
      <c r="I21430" s="1092"/>
    </row>
    <row r="21431" spans="8:9">
      <c r="H21431" s="1092"/>
      <c r="I21431" s="1092"/>
    </row>
    <row r="21432" spans="8:9">
      <c r="H21432" s="1092"/>
      <c r="I21432" s="1092"/>
    </row>
    <row r="21433" spans="8:9">
      <c r="H21433" s="1092"/>
      <c r="I21433" s="1092"/>
    </row>
    <row r="21434" spans="8:9">
      <c r="H21434" s="1092"/>
      <c r="I21434" s="1092"/>
    </row>
    <row r="21435" spans="8:9">
      <c r="H21435" s="1092"/>
      <c r="I21435" s="1092"/>
    </row>
    <row r="21436" spans="8:9">
      <c r="H21436" s="1092"/>
      <c r="I21436" s="1092"/>
    </row>
    <row r="21437" spans="8:9">
      <c r="H21437" s="1092"/>
      <c r="I21437" s="1092"/>
    </row>
    <row r="21438" spans="8:9">
      <c r="H21438" s="1092"/>
      <c r="I21438" s="1092"/>
    </row>
    <row r="21439" spans="8:9">
      <c r="H21439" s="1092"/>
      <c r="I21439" s="1092"/>
    </row>
    <row r="21440" spans="8:9">
      <c r="H21440" s="1092"/>
      <c r="I21440" s="1092"/>
    </row>
    <row r="21441" spans="8:9">
      <c r="H21441" s="1092"/>
      <c r="I21441" s="1092"/>
    </row>
    <row r="21442" spans="8:9">
      <c r="H21442" s="1092"/>
      <c r="I21442" s="1092"/>
    </row>
    <row r="21443" spans="8:9">
      <c r="H21443" s="1092"/>
      <c r="I21443" s="1092"/>
    </row>
    <row r="21444" spans="8:9">
      <c r="H21444" s="1092"/>
      <c r="I21444" s="1092"/>
    </row>
    <row r="21445" spans="8:9">
      <c r="H21445" s="1092"/>
      <c r="I21445" s="1092"/>
    </row>
    <row r="21446" spans="8:9">
      <c r="H21446" s="1092"/>
      <c r="I21446" s="1092"/>
    </row>
    <row r="21447" spans="8:9">
      <c r="H21447" s="1092"/>
      <c r="I21447" s="1092"/>
    </row>
    <row r="21448" spans="8:9">
      <c r="H21448" s="1092"/>
      <c r="I21448" s="1092"/>
    </row>
    <row r="21449" spans="8:9">
      <c r="H21449" s="1092"/>
      <c r="I21449" s="1092"/>
    </row>
    <row r="21450" spans="8:9">
      <c r="H21450" s="1092"/>
      <c r="I21450" s="1092"/>
    </row>
    <row r="21451" spans="8:9">
      <c r="H21451" s="1092"/>
      <c r="I21451" s="1092"/>
    </row>
    <row r="21452" spans="8:9">
      <c r="H21452" s="1092"/>
      <c r="I21452" s="1092"/>
    </row>
    <row r="21453" spans="8:9">
      <c r="H21453" s="1092"/>
      <c r="I21453" s="1092"/>
    </row>
    <row r="21454" spans="8:9">
      <c r="H21454" s="1092"/>
      <c r="I21454" s="1092"/>
    </row>
    <row r="21455" spans="8:9">
      <c r="H21455" s="1092"/>
      <c r="I21455" s="1092"/>
    </row>
    <row r="21456" spans="8:9">
      <c r="H21456" s="1092"/>
      <c r="I21456" s="1092"/>
    </row>
    <row r="21457" spans="8:9">
      <c r="H21457" s="1092"/>
      <c r="I21457" s="1092"/>
    </row>
    <row r="21458" spans="8:9">
      <c r="H21458" s="1092"/>
      <c r="I21458" s="1092"/>
    </row>
    <row r="21459" spans="8:9">
      <c r="H21459" s="1092"/>
      <c r="I21459" s="1092"/>
    </row>
    <row r="21460" spans="8:9">
      <c r="H21460" s="1092"/>
      <c r="I21460" s="1092"/>
    </row>
    <row r="21461" spans="8:9">
      <c r="H21461" s="1092"/>
      <c r="I21461" s="1092"/>
    </row>
    <row r="21462" spans="8:9">
      <c r="H21462" s="1092"/>
      <c r="I21462" s="1092"/>
    </row>
    <row r="21463" spans="8:9">
      <c r="H21463" s="1092"/>
      <c r="I21463" s="1092"/>
    </row>
    <row r="21464" spans="8:9">
      <c r="H21464" s="1092"/>
      <c r="I21464" s="1092"/>
    </row>
    <row r="21465" spans="8:9">
      <c r="H21465" s="1092"/>
      <c r="I21465" s="1092"/>
    </row>
    <row r="21466" spans="8:9">
      <c r="H21466" s="1092"/>
      <c r="I21466" s="1092"/>
    </row>
    <row r="21467" spans="8:9">
      <c r="H21467" s="1092"/>
      <c r="I21467" s="1092"/>
    </row>
    <row r="21468" spans="8:9">
      <c r="H21468" s="1092"/>
      <c r="I21468" s="1092"/>
    </row>
    <row r="21469" spans="8:9">
      <c r="H21469" s="1092"/>
      <c r="I21469" s="1092"/>
    </row>
    <row r="21470" spans="8:9">
      <c r="H21470" s="1092"/>
      <c r="I21470" s="1092"/>
    </row>
    <row r="21471" spans="8:9">
      <c r="H21471" s="1092"/>
      <c r="I21471" s="1092"/>
    </row>
    <row r="21472" spans="8:9">
      <c r="H21472" s="1092"/>
      <c r="I21472" s="1092"/>
    </row>
    <row r="21473" spans="8:9">
      <c r="H21473" s="1092"/>
      <c r="I21473" s="1092"/>
    </row>
    <row r="21474" spans="8:9">
      <c r="H21474" s="1092"/>
      <c r="I21474" s="1092"/>
    </row>
    <row r="21475" spans="8:9">
      <c r="H21475" s="1092"/>
      <c r="I21475" s="1092"/>
    </row>
    <row r="21476" spans="8:9">
      <c r="H21476" s="1092"/>
      <c r="I21476" s="1092"/>
    </row>
    <row r="21477" spans="8:9">
      <c r="H21477" s="1092"/>
      <c r="I21477" s="1092"/>
    </row>
    <row r="21478" spans="8:9">
      <c r="H21478" s="1092"/>
      <c r="I21478" s="1092"/>
    </row>
    <row r="21479" spans="8:9">
      <c r="H21479" s="1092"/>
      <c r="I21479" s="1092"/>
    </row>
    <row r="21480" spans="8:9">
      <c r="H21480" s="1092"/>
      <c r="I21480" s="1092"/>
    </row>
    <row r="21481" spans="8:9">
      <c r="H21481" s="1092"/>
      <c r="I21481" s="1092"/>
    </row>
    <row r="21482" spans="8:9">
      <c r="H21482" s="1092"/>
      <c r="I21482" s="1092"/>
    </row>
    <row r="21483" spans="8:9">
      <c r="H21483" s="1092"/>
      <c r="I21483" s="1092"/>
    </row>
    <row r="21484" spans="8:9">
      <c r="H21484" s="1092"/>
      <c r="I21484" s="1092"/>
    </row>
    <row r="21485" spans="8:9">
      <c r="H21485" s="1092"/>
      <c r="I21485" s="1092"/>
    </row>
    <row r="21486" spans="8:9">
      <c r="H21486" s="1092"/>
      <c r="I21486" s="1092"/>
    </row>
    <row r="21487" spans="8:9">
      <c r="H21487" s="1092"/>
      <c r="I21487" s="1092"/>
    </row>
    <row r="21488" spans="8:9">
      <c r="H21488" s="1092"/>
      <c r="I21488" s="1092"/>
    </row>
    <row r="21489" spans="8:9">
      <c r="H21489" s="1092"/>
      <c r="I21489" s="1092"/>
    </row>
    <row r="21490" spans="8:9">
      <c r="H21490" s="1092"/>
      <c r="I21490" s="1092"/>
    </row>
    <row r="21491" spans="8:9">
      <c r="H21491" s="1092"/>
      <c r="I21491" s="1092"/>
    </row>
    <row r="21492" spans="8:9">
      <c r="H21492" s="1092"/>
      <c r="I21492" s="1092"/>
    </row>
    <row r="21493" spans="8:9">
      <c r="H21493" s="1092"/>
      <c r="I21493" s="1092"/>
    </row>
    <row r="21494" spans="8:9">
      <c r="H21494" s="1092"/>
      <c r="I21494" s="1092"/>
    </row>
    <row r="21495" spans="8:9">
      <c r="H21495" s="1092"/>
      <c r="I21495" s="1092"/>
    </row>
    <row r="21496" spans="8:9">
      <c r="H21496" s="1092"/>
      <c r="I21496" s="1092"/>
    </row>
    <row r="21497" spans="8:9">
      <c r="H21497" s="1092"/>
      <c r="I21497" s="1092"/>
    </row>
    <row r="21498" spans="8:9">
      <c r="H21498" s="1092"/>
      <c r="I21498" s="1092"/>
    </row>
    <row r="21499" spans="8:9">
      <c r="H21499" s="1092"/>
      <c r="I21499" s="1092"/>
    </row>
    <row r="21500" spans="8:9">
      <c r="H21500" s="1092"/>
      <c r="I21500" s="1092"/>
    </row>
    <row r="21501" spans="8:9">
      <c r="H21501" s="1092"/>
      <c r="I21501" s="1092"/>
    </row>
    <row r="21502" spans="8:9">
      <c r="H21502" s="1092"/>
      <c r="I21502" s="1092"/>
    </row>
    <row r="21503" spans="8:9">
      <c r="H21503" s="1092"/>
      <c r="I21503" s="1092"/>
    </row>
    <row r="21504" spans="8:9">
      <c r="H21504" s="1092"/>
      <c r="I21504" s="1092"/>
    </row>
    <row r="21505" spans="8:9">
      <c r="H21505" s="1092"/>
      <c r="I21505" s="1092"/>
    </row>
    <row r="21506" spans="8:9">
      <c r="H21506" s="1092"/>
      <c r="I21506" s="1092"/>
    </row>
    <row r="21507" spans="8:9">
      <c r="H21507" s="1092"/>
      <c r="I21507" s="1092"/>
    </row>
    <row r="21508" spans="8:9">
      <c r="H21508" s="1092"/>
      <c r="I21508" s="1092"/>
    </row>
    <row r="21509" spans="8:9">
      <c r="H21509" s="1092"/>
      <c r="I21509" s="1092"/>
    </row>
    <row r="21510" spans="8:9">
      <c r="H21510" s="1092"/>
      <c r="I21510" s="1092"/>
    </row>
    <row r="21511" spans="8:9">
      <c r="H21511" s="1092"/>
      <c r="I21511" s="1092"/>
    </row>
    <row r="21512" spans="8:9">
      <c r="H21512" s="1092"/>
      <c r="I21512" s="1092"/>
    </row>
    <row r="21513" spans="8:9">
      <c r="H21513" s="1092"/>
      <c r="I21513" s="1092"/>
    </row>
    <row r="21514" spans="8:9">
      <c r="H21514" s="1092"/>
      <c r="I21514" s="1092"/>
    </row>
    <row r="21515" spans="8:9">
      <c r="H21515" s="1092"/>
      <c r="I21515" s="1092"/>
    </row>
    <row r="21516" spans="8:9">
      <c r="H21516" s="1092"/>
      <c r="I21516" s="1092"/>
    </row>
    <row r="21517" spans="8:9">
      <c r="H21517" s="1092"/>
      <c r="I21517" s="1092"/>
    </row>
    <row r="21518" spans="8:9">
      <c r="H21518" s="1092"/>
      <c r="I21518" s="1092"/>
    </row>
    <row r="21519" spans="8:9">
      <c r="H21519" s="1092"/>
      <c r="I21519" s="1092"/>
    </row>
    <row r="21520" spans="8:9">
      <c r="H21520" s="1092"/>
      <c r="I21520" s="1092"/>
    </row>
    <row r="21521" spans="8:9">
      <c r="H21521" s="1092"/>
      <c r="I21521" s="1092"/>
    </row>
    <row r="21522" spans="8:9">
      <c r="H21522" s="1092"/>
      <c r="I21522" s="1092"/>
    </row>
    <row r="21523" spans="8:9">
      <c r="H21523" s="1092"/>
      <c r="I21523" s="1092"/>
    </row>
    <row r="21524" spans="8:9">
      <c r="H21524" s="1092"/>
      <c r="I21524" s="1092"/>
    </row>
    <row r="21525" spans="8:9">
      <c r="H21525" s="1092"/>
      <c r="I21525" s="1092"/>
    </row>
    <row r="21526" spans="8:9">
      <c r="H21526" s="1092"/>
      <c r="I21526" s="1092"/>
    </row>
    <row r="21527" spans="8:9">
      <c r="H21527" s="1092"/>
      <c r="I21527" s="1092"/>
    </row>
    <row r="21528" spans="8:9">
      <c r="H21528" s="1092"/>
      <c r="I21528" s="1092"/>
    </row>
    <row r="21529" spans="8:9">
      <c r="H21529" s="1092"/>
      <c r="I21529" s="1092"/>
    </row>
    <row r="21530" spans="8:9">
      <c r="H21530" s="1092"/>
      <c r="I21530" s="1092"/>
    </row>
    <row r="21531" spans="8:9">
      <c r="H21531" s="1092"/>
      <c r="I21531" s="1092"/>
    </row>
    <row r="21532" spans="8:9">
      <c r="H21532" s="1092"/>
      <c r="I21532" s="1092"/>
    </row>
    <row r="21533" spans="8:9">
      <c r="H21533" s="1092"/>
      <c r="I21533" s="1092"/>
    </row>
    <row r="21534" spans="8:9">
      <c r="H21534" s="1092"/>
      <c r="I21534" s="1092"/>
    </row>
    <row r="21535" spans="8:9">
      <c r="H21535" s="1092"/>
      <c r="I21535" s="1092"/>
    </row>
    <row r="21536" spans="8:9">
      <c r="H21536" s="1092"/>
      <c r="I21536" s="1092"/>
    </row>
    <row r="21537" spans="8:9">
      <c r="H21537" s="1092"/>
      <c r="I21537" s="1092"/>
    </row>
    <row r="21538" spans="8:9">
      <c r="H21538" s="1092"/>
      <c r="I21538" s="1092"/>
    </row>
    <row r="21539" spans="8:9">
      <c r="H21539" s="1092"/>
      <c r="I21539" s="1092"/>
    </row>
    <row r="21540" spans="8:9">
      <c r="H21540" s="1092"/>
      <c r="I21540" s="1092"/>
    </row>
    <row r="21541" spans="8:9">
      <c r="H21541" s="1092"/>
      <c r="I21541" s="1092"/>
    </row>
    <row r="21542" spans="8:9">
      <c r="H21542" s="1092"/>
      <c r="I21542" s="1092"/>
    </row>
    <row r="21543" spans="8:9">
      <c r="H21543" s="1092"/>
      <c r="I21543" s="1092"/>
    </row>
    <row r="21544" spans="8:9">
      <c r="H21544" s="1092"/>
      <c r="I21544" s="1092"/>
    </row>
    <row r="21545" spans="8:9">
      <c r="H21545" s="1092"/>
      <c r="I21545" s="1092"/>
    </row>
    <row r="21546" spans="8:9">
      <c r="H21546" s="1092"/>
      <c r="I21546" s="1092"/>
    </row>
    <row r="21547" spans="8:9">
      <c r="H21547" s="1092"/>
      <c r="I21547" s="1092"/>
    </row>
    <row r="21548" spans="8:9">
      <c r="H21548" s="1092"/>
      <c r="I21548" s="1092"/>
    </row>
    <row r="21549" spans="8:9">
      <c r="H21549" s="1092"/>
      <c r="I21549" s="1092"/>
    </row>
    <row r="21550" spans="8:9">
      <c r="H21550" s="1092"/>
      <c r="I21550" s="1092"/>
    </row>
    <row r="21551" spans="8:9">
      <c r="H21551" s="1092"/>
      <c r="I21551" s="1092"/>
    </row>
    <row r="21552" spans="8:9">
      <c r="H21552" s="1092"/>
      <c r="I21552" s="1092"/>
    </row>
    <row r="21553" spans="8:9">
      <c r="H21553" s="1092"/>
      <c r="I21553" s="1092"/>
    </row>
    <row r="21554" spans="8:9">
      <c r="H21554" s="1092"/>
      <c r="I21554" s="1092"/>
    </row>
    <row r="21555" spans="8:9">
      <c r="H21555" s="1092"/>
      <c r="I21555" s="1092"/>
    </row>
    <row r="21556" spans="8:9">
      <c r="H21556" s="1092"/>
      <c r="I21556" s="1092"/>
    </row>
    <row r="21557" spans="8:9">
      <c r="H21557" s="1092"/>
      <c r="I21557" s="1092"/>
    </row>
    <row r="21558" spans="8:9">
      <c r="H21558" s="1092"/>
      <c r="I21558" s="1092"/>
    </row>
    <row r="21559" spans="8:9">
      <c r="H21559" s="1092"/>
      <c r="I21559" s="1092"/>
    </row>
    <row r="21560" spans="8:9">
      <c r="H21560" s="1092"/>
      <c r="I21560" s="1092"/>
    </row>
    <row r="21561" spans="8:9">
      <c r="H21561" s="1092"/>
      <c r="I21561" s="1092"/>
    </row>
    <row r="21562" spans="8:9">
      <c r="H21562" s="1092"/>
      <c r="I21562" s="1092"/>
    </row>
    <row r="21563" spans="8:9">
      <c r="H21563" s="1092"/>
      <c r="I21563" s="1092"/>
    </row>
    <row r="21564" spans="8:9">
      <c r="H21564" s="1092"/>
      <c r="I21564" s="1092"/>
    </row>
    <row r="21565" spans="8:9">
      <c r="H21565" s="1092"/>
      <c r="I21565" s="1092"/>
    </row>
    <row r="21566" spans="8:9">
      <c r="H21566" s="1092"/>
      <c r="I21566" s="1092"/>
    </row>
    <row r="21567" spans="8:9">
      <c r="H21567" s="1092"/>
      <c r="I21567" s="1092"/>
    </row>
    <row r="21568" spans="8:9">
      <c r="H21568" s="1092"/>
      <c r="I21568" s="1092"/>
    </row>
    <row r="21569" spans="8:9">
      <c r="H21569" s="1092"/>
      <c r="I21569" s="1092"/>
    </row>
    <row r="21570" spans="8:9">
      <c r="H21570" s="1092"/>
      <c r="I21570" s="1092"/>
    </row>
    <row r="21571" spans="8:9">
      <c r="H21571" s="1092"/>
      <c r="I21571" s="1092"/>
    </row>
    <row r="21572" spans="8:9">
      <c r="H21572" s="1092"/>
      <c r="I21572" s="1092"/>
    </row>
    <row r="21573" spans="8:9">
      <c r="H21573" s="1092"/>
      <c r="I21573" s="1092"/>
    </row>
    <row r="21574" spans="8:9">
      <c r="H21574" s="1092"/>
      <c r="I21574" s="1092"/>
    </row>
    <row r="21575" spans="8:9">
      <c r="H21575" s="1092"/>
      <c r="I21575" s="1092"/>
    </row>
    <row r="21576" spans="8:9">
      <c r="H21576" s="1092"/>
      <c r="I21576" s="1092"/>
    </row>
    <row r="21577" spans="8:9">
      <c r="H21577" s="1092"/>
      <c r="I21577" s="1092"/>
    </row>
    <row r="21578" spans="8:9">
      <c r="H21578" s="1092"/>
      <c r="I21578" s="1092"/>
    </row>
    <row r="21579" spans="8:9">
      <c r="H21579" s="1092"/>
      <c r="I21579" s="1092"/>
    </row>
    <row r="21580" spans="8:9">
      <c r="H21580" s="1092"/>
      <c r="I21580" s="1092"/>
    </row>
    <row r="21581" spans="8:9">
      <c r="H21581" s="1092"/>
      <c r="I21581" s="1092"/>
    </row>
    <row r="21582" spans="8:9">
      <c r="H21582" s="1092"/>
      <c r="I21582" s="1092"/>
    </row>
    <row r="21583" spans="8:9">
      <c r="H21583" s="1092"/>
      <c r="I21583" s="1092"/>
    </row>
    <row r="21584" spans="8:9">
      <c r="H21584" s="1092"/>
      <c r="I21584" s="1092"/>
    </row>
    <row r="21585" spans="8:9">
      <c r="H21585" s="1092"/>
      <c r="I21585" s="1092"/>
    </row>
    <row r="21586" spans="8:9">
      <c r="H21586" s="1092"/>
      <c r="I21586" s="1092"/>
    </row>
    <row r="21587" spans="8:9">
      <c r="H21587" s="1092"/>
      <c r="I21587" s="1092"/>
    </row>
    <row r="21588" spans="8:9">
      <c r="H21588" s="1092"/>
      <c r="I21588" s="1092"/>
    </row>
    <row r="21589" spans="8:9">
      <c r="H21589" s="1092"/>
      <c r="I21589" s="1092"/>
    </row>
    <row r="21590" spans="8:9">
      <c r="H21590" s="1092"/>
      <c r="I21590" s="1092"/>
    </row>
    <row r="21591" spans="8:9">
      <c r="H21591" s="1092"/>
      <c r="I21591" s="1092"/>
    </row>
    <row r="21592" spans="8:9">
      <c r="H21592" s="1092"/>
      <c r="I21592" s="1092"/>
    </row>
    <row r="21593" spans="8:9">
      <c r="H21593" s="1092"/>
      <c r="I21593" s="1092"/>
    </row>
    <row r="21594" spans="8:9">
      <c r="H21594" s="1092"/>
      <c r="I21594" s="1092"/>
    </row>
    <row r="21595" spans="8:9">
      <c r="H21595" s="1092"/>
      <c r="I21595" s="1092"/>
    </row>
    <row r="21596" spans="8:9">
      <c r="H21596" s="1092"/>
      <c r="I21596" s="1092"/>
    </row>
    <row r="21597" spans="8:9">
      <c r="H21597" s="1092"/>
      <c r="I21597" s="1092"/>
    </row>
    <row r="21598" spans="8:9">
      <c r="H21598" s="1092"/>
      <c r="I21598" s="1092"/>
    </row>
    <row r="21599" spans="8:9">
      <c r="H21599" s="1092"/>
      <c r="I21599" s="1092"/>
    </row>
    <row r="21600" spans="8:9">
      <c r="H21600" s="1092"/>
      <c r="I21600" s="1092"/>
    </row>
    <row r="21601" spans="8:9">
      <c r="H21601" s="1092"/>
      <c r="I21601" s="1092"/>
    </row>
    <row r="21602" spans="8:9">
      <c r="H21602" s="1092"/>
      <c r="I21602" s="1092"/>
    </row>
    <row r="21603" spans="8:9">
      <c r="H21603" s="1092"/>
      <c r="I21603" s="1092"/>
    </row>
    <row r="21604" spans="8:9">
      <c r="H21604" s="1092"/>
      <c r="I21604" s="1092"/>
    </row>
    <row r="21605" spans="8:9">
      <c r="H21605" s="1092"/>
      <c r="I21605" s="1092"/>
    </row>
    <row r="21606" spans="8:9">
      <c r="H21606" s="1092"/>
      <c r="I21606" s="1092"/>
    </row>
    <row r="21607" spans="8:9">
      <c r="H21607" s="1092"/>
      <c r="I21607" s="1092"/>
    </row>
    <row r="21608" spans="8:9">
      <c r="H21608" s="1092"/>
      <c r="I21608" s="1092"/>
    </row>
    <row r="21609" spans="8:9">
      <c r="H21609" s="1092"/>
      <c r="I21609" s="1092"/>
    </row>
    <row r="21610" spans="8:9">
      <c r="H21610" s="1092"/>
      <c r="I21610" s="1092"/>
    </row>
    <row r="21611" spans="8:9">
      <c r="H21611" s="1092"/>
      <c r="I21611" s="1092"/>
    </row>
    <row r="21612" spans="8:9">
      <c r="H21612" s="1092"/>
      <c r="I21612" s="1092"/>
    </row>
    <row r="21613" spans="8:9">
      <c r="H21613" s="1092"/>
      <c r="I21613" s="1092"/>
    </row>
    <row r="21614" spans="8:9">
      <c r="H21614" s="1092"/>
      <c r="I21614" s="1092"/>
    </row>
    <row r="21615" spans="8:9">
      <c r="H21615" s="1092"/>
      <c r="I21615" s="1092"/>
    </row>
    <row r="21616" spans="8:9">
      <c r="H21616" s="1092"/>
      <c r="I21616" s="1092"/>
    </row>
    <row r="21617" spans="8:9">
      <c r="H21617" s="1092"/>
      <c r="I21617" s="1092"/>
    </row>
    <row r="21618" spans="8:9">
      <c r="H21618" s="1092"/>
      <c r="I21618" s="1092"/>
    </row>
    <row r="21619" spans="8:9">
      <c r="H21619" s="1092"/>
      <c r="I21619" s="1092"/>
    </row>
    <row r="21620" spans="8:9">
      <c r="H21620" s="1092"/>
      <c r="I21620" s="1092"/>
    </row>
    <row r="21621" spans="8:9">
      <c r="H21621" s="1092"/>
      <c r="I21621" s="1092"/>
    </row>
    <row r="21622" spans="8:9">
      <c r="H21622" s="1092"/>
      <c r="I21622" s="1092"/>
    </row>
    <row r="21623" spans="8:9">
      <c r="H21623" s="1092"/>
      <c r="I21623" s="1092"/>
    </row>
    <row r="21624" spans="8:9">
      <c r="H21624" s="1092"/>
      <c r="I21624" s="1092"/>
    </row>
    <row r="21625" spans="8:9">
      <c r="H21625" s="1092"/>
      <c r="I21625" s="1092"/>
    </row>
    <row r="21626" spans="8:9">
      <c r="H21626" s="1092"/>
      <c r="I21626" s="1092"/>
    </row>
    <row r="21627" spans="8:9">
      <c r="H21627" s="1092"/>
      <c r="I21627" s="1092"/>
    </row>
    <row r="21628" spans="8:9">
      <c r="H21628" s="1092"/>
      <c r="I21628" s="1092"/>
    </row>
    <row r="21629" spans="8:9">
      <c r="H21629" s="1092"/>
      <c r="I21629" s="1092"/>
    </row>
    <row r="21630" spans="8:9">
      <c r="H21630" s="1092"/>
      <c r="I21630" s="1092"/>
    </row>
    <row r="21631" spans="8:9">
      <c r="H21631" s="1092"/>
      <c r="I21631" s="1092"/>
    </row>
    <row r="21632" spans="8:9">
      <c r="H21632" s="1092"/>
      <c r="I21632" s="1092"/>
    </row>
    <row r="21633" spans="8:9">
      <c r="H21633" s="1092"/>
      <c r="I21633" s="1092"/>
    </row>
    <row r="21634" spans="8:9">
      <c r="H21634" s="1092"/>
      <c r="I21634" s="1092"/>
    </row>
    <row r="21635" spans="8:9">
      <c r="H21635" s="1092"/>
      <c r="I21635" s="1092"/>
    </row>
    <row r="21636" spans="8:9">
      <c r="H21636" s="1092"/>
      <c r="I21636" s="1092"/>
    </row>
    <row r="21637" spans="8:9">
      <c r="H21637" s="1092"/>
      <c r="I21637" s="1092"/>
    </row>
    <row r="21638" spans="8:9">
      <c r="H21638" s="1092"/>
      <c r="I21638" s="1092"/>
    </row>
    <row r="21639" spans="8:9">
      <c r="H21639" s="1092"/>
      <c r="I21639" s="1092"/>
    </row>
    <row r="21640" spans="8:9">
      <c r="H21640" s="1092"/>
      <c r="I21640" s="1092"/>
    </row>
    <row r="21641" spans="8:9">
      <c r="H21641" s="1092"/>
      <c r="I21641" s="1092"/>
    </row>
    <row r="21642" spans="8:9">
      <c r="H21642" s="1092"/>
      <c r="I21642" s="1092"/>
    </row>
    <row r="21643" spans="8:9">
      <c r="H21643" s="1092"/>
      <c r="I21643" s="1092"/>
    </row>
    <row r="21644" spans="8:9">
      <c r="H21644" s="1092"/>
      <c r="I21644" s="1092"/>
    </row>
    <row r="21645" spans="8:9">
      <c r="H21645" s="1092"/>
      <c r="I21645" s="1092"/>
    </row>
    <row r="21646" spans="8:9">
      <c r="H21646" s="1092"/>
      <c r="I21646" s="1092"/>
    </row>
    <row r="21647" spans="8:9">
      <c r="H21647" s="1092"/>
      <c r="I21647" s="1092"/>
    </row>
    <row r="21648" spans="8:9">
      <c r="H21648" s="1092"/>
      <c r="I21648" s="1092"/>
    </row>
    <row r="21649" spans="8:9">
      <c r="H21649" s="1092"/>
      <c r="I21649" s="1092"/>
    </row>
    <row r="21650" spans="8:9">
      <c r="H21650" s="1092"/>
      <c r="I21650" s="1092"/>
    </row>
    <row r="21651" spans="8:9">
      <c r="H21651" s="1092"/>
      <c r="I21651" s="1092"/>
    </row>
    <row r="21652" spans="8:9">
      <c r="H21652" s="1092"/>
      <c r="I21652" s="1092"/>
    </row>
    <row r="21653" spans="8:9">
      <c r="H21653" s="1092"/>
      <c r="I21653" s="1092"/>
    </row>
    <row r="21654" spans="8:9">
      <c r="H21654" s="1092"/>
      <c r="I21654" s="1092"/>
    </row>
    <row r="21655" spans="8:9">
      <c r="H21655" s="1092"/>
      <c r="I21655" s="1092"/>
    </row>
    <row r="21656" spans="8:9">
      <c r="H21656" s="1092"/>
      <c r="I21656" s="1092"/>
    </row>
    <row r="21657" spans="8:9">
      <c r="H21657" s="1092"/>
      <c r="I21657" s="1092"/>
    </row>
    <row r="21658" spans="8:9">
      <c r="H21658" s="1092"/>
      <c r="I21658" s="1092"/>
    </row>
    <row r="21659" spans="8:9">
      <c r="H21659" s="1092"/>
      <c r="I21659" s="1092"/>
    </row>
    <row r="21660" spans="8:9">
      <c r="H21660" s="1092"/>
      <c r="I21660" s="1092"/>
    </row>
    <row r="21661" spans="8:9">
      <c r="H21661" s="1092"/>
      <c r="I21661" s="1092"/>
    </row>
    <row r="21662" spans="8:9">
      <c r="H21662" s="1092"/>
      <c r="I21662" s="1092"/>
    </row>
    <row r="21663" spans="8:9">
      <c r="H21663" s="1092"/>
      <c r="I21663" s="1092"/>
    </row>
    <row r="21664" spans="8:9">
      <c r="H21664" s="1092"/>
      <c r="I21664" s="1092"/>
    </row>
    <row r="21665" spans="8:9">
      <c r="H21665" s="1092"/>
      <c r="I21665" s="1092"/>
    </row>
    <row r="21666" spans="8:9">
      <c r="H21666" s="1092"/>
      <c r="I21666" s="1092"/>
    </row>
    <row r="21667" spans="8:9">
      <c r="H21667" s="1092"/>
      <c r="I21667" s="1092"/>
    </row>
    <row r="21668" spans="8:9">
      <c r="H21668" s="1092"/>
      <c r="I21668" s="1092"/>
    </row>
    <row r="21669" spans="8:9">
      <c r="H21669" s="1092"/>
      <c r="I21669" s="1092"/>
    </row>
    <row r="21670" spans="8:9">
      <c r="H21670" s="1092"/>
      <c r="I21670" s="1092"/>
    </row>
    <row r="21671" spans="8:9">
      <c r="H21671" s="1092"/>
      <c r="I21671" s="1092"/>
    </row>
    <row r="21672" spans="8:9">
      <c r="H21672" s="1092"/>
      <c r="I21672" s="1092"/>
    </row>
    <row r="21673" spans="8:9">
      <c r="H21673" s="1092"/>
      <c r="I21673" s="1092"/>
    </row>
    <row r="21674" spans="8:9">
      <c r="H21674" s="1092"/>
      <c r="I21674" s="1092"/>
    </row>
    <row r="21675" spans="8:9">
      <c r="H21675" s="1092"/>
      <c r="I21675" s="1092"/>
    </row>
    <row r="21676" spans="8:9">
      <c r="H21676" s="1092"/>
      <c r="I21676" s="1092"/>
    </row>
    <row r="21677" spans="8:9">
      <c r="H21677" s="1092"/>
      <c r="I21677" s="1092"/>
    </row>
    <row r="21678" spans="8:9">
      <c r="H21678" s="1092"/>
      <c r="I21678" s="1092"/>
    </row>
    <row r="21679" spans="8:9">
      <c r="H21679" s="1092"/>
      <c r="I21679" s="1092"/>
    </row>
    <row r="21680" spans="8:9">
      <c r="H21680" s="1092"/>
      <c r="I21680" s="1092"/>
    </row>
    <row r="21681" spans="8:9">
      <c r="H21681" s="1092"/>
      <c r="I21681" s="1092"/>
    </row>
    <row r="21682" spans="8:9">
      <c r="H21682" s="1092"/>
      <c r="I21682" s="1092"/>
    </row>
    <row r="21683" spans="8:9">
      <c r="H21683" s="1092"/>
      <c r="I21683" s="1092"/>
    </row>
    <row r="21684" spans="8:9">
      <c r="H21684" s="1092"/>
      <c r="I21684" s="1092"/>
    </row>
    <row r="21685" spans="8:9">
      <c r="H21685" s="1092"/>
      <c r="I21685" s="1092"/>
    </row>
    <row r="21686" spans="8:9">
      <c r="H21686" s="1092"/>
      <c r="I21686" s="1092"/>
    </row>
    <row r="21687" spans="8:9">
      <c r="H21687" s="1092"/>
      <c r="I21687" s="1092"/>
    </row>
    <row r="21688" spans="8:9">
      <c r="H21688" s="1092"/>
      <c r="I21688" s="1092"/>
    </row>
    <row r="21689" spans="8:9">
      <c r="H21689" s="1092"/>
      <c r="I21689" s="1092"/>
    </row>
    <row r="21690" spans="8:9">
      <c r="H21690" s="1092"/>
      <c r="I21690" s="1092"/>
    </row>
    <row r="21691" spans="8:9">
      <c r="H21691" s="1092"/>
      <c r="I21691" s="1092"/>
    </row>
    <row r="21692" spans="8:9">
      <c r="H21692" s="1092"/>
      <c r="I21692" s="1092"/>
    </row>
    <row r="21693" spans="8:9">
      <c r="H21693" s="1092"/>
      <c r="I21693" s="1092"/>
    </row>
    <row r="21694" spans="8:9">
      <c r="H21694" s="1092"/>
      <c r="I21694" s="1092"/>
    </row>
    <row r="21695" spans="8:9">
      <c r="H21695" s="1092"/>
      <c r="I21695" s="1092"/>
    </row>
    <row r="21696" spans="8:9">
      <c r="H21696" s="1092"/>
      <c r="I21696" s="1092"/>
    </row>
    <row r="21697" spans="8:9">
      <c r="H21697" s="1092"/>
      <c r="I21697" s="1092"/>
    </row>
    <row r="21698" spans="8:9">
      <c r="H21698" s="1092"/>
      <c r="I21698" s="1092"/>
    </row>
    <row r="21699" spans="8:9">
      <c r="H21699" s="1092"/>
      <c r="I21699" s="1092"/>
    </row>
    <row r="21700" spans="8:9">
      <c r="H21700" s="1092"/>
      <c r="I21700" s="1092"/>
    </row>
    <row r="21701" spans="8:9">
      <c r="H21701" s="1092"/>
      <c r="I21701" s="1092"/>
    </row>
    <row r="21702" spans="8:9">
      <c r="H21702" s="1092"/>
      <c r="I21702" s="1092"/>
    </row>
    <row r="21703" spans="8:9">
      <c r="H21703" s="1092"/>
      <c r="I21703" s="1092"/>
    </row>
    <row r="21704" spans="8:9">
      <c r="H21704" s="1092"/>
      <c r="I21704" s="1092"/>
    </row>
    <row r="21705" spans="8:9">
      <c r="H21705" s="1092"/>
      <c r="I21705" s="1092"/>
    </row>
    <row r="21706" spans="8:9">
      <c r="H21706" s="1092"/>
      <c r="I21706" s="1092"/>
    </row>
    <row r="21707" spans="8:9">
      <c r="H21707" s="1092"/>
      <c r="I21707" s="1092"/>
    </row>
    <row r="21708" spans="8:9">
      <c r="H21708" s="1092"/>
      <c r="I21708" s="1092"/>
    </row>
    <row r="21709" spans="8:9">
      <c r="H21709" s="1092"/>
      <c r="I21709" s="1092"/>
    </row>
    <row r="21710" spans="8:9">
      <c r="H21710" s="1092"/>
      <c r="I21710" s="1092"/>
    </row>
    <row r="21711" spans="8:9">
      <c r="H21711" s="1092"/>
      <c r="I21711" s="1092"/>
    </row>
    <row r="21712" spans="8:9">
      <c r="H21712" s="1092"/>
      <c r="I21712" s="1092"/>
    </row>
    <row r="21713" spans="8:9">
      <c r="H21713" s="1092"/>
      <c r="I21713" s="1092"/>
    </row>
    <row r="21714" spans="8:9">
      <c r="H21714" s="1092"/>
      <c r="I21714" s="1092"/>
    </row>
    <row r="21715" spans="8:9">
      <c r="H21715" s="1092"/>
      <c r="I21715" s="1092"/>
    </row>
    <row r="21716" spans="8:9">
      <c r="H21716" s="1092"/>
      <c r="I21716" s="1092"/>
    </row>
    <row r="21717" spans="8:9">
      <c r="H21717" s="1092"/>
      <c r="I21717" s="1092"/>
    </row>
    <row r="21718" spans="8:9">
      <c r="H21718" s="1092"/>
      <c r="I21718" s="1092"/>
    </row>
    <row r="21719" spans="8:9">
      <c r="H21719" s="1092"/>
      <c r="I21719" s="1092"/>
    </row>
    <row r="21720" spans="8:9">
      <c r="H21720" s="1092"/>
      <c r="I21720" s="1092"/>
    </row>
    <row r="21721" spans="8:9">
      <c r="H21721" s="1092"/>
      <c r="I21721" s="1092"/>
    </row>
    <row r="21722" spans="8:9">
      <c r="H21722" s="1092"/>
      <c r="I21722" s="1092"/>
    </row>
    <row r="21723" spans="8:9">
      <c r="H21723" s="1092"/>
      <c r="I21723" s="1092"/>
    </row>
    <row r="21724" spans="8:9">
      <c r="H21724" s="1092"/>
      <c r="I21724" s="1092"/>
    </row>
    <row r="21725" spans="8:9">
      <c r="H21725" s="1092"/>
      <c r="I21725" s="1092"/>
    </row>
    <row r="21726" spans="8:9">
      <c r="H21726" s="1092"/>
      <c r="I21726" s="1092"/>
    </row>
    <row r="21727" spans="8:9">
      <c r="H21727" s="1092"/>
      <c r="I21727" s="1092"/>
    </row>
    <row r="21728" spans="8:9">
      <c r="H21728" s="1092"/>
      <c r="I21728" s="1092"/>
    </row>
    <row r="21729" spans="8:9">
      <c r="H21729" s="1092"/>
      <c r="I21729" s="1092"/>
    </row>
    <row r="21730" spans="8:9">
      <c r="H21730" s="1092"/>
      <c r="I21730" s="1092"/>
    </row>
    <row r="21731" spans="8:9">
      <c r="H21731" s="1092"/>
      <c r="I21731" s="1092"/>
    </row>
    <row r="21732" spans="8:9">
      <c r="H21732" s="1092"/>
      <c r="I21732" s="1092"/>
    </row>
    <row r="21733" spans="8:9">
      <c r="H21733" s="1092"/>
      <c r="I21733" s="1092"/>
    </row>
    <row r="21734" spans="8:9">
      <c r="H21734" s="1092"/>
      <c r="I21734" s="1092"/>
    </row>
    <row r="21735" spans="8:9">
      <c r="H21735" s="1092"/>
      <c r="I21735" s="1092"/>
    </row>
    <row r="21736" spans="8:9">
      <c r="H21736" s="1092"/>
      <c r="I21736" s="1092"/>
    </row>
    <row r="21737" spans="8:9">
      <c r="H21737" s="1092"/>
      <c r="I21737" s="1092"/>
    </row>
    <row r="21738" spans="8:9">
      <c r="H21738" s="1092"/>
      <c r="I21738" s="1092"/>
    </row>
    <row r="21739" spans="8:9">
      <c r="H21739" s="1092"/>
      <c r="I21739" s="1092"/>
    </row>
    <row r="21740" spans="8:9">
      <c r="H21740" s="1092"/>
      <c r="I21740" s="1092"/>
    </row>
    <row r="21741" spans="8:9">
      <c r="H21741" s="1092"/>
      <c r="I21741" s="1092"/>
    </row>
    <row r="21742" spans="8:9">
      <c r="H21742" s="1092"/>
      <c r="I21742" s="1092"/>
    </row>
    <row r="21743" spans="8:9">
      <c r="H21743" s="1092"/>
      <c r="I21743" s="1092"/>
    </row>
    <row r="21744" spans="8:9">
      <c r="H21744" s="1092"/>
      <c r="I21744" s="1092"/>
    </row>
    <row r="21745" spans="8:9">
      <c r="H21745" s="1092"/>
      <c r="I21745" s="1092"/>
    </row>
    <row r="21746" spans="8:9">
      <c r="H21746" s="1092"/>
      <c r="I21746" s="1092"/>
    </row>
    <row r="21747" spans="8:9">
      <c r="H21747" s="1092"/>
      <c r="I21747" s="1092"/>
    </row>
    <row r="21748" spans="8:9">
      <c r="H21748" s="1092"/>
      <c r="I21748" s="1092"/>
    </row>
    <row r="21749" spans="8:9">
      <c r="H21749" s="1092"/>
      <c r="I21749" s="1092"/>
    </row>
    <row r="21750" spans="8:9">
      <c r="H21750" s="1092"/>
      <c r="I21750" s="1092"/>
    </row>
    <row r="21751" spans="8:9">
      <c r="H21751" s="1092"/>
      <c r="I21751" s="1092"/>
    </row>
    <row r="21752" spans="8:9">
      <c r="H21752" s="1092"/>
      <c r="I21752" s="1092"/>
    </row>
    <row r="21753" spans="8:9">
      <c r="H21753" s="1092"/>
      <c r="I21753" s="1092"/>
    </row>
    <row r="21754" spans="8:9">
      <c r="H21754" s="1092"/>
      <c r="I21754" s="1092"/>
    </row>
    <row r="21755" spans="8:9">
      <c r="H21755" s="1092"/>
      <c r="I21755" s="1092"/>
    </row>
    <row r="21756" spans="8:9">
      <c r="H21756" s="1092"/>
      <c r="I21756" s="1092"/>
    </row>
    <row r="21757" spans="8:9">
      <c r="H21757" s="1092"/>
      <c r="I21757" s="1092"/>
    </row>
    <row r="21758" spans="8:9">
      <c r="H21758" s="1092"/>
      <c r="I21758" s="1092"/>
    </row>
    <row r="21759" spans="8:9">
      <c r="H21759" s="1092"/>
      <c r="I21759" s="1092"/>
    </row>
    <row r="21760" spans="8:9">
      <c r="H21760" s="1092"/>
      <c r="I21760" s="1092"/>
    </row>
    <row r="21761" spans="8:9">
      <c r="H21761" s="1092"/>
      <c r="I21761" s="1092"/>
    </row>
    <row r="21762" spans="8:9">
      <c r="H21762" s="1092"/>
      <c r="I21762" s="1092"/>
    </row>
    <row r="21763" spans="8:9">
      <c r="H21763" s="1092"/>
      <c r="I21763" s="1092"/>
    </row>
    <row r="21764" spans="8:9">
      <c r="H21764" s="1092"/>
      <c r="I21764" s="1092"/>
    </row>
    <row r="21765" spans="8:9">
      <c r="H21765" s="1092"/>
      <c r="I21765" s="1092"/>
    </row>
    <row r="21766" spans="8:9">
      <c r="H21766" s="1092"/>
      <c r="I21766" s="1092"/>
    </row>
    <row r="21767" spans="8:9">
      <c r="H21767" s="1092"/>
      <c r="I21767" s="1092"/>
    </row>
    <row r="21768" spans="8:9">
      <c r="H21768" s="1092"/>
      <c r="I21768" s="1092"/>
    </row>
    <row r="21769" spans="8:9">
      <c r="H21769" s="1092"/>
      <c r="I21769" s="1092"/>
    </row>
    <row r="21770" spans="8:9">
      <c r="H21770" s="1092"/>
      <c r="I21770" s="1092"/>
    </row>
    <row r="21771" spans="8:9">
      <c r="H21771" s="1092"/>
      <c r="I21771" s="1092"/>
    </row>
    <row r="21772" spans="8:9">
      <c r="H21772" s="1092"/>
      <c r="I21772" s="1092"/>
    </row>
    <row r="21773" spans="8:9">
      <c r="H21773" s="1092"/>
      <c r="I21773" s="1092"/>
    </row>
    <row r="21774" spans="8:9">
      <c r="H21774" s="1092"/>
      <c r="I21774" s="1092"/>
    </row>
    <row r="21775" spans="8:9">
      <c r="H21775" s="1092"/>
      <c r="I21775" s="1092"/>
    </row>
    <row r="21776" spans="8:9">
      <c r="H21776" s="1092"/>
      <c r="I21776" s="1092"/>
    </row>
    <row r="21777" spans="8:9">
      <c r="H21777" s="1092"/>
      <c r="I21777" s="1092"/>
    </row>
    <row r="21778" spans="8:9">
      <c r="H21778" s="1092"/>
      <c r="I21778" s="1092"/>
    </row>
    <row r="21779" spans="8:9">
      <c r="H21779" s="1092"/>
      <c r="I21779" s="1092"/>
    </row>
    <row r="21780" spans="8:9">
      <c r="H21780" s="1092"/>
      <c r="I21780" s="1092"/>
    </row>
    <row r="21781" spans="8:9">
      <c r="H21781" s="1092"/>
      <c r="I21781" s="1092"/>
    </row>
    <row r="21782" spans="8:9">
      <c r="H21782" s="1092"/>
      <c r="I21782" s="1092"/>
    </row>
    <row r="21783" spans="8:9">
      <c r="H21783" s="1092"/>
      <c r="I21783" s="1092"/>
    </row>
    <row r="21784" spans="8:9">
      <c r="H21784" s="1092"/>
      <c r="I21784" s="1092"/>
    </row>
    <row r="21785" spans="8:9">
      <c r="H21785" s="1092"/>
      <c r="I21785" s="1092"/>
    </row>
    <row r="21786" spans="8:9">
      <c r="H21786" s="1092"/>
      <c r="I21786" s="1092"/>
    </row>
    <row r="21787" spans="8:9">
      <c r="H21787" s="1092"/>
      <c r="I21787" s="1092"/>
    </row>
    <row r="21788" spans="8:9">
      <c r="H21788" s="1092"/>
      <c r="I21788" s="1092"/>
    </row>
    <row r="21789" spans="8:9">
      <c r="H21789" s="1092"/>
      <c r="I21789" s="1092"/>
    </row>
    <row r="21790" spans="8:9">
      <c r="H21790" s="1092"/>
      <c r="I21790" s="1092"/>
    </row>
    <row r="21791" spans="8:9">
      <c r="H21791" s="1092"/>
      <c r="I21791" s="1092"/>
    </row>
    <row r="21792" spans="8:9">
      <c r="H21792" s="1092"/>
      <c r="I21792" s="1092"/>
    </row>
    <row r="21793" spans="8:9">
      <c r="H21793" s="1092"/>
      <c r="I21793" s="1092"/>
    </row>
    <row r="21794" spans="8:9">
      <c r="H21794" s="1092"/>
      <c r="I21794" s="1092"/>
    </row>
    <row r="21795" spans="8:9">
      <c r="H21795" s="1092"/>
      <c r="I21795" s="1092"/>
    </row>
    <row r="21796" spans="8:9">
      <c r="H21796" s="1092"/>
      <c r="I21796" s="1092"/>
    </row>
    <row r="21797" spans="8:9">
      <c r="H21797" s="1092"/>
      <c r="I21797" s="1092"/>
    </row>
    <row r="21798" spans="8:9">
      <c r="H21798" s="1092"/>
      <c r="I21798" s="1092"/>
    </row>
    <row r="21799" spans="8:9">
      <c r="H21799" s="1092"/>
      <c r="I21799" s="1092"/>
    </row>
    <row r="21800" spans="8:9">
      <c r="H21800" s="1092"/>
      <c r="I21800" s="1092"/>
    </row>
    <row r="21801" spans="8:9">
      <c r="H21801" s="1092"/>
      <c r="I21801" s="1092"/>
    </row>
    <row r="21802" spans="8:9">
      <c r="H21802" s="1092"/>
      <c r="I21802" s="1092"/>
    </row>
    <row r="21803" spans="8:9">
      <c r="H21803" s="1092"/>
      <c r="I21803" s="1092"/>
    </row>
    <row r="21804" spans="8:9">
      <c r="H21804" s="1092"/>
      <c r="I21804" s="1092"/>
    </row>
    <row r="21805" spans="8:9">
      <c r="H21805" s="1092"/>
      <c r="I21805" s="1092"/>
    </row>
    <row r="21806" spans="8:9">
      <c r="H21806" s="1092"/>
      <c r="I21806" s="1092"/>
    </row>
    <row r="21807" spans="8:9">
      <c r="H21807" s="1092"/>
      <c r="I21807" s="1092"/>
    </row>
    <row r="21808" spans="8:9">
      <c r="H21808" s="1092"/>
      <c r="I21808" s="1092"/>
    </row>
    <row r="21809" spans="8:9">
      <c r="H21809" s="1092"/>
      <c r="I21809" s="1092"/>
    </row>
    <row r="21810" spans="8:9">
      <c r="H21810" s="1092"/>
      <c r="I21810" s="1092"/>
    </row>
    <row r="21811" spans="8:9">
      <c r="H21811" s="1092"/>
      <c r="I21811" s="1092"/>
    </row>
    <row r="21812" spans="8:9">
      <c r="H21812" s="1092"/>
      <c r="I21812" s="1092"/>
    </row>
    <row r="21813" spans="8:9">
      <c r="H21813" s="1092"/>
      <c r="I21813" s="1092"/>
    </row>
    <row r="21814" spans="8:9">
      <c r="H21814" s="1092"/>
      <c r="I21814" s="1092"/>
    </row>
    <row r="21815" spans="8:9">
      <c r="H21815" s="1092"/>
      <c r="I21815" s="1092"/>
    </row>
    <row r="21816" spans="8:9">
      <c r="H21816" s="1092"/>
      <c r="I21816" s="1092"/>
    </row>
    <row r="21817" spans="8:9">
      <c r="H21817" s="1092"/>
      <c r="I21817" s="1092"/>
    </row>
    <row r="21818" spans="8:9">
      <c r="H21818" s="1092"/>
      <c r="I21818" s="1092"/>
    </row>
    <row r="21819" spans="8:9">
      <c r="H21819" s="1092"/>
      <c r="I21819" s="1092"/>
    </row>
    <row r="21820" spans="8:9">
      <c r="H21820" s="1092"/>
      <c r="I21820" s="1092"/>
    </row>
    <row r="21821" spans="8:9">
      <c r="H21821" s="1092"/>
      <c r="I21821" s="1092"/>
    </row>
    <row r="21822" spans="8:9">
      <c r="H21822" s="1092"/>
      <c r="I21822" s="1092"/>
    </row>
    <row r="21823" spans="8:9">
      <c r="H21823" s="1092"/>
      <c r="I21823" s="1092"/>
    </row>
    <row r="21824" spans="8:9">
      <c r="H21824" s="1092"/>
      <c r="I21824" s="1092"/>
    </row>
    <row r="21825" spans="8:9">
      <c r="H21825" s="1092"/>
      <c r="I21825" s="1092"/>
    </row>
    <row r="21826" spans="8:9">
      <c r="H21826" s="1092"/>
      <c r="I21826" s="1092"/>
    </row>
    <row r="21827" spans="8:9">
      <c r="H21827" s="1092"/>
      <c r="I21827" s="1092"/>
    </row>
    <row r="21828" spans="8:9">
      <c r="H21828" s="1092"/>
      <c r="I21828" s="1092"/>
    </row>
    <row r="21829" spans="8:9">
      <c r="H21829" s="1092"/>
      <c r="I21829" s="1092"/>
    </row>
    <row r="21830" spans="8:9">
      <c r="H21830" s="1092"/>
      <c r="I21830" s="1092"/>
    </row>
    <row r="21831" spans="8:9">
      <c r="H21831" s="1092"/>
      <c r="I21831" s="1092"/>
    </row>
    <row r="21832" spans="8:9">
      <c r="H21832" s="1092"/>
      <c r="I21832" s="1092"/>
    </row>
    <row r="21833" spans="8:9">
      <c r="H21833" s="1092"/>
      <c r="I21833" s="1092"/>
    </row>
    <row r="21834" spans="8:9">
      <c r="H21834" s="1092"/>
      <c r="I21834" s="1092"/>
    </row>
    <row r="21835" spans="8:9">
      <c r="H21835" s="1092"/>
      <c r="I21835" s="1092"/>
    </row>
    <row r="21836" spans="8:9">
      <c r="H21836" s="1092"/>
      <c r="I21836" s="1092"/>
    </row>
    <row r="21837" spans="8:9">
      <c r="H21837" s="1092"/>
      <c r="I21837" s="1092"/>
    </row>
    <row r="21838" spans="8:9">
      <c r="H21838" s="1092"/>
      <c r="I21838" s="1092"/>
    </row>
    <row r="21839" spans="8:9">
      <c r="H21839" s="1092"/>
      <c r="I21839" s="1092"/>
    </row>
    <row r="21840" spans="8:9">
      <c r="H21840" s="1092"/>
      <c r="I21840" s="1092"/>
    </row>
    <row r="21841" spans="8:9">
      <c r="H21841" s="1092"/>
      <c r="I21841" s="1092"/>
    </row>
    <row r="21842" spans="8:9">
      <c r="H21842" s="1092"/>
      <c r="I21842" s="1092"/>
    </row>
    <row r="21843" spans="8:9">
      <c r="H21843" s="1092"/>
      <c r="I21843" s="1092"/>
    </row>
    <row r="21844" spans="8:9">
      <c r="H21844" s="1092"/>
      <c r="I21844" s="1092"/>
    </row>
    <row r="21845" spans="8:9">
      <c r="H21845" s="1092"/>
      <c r="I21845" s="1092"/>
    </row>
    <row r="21846" spans="8:9">
      <c r="H21846" s="1092"/>
      <c r="I21846" s="1092"/>
    </row>
    <row r="21847" spans="8:9">
      <c r="H21847" s="1092"/>
      <c r="I21847" s="1092"/>
    </row>
    <row r="21848" spans="8:9">
      <c r="H21848" s="1092"/>
      <c r="I21848" s="1092"/>
    </row>
    <row r="21849" spans="8:9">
      <c r="H21849" s="1092"/>
      <c r="I21849" s="1092"/>
    </row>
    <row r="21850" spans="8:9">
      <c r="H21850" s="1092"/>
      <c r="I21850" s="1092"/>
    </row>
    <row r="21851" spans="8:9">
      <c r="H21851" s="1092"/>
      <c r="I21851" s="1092"/>
    </row>
    <row r="21852" spans="8:9">
      <c r="H21852" s="1092"/>
      <c r="I21852" s="1092"/>
    </row>
    <row r="21853" spans="8:9">
      <c r="H21853" s="1092"/>
      <c r="I21853" s="1092"/>
    </row>
    <row r="21854" spans="8:9">
      <c r="H21854" s="1092"/>
      <c r="I21854" s="1092"/>
    </row>
    <row r="21855" spans="8:9">
      <c r="H21855" s="1092"/>
      <c r="I21855" s="1092"/>
    </row>
    <row r="21856" spans="8:9">
      <c r="H21856" s="1092"/>
      <c r="I21856" s="1092"/>
    </row>
    <row r="21857" spans="8:9">
      <c r="H21857" s="1092"/>
      <c r="I21857" s="1092"/>
    </row>
    <row r="21858" spans="8:9">
      <c r="H21858" s="1092"/>
      <c r="I21858" s="1092"/>
    </row>
    <row r="21859" spans="8:9">
      <c r="H21859" s="1092"/>
      <c r="I21859" s="1092"/>
    </row>
    <row r="21860" spans="8:9">
      <c r="H21860" s="1092"/>
      <c r="I21860" s="1092"/>
    </row>
    <row r="21861" spans="8:9">
      <c r="H21861" s="1092"/>
      <c r="I21861" s="1092"/>
    </row>
    <row r="21862" spans="8:9">
      <c r="H21862" s="1092"/>
      <c r="I21862" s="1092"/>
    </row>
    <row r="21863" spans="8:9">
      <c r="H21863" s="1092"/>
      <c r="I21863" s="1092"/>
    </row>
    <row r="21864" spans="8:9">
      <c r="H21864" s="1092"/>
      <c r="I21864" s="1092"/>
    </row>
    <row r="21865" spans="8:9">
      <c r="H21865" s="1092"/>
      <c r="I21865" s="1092"/>
    </row>
    <row r="21866" spans="8:9">
      <c r="H21866" s="1092"/>
      <c r="I21866" s="1092"/>
    </row>
    <row r="21867" spans="8:9">
      <c r="H21867" s="1092"/>
      <c r="I21867" s="1092"/>
    </row>
    <row r="21868" spans="8:9">
      <c r="H21868" s="1092"/>
      <c r="I21868" s="1092"/>
    </row>
    <row r="21869" spans="8:9">
      <c r="H21869" s="1092"/>
      <c r="I21869" s="1092"/>
    </row>
    <row r="21870" spans="8:9">
      <c r="H21870" s="1092"/>
      <c r="I21870" s="1092"/>
    </row>
    <row r="21871" spans="8:9">
      <c r="H21871" s="1092"/>
      <c r="I21871" s="1092"/>
    </row>
    <row r="21872" spans="8:9">
      <c r="H21872" s="1092"/>
      <c r="I21872" s="1092"/>
    </row>
    <row r="21873" spans="8:9">
      <c r="H21873" s="1092"/>
      <c r="I21873" s="1092"/>
    </row>
    <row r="21874" spans="8:9">
      <c r="H21874" s="1092"/>
      <c r="I21874" s="1092"/>
    </row>
    <row r="21875" spans="8:9">
      <c r="H21875" s="1092"/>
      <c r="I21875" s="1092"/>
    </row>
    <row r="21876" spans="8:9">
      <c r="H21876" s="1092"/>
      <c r="I21876" s="1092"/>
    </row>
    <row r="21877" spans="8:9">
      <c r="H21877" s="1092"/>
      <c r="I21877" s="1092"/>
    </row>
    <row r="21878" spans="8:9">
      <c r="H21878" s="1092"/>
      <c r="I21878" s="1092"/>
    </row>
    <row r="21879" spans="8:9">
      <c r="H21879" s="1092"/>
      <c r="I21879" s="1092"/>
    </row>
    <row r="21880" spans="8:9">
      <c r="H21880" s="1092"/>
      <c r="I21880" s="1092"/>
    </row>
    <row r="21881" spans="8:9">
      <c r="H21881" s="1092"/>
      <c r="I21881" s="1092"/>
    </row>
    <row r="21882" spans="8:9">
      <c r="H21882" s="1092"/>
      <c r="I21882" s="1092"/>
    </row>
    <row r="21883" spans="8:9">
      <c r="H21883" s="1092"/>
      <c r="I21883" s="1092"/>
    </row>
    <row r="21884" spans="8:9">
      <c r="H21884" s="1092"/>
      <c r="I21884" s="1092"/>
    </row>
    <row r="21885" spans="8:9">
      <c r="H21885" s="1092"/>
      <c r="I21885" s="1092"/>
    </row>
    <row r="21886" spans="8:9">
      <c r="H21886" s="1092"/>
      <c r="I21886" s="1092"/>
    </row>
    <row r="21887" spans="8:9">
      <c r="H21887" s="1092"/>
      <c r="I21887" s="1092"/>
    </row>
    <row r="21888" spans="8:9">
      <c r="H21888" s="1092"/>
      <c r="I21888" s="1092"/>
    </row>
    <row r="21889" spans="8:9">
      <c r="H21889" s="1092"/>
      <c r="I21889" s="1092"/>
    </row>
    <row r="21890" spans="8:9">
      <c r="H21890" s="1092"/>
      <c r="I21890" s="1092"/>
    </row>
    <row r="21891" spans="8:9">
      <c r="H21891" s="1092"/>
      <c r="I21891" s="1092"/>
    </row>
    <row r="21892" spans="8:9">
      <c r="H21892" s="1092"/>
      <c r="I21892" s="1092"/>
    </row>
    <row r="21893" spans="8:9">
      <c r="H21893" s="1092"/>
      <c r="I21893" s="1092"/>
    </row>
    <row r="21894" spans="8:9">
      <c r="H21894" s="1092"/>
      <c r="I21894" s="1092"/>
    </row>
    <row r="21895" spans="8:9">
      <c r="H21895" s="1092"/>
      <c r="I21895" s="1092"/>
    </row>
    <row r="21896" spans="8:9">
      <c r="H21896" s="1092"/>
      <c r="I21896" s="1092"/>
    </row>
    <row r="21897" spans="8:9">
      <c r="H21897" s="1092"/>
      <c r="I21897" s="1092"/>
    </row>
    <row r="21898" spans="8:9">
      <c r="H21898" s="1092"/>
      <c r="I21898" s="1092"/>
    </row>
    <row r="21899" spans="8:9">
      <c r="H21899" s="1092"/>
      <c r="I21899" s="1092"/>
    </row>
    <row r="21900" spans="8:9">
      <c r="H21900" s="1092"/>
      <c r="I21900" s="1092"/>
    </row>
    <row r="21901" spans="8:9">
      <c r="H21901" s="1092"/>
      <c r="I21901" s="1092"/>
    </row>
    <row r="21902" spans="8:9">
      <c r="H21902" s="1092"/>
      <c r="I21902" s="1092"/>
    </row>
    <row r="21903" spans="8:9">
      <c r="H21903" s="1092"/>
      <c r="I21903" s="1092"/>
    </row>
    <row r="21904" spans="8:9">
      <c r="H21904" s="1092"/>
      <c r="I21904" s="1092"/>
    </row>
    <row r="21905" spans="8:9">
      <c r="H21905" s="1092"/>
      <c r="I21905" s="1092"/>
    </row>
    <row r="21906" spans="8:9">
      <c r="H21906" s="1092"/>
      <c r="I21906" s="1092"/>
    </row>
    <row r="21907" spans="8:9">
      <c r="H21907" s="1092"/>
      <c r="I21907" s="1092"/>
    </row>
    <row r="21908" spans="8:9">
      <c r="H21908" s="1092"/>
      <c r="I21908" s="1092"/>
    </row>
    <row r="21909" spans="8:9">
      <c r="H21909" s="1092"/>
      <c r="I21909" s="1092"/>
    </row>
    <row r="21910" spans="8:9">
      <c r="H21910" s="1092"/>
      <c r="I21910" s="1092"/>
    </row>
    <row r="21911" spans="8:9">
      <c r="H21911" s="1092"/>
      <c r="I21911" s="1092"/>
    </row>
    <row r="21912" spans="8:9">
      <c r="H21912" s="1092"/>
      <c r="I21912" s="1092"/>
    </row>
    <row r="21913" spans="8:9">
      <c r="H21913" s="1092"/>
      <c r="I21913" s="1092"/>
    </row>
    <row r="21914" spans="8:9">
      <c r="H21914" s="1092"/>
      <c r="I21914" s="1092"/>
    </row>
    <row r="21915" spans="8:9">
      <c r="H21915" s="1092"/>
      <c r="I21915" s="1092"/>
    </row>
    <row r="21916" spans="8:9">
      <c r="H21916" s="1092"/>
      <c r="I21916" s="1092"/>
    </row>
    <row r="21917" spans="8:9">
      <c r="H21917" s="1092"/>
      <c r="I21917" s="1092"/>
    </row>
    <row r="21918" spans="8:9">
      <c r="H21918" s="1092"/>
      <c r="I21918" s="1092"/>
    </row>
    <row r="21919" spans="8:9">
      <c r="H21919" s="1092"/>
      <c r="I21919" s="1092"/>
    </row>
    <row r="21920" spans="8:9">
      <c r="H21920" s="1092"/>
      <c r="I21920" s="1092"/>
    </row>
    <row r="21921" spans="8:9">
      <c r="H21921" s="1092"/>
      <c r="I21921" s="1092"/>
    </row>
    <row r="21922" spans="8:9">
      <c r="H21922" s="1092"/>
      <c r="I21922" s="1092"/>
    </row>
    <row r="21923" spans="8:9">
      <c r="H21923" s="1092"/>
      <c r="I21923" s="1092"/>
    </row>
    <row r="21924" spans="8:9">
      <c r="H21924" s="1092"/>
      <c r="I21924" s="1092"/>
    </row>
    <row r="21925" spans="8:9">
      <c r="H21925" s="1092"/>
      <c r="I21925" s="1092"/>
    </row>
    <row r="21926" spans="8:9">
      <c r="H21926" s="1092"/>
      <c r="I21926" s="1092"/>
    </row>
    <row r="21927" spans="8:9">
      <c r="H21927" s="1092"/>
      <c r="I21927" s="1092"/>
    </row>
    <row r="21928" spans="8:9">
      <c r="H21928" s="1092"/>
      <c r="I21928" s="1092"/>
    </row>
    <row r="21929" spans="8:9">
      <c r="H21929" s="1092"/>
      <c r="I21929" s="1092"/>
    </row>
    <row r="21930" spans="8:9">
      <c r="H21930" s="1092"/>
      <c r="I21930" s="1092"/>
    </row>
    <row r="21931" spans="8:9">
      <c r="H21931" s="1092"/>
      <c r="I21931" s="1092"/>
    </row>
    <row r="21932" spans="8:9">
      <c r="H21932" s="1092"/>
      <c r="I21932" s="1092"/>
    </row>
    <row r="21933" spans="8:9">
      <c r="H21933" s="1092"/>
      <c r="I21933" s="1092"/>
    </row>
    <row r="21934" spans="8:9">
      <c r="H21934" s="1092"/>
      <c r="I21934" s="1092"/>
    </row>
    <row r="21935" spans="8:9">
      <c r="H21935" s="1092"/>
      <c r="I21935" s="1092"/>
    </row>
    <row r="21936" spans="8:9">
      <c r="H21936" s="1092"/>
      <c r="I21936" s="1092"/>
    </row>
    <row r="21937" spans="8:9">
      <c r="H21937" s="1092"/>
      <c r="I21937" s="1092"/>
    </row>
    <row r="21938" spans="8:9">
      <c r="H21938" s="1092"/>
      <c r="I21938" s="1092"/>
    </row>
    <row r="21939" spans="8:9">
      <c r="H21939" s="1092"/>
      <c r="I21939" s="1092"/>
    </row>
    <row r="21940" spans="8:9">
      <c r="H21940" s="1092"/>
      <c r="I21940" s="1092"/>
    </row>
    <row r="21941" spans="8:9">
      <c r="H21941" s="1092"/>
      <c r="I21941" s="1092"/>
    </row>
    <row r="21942" spans="8:9">
      <c r="H21942" s="1092"/>
      <c r="I21942" s="1092"/>
    </row>
    <row r="21943" spans="8:9">
      <c r="H21943" s="1092"/>
      <c r="I21943" s="1092"/>
    </row>
    <row r="21944" spans="8:9">
      <c r="H21944" s="1092"/>
      <c r="I21944" s="1092"/>
    </row>
    <row r="21945" spans="8:9">
      <c r="H21945" s="1092"/>
      <c r="I21945" s="1092"/>
    </row>
    <row r="21946" spans="8:9">
      <c r="H21946" s="1092"/>
      <c r="I21946" s="1092"/>
    </row>
    <row r="21947" spans="8:9">
      <c r="H21947" s="1092"/>
      <c r="I21947" s="1092"/>
    </row>
    <row r="21948" spans="8:9">
      <c r="H21948" s="1092"/>
      <c r="I21948" s="1092"/>
    </row>
    <row r="21949" spans="8:9">
      <c r="H21949" s="1092"/>
      <c r="I21949" s="1092"/>
    </row>
    <row r="21950" spans="8:9">
      <c r="H21950" s="1092"/>
      <c r="I21950" s="1092"/>
    </row>
    <row r="21951" spans="8:9">
      <c r="H21951" s="1092"/>
      <c r="I21951" s="1092"/>
    </row>
    <row r="21952" spans="8:9">
      <c r="H21952" s="1092"/>
      <c r="I21952" s="1092"/>
    </row>
    <row r="21953" spans="8:9">
      <c r="H21953" s="1092"/>
      <c r="I21953" s="1092"/>
    </row>
    <row r="21954" spans="8:9">
      <c r="H21954" s="1092"/>
      <c r="I21954" s="1092"/>
    </row>
    <row r="21955" spans="8:9">
      <c r="H21955" s="1092"/>
      <c r="I21955" s="1092"/>
    </row>
    <row r="21956" spans="8:9">
      <c r="H21956" s="1092"/>
      <c r="I21956" s="1092"/>
    </row>
    <row r="21957" spans="8:9">
      <c r="H21957" s="1092"/>
      <c r="I21957" s="1092"/>
    </row>
    <row r="21958" spans="8:9">
      <c r="H21958" s="1092"/>
      <c r="I21958" s="1092"/>
    </row>
    <row r="21959" spans="8:9">
      <c r="H21959" s="1092"/>
      <c r="I21959" s="1092"/>
    </row>
    <row r="21960" spans="8:9">
      <c r="H21960" s="1092"/>
      <c r="I21960" s="1092"/>
    </row>
    <row r="21961" spans="8:9">
      <c r="H21961" s="1092"/>
      <c r="I21961" s="1092"/>
    </row>
    <row r="21962" spans="8:9">
      <c r="H21962" s="1092"/>
      <c r="I21962" s="1092"/>
    </row>
    <row r="21963" spans="8:9">
      <c r="H21963" s="1092"/>
      <c r="I21963" s="1092"/>
    </row>
    <row r="21964" spans="8:9">
      <c r="H21964" s="1092"/>
      <c r="I21964" s="1092"/>
    </row>
    <row r="21965" spans="8:9">
      <c r="H21965" s="1092"/>
      <c r="I21965" s="1092"/>
    </row>
    <row r="21966" spans="8:9">
      <c r="H21966" s="1092"/>
      <c r="I21966" s="1092"/>
    </row>
    <row r="21967" spans="8:9">
      <c r="H21967" s="1092"/>
      <c r="I21967" s="1092"/>
    </row>
    <row r="21968" spans="8:9">
      <c r="H21968" s="1092"/>
      <c r="I21968" s="1092"/>
    </row>
    <row r="21969" spans="8:9">
      <c r="H21969" s="1092"/>
      <c r="I21969" s="1092"/>
    </row>
    <row r="21970" spans="8:9">
      <c r="H21970" s="1092"/>
      <c r="I21970" s="1092"/>
    </row>
    <row r="21971" spans="8:9">
      <c r="H21971" s="1092"/>
      <c r="I21971" s="1092"/>
    </row>
    <row r="21972" spans="8:9">
      <c r="H21972" s="1092"/>
      <c r="I21972" s="1092"/>
    </row>
    <row r="21973" spans="8:9">
      <c r="H21973" s="1092"/>
      <c r="I21973" s="1092"/>
    </row>
    <row r="21974" spans="8:9">
      <c r="H21974" s="1092"/>
      <c r="I21974" s="1092"/>
    </row>
    <row r="21975" spans="8:9">
      <c r="H21975" s="1092"/>
      <c r="I21975" s="1092"/>
    </row>
    <row r="21976" spans="8:9">
      <c r="H21976" s="1092"/>
      <c r="I21976" s="1092"/>
    </row>
    <row r="21977" spans="8:9">
      <c r="H21977" s="1092"/>
      <c r="I21977" s="1092"/>
    </row>
    <row r="21978" spans="8:9">
      <c r="H21978" s="1092"/>
      <c r="I21978" s="1092"/>
    </row>
    <row r="21979" spans="8:9">
      <c r="H21979" s="1092"/>
      <c r="I21979" s="1092"/>
    </row>
    <row r="21980" spans="8:9">
      <c r="H21980" s="1092"/>
      <c r="I21980" s="1092"/>
    </row>
    <row r="21981" spans="8:9">
      <c r="H21981" s="1092"/>
      <c r="I21981" s="1092"/>
    </row>
    <row r="21982" spans="8:9">
      <c r="H21982" s="1092"/>
      <c r="I21982" s="1092"/>
    </row>
    <row r="21983" spans="8:9">
      <c r="H21983" s="1092"/>
      <c r="I21983" s="1092"/>
    </row>
    <row r="21984" spans="8:9">
      <c r="H21984" s="1092"/>
      <c r="I21984" s="1092"/>
    </row>
    <row r="21985" spans="8:9">
      <c r="H21985" s="1092"/>
      <c r="I21985" s="1092"/>
    </row>
    <row r="21986" spans="8:9">
      <c r="H21986" s="1092"/>
      <c r="I21986" s="1092"/>
    </row>
    <row r="21987" spans="8:9">
      <c r="H21987" s="1092"/>
      <c r="I21987" s="1092"/>
    </row>
    <row r="21988" spans="8:9">
      <c r="H21988" s="1092"/>
      <c r="I21988" s="1092"/>
    </row>
    <row r="21989" spans="8:9">
      <c r="H21989" s="1092"/>
      <c r="I21989" s="1092"/>
    </row>
    <row r="21990" spans="8:9">
      <c r="H21990" s="1092"/>
      <c r="I21990" s="1092"/>
    </row>
    <row r="21991" spans="8:9">
      <c r="H21991" s="1092"/>
      <c r="I21991" s="1092"/>
    </row>
    <row r="21992" spans="8:9">
      <c r="H21992" s="1092"/>
      <c r="I21992" s="1092"/>
    </row>
    <row r="21993" spans="8:9">
      <c r="H21993" s="1092"/>
      <c r="I21993" s="1092"/>
    </row>
    <row r="21994" spans="8:9">
      <c r="H21994" s="1092"/>
      <c r="I21994" s="1092"/>
    </row>
    <row r="21995" spans="8:9">
      <c r="H21995" s="1092"/>
      <c r="I21995" s="1092"/>
    </row>
    <row r="21996" spans="8:9">
      <c r="H21996" s="1092"/>
      <c r="I21996" s="1092"/>
    </row>
    <row r="21997" spans="8:9">
      <c r="H21997" s="1092"/>
      <c r="I21997" s="1092"/>
    </row>
    <row r="21998" spans="8:9">
      <c r="H21998" s="1092"/>
      <c r="I21998" s="1092"/>
    </row>
    <row r="21999" spans="8:9">
      <c r="H21999" s="1092"/>
      <c r="I21999" s="1092"/>
    </row>
    <row r="22000" spans="8:9">
      <c r="H22000" s="1092"/>
      <c r="I22000" s="1092"/>
    </row>
    <row r="22001" spans="8:9">
      <c r="H22001" s="1092"/>
      <c r="I22001" s="1092"/>
    </row>
    <row r="22002" spans="8:9">
      <c r="H22002" s="1092"/>
      <c r="I22002" s="1092"/>
    </row>
    <row r="22003" spans="8:9">
      <c r="H22003" s="1092"/>
      <c r="I22003" s="1092"/>
    </row>
    <row r="22004" spans="8:9">
      <c r="H22004" s="1092"/>
      <c r="I22004" s="1092"/>
    </row>
    <row r="22005" spans="8:9">
      <c r="H22005" s="1092"/>
      <c r="I22005" s="1092"/>
    </row>
    <row r="22006" spans="8:9">
      <c r="H22006" s="1092"/>
      <c r="I22006" s="1092"/>
    </row>
    <row r="22007" spans="8:9">
      <c r="H22007" s="1092"/>
      <c r="I22007" s="1092"/>
    </row>
    <row r="22008" spans="8:9">
      <c r="H22008" s="1092"/>
      <c r="I22008" s="1092"/>
    </row>
    <row r="22009" spans="8:9">
      <c r="H22009" s="1092"/>
      <c r="I22009" s="1092"/>
    </row>
    <row r="22010" spans="8:9">
      <c r="H22010" s="1092"/>
      <c r="I22010" s="1092"/>
    </row>
    <row r="22011" spans="8:9">
      <c r="H22011" s="1092"/>
      <c r="I22011" s="1092"/>
    </row>
    <row r="22012" spans="8:9">
      <c r="H22012" s="1092"/>
      <c r="I22012" s="1092"/>
    </row>
    <row r="22013" spans="8:9">
      <c r="H22013" s="1092"/>
      <c r="I22013" s="1092"/>
    </row>
    <row r="22014" spans="8:9">
      <c r="H22014" s="1092"/>
      <c r="I22014" s="1092"/>
    </row>
    <row r="22015" spans="8:9">
      <c r="H22015" s="1092"/>
      <c r="I22015" s="1092"/>
    </row>
    <row r="22016" spans="8:9">
      <c r="H22016" s="1092"/>
      <c r="I22016" s="1092"/>
    </row>
    <row r="22017" spans="8:9">
      <c r="H22017" s="1092"/>
      <c r="I22017" s="1092"/>
    </row>
    <row r="22018" spans="8:9">
      <c r="H22018" s="1092"/>
      <c r="I22018" s="1092"/>
    </row>
    <row r="22019" spans="8:9">
      <c r="H22019" s="1092"/>
      <c r="I22019" s="1092"/>
    </row>
    <row r="22020" spans="8:9">
      <c r="H22020" s="1092"/>
      <c r="I22020" s="1092"/>
    </row>
    <row r="22021" spans="8:9">
      <c r="H22021" s="1092"/>
      <c r="I22021" s="1092"/>
    </row>
    <row r="22022" spans="8:9">
      <c r="H22022" s="1092"/>
      <c r="I22022" s="1092"/>
    </row>
    <row r="22023" spans="8:9">
      <c r="H22023" s="1092"/>
      <c r="I22023" s="1092"/>
    </row>
    <row r="22024" spans="8:9">
      <c r="H22024" s="1092"/>
      <c r="I22024" s="1092"/>
    </row>
    <row r="22025" spans="8:9">
      <c r="H22025" s="1092"/>
      <c r="I22025" s="1092"/>
    </row>
    <row r="22026" spans="8:9">
      <c r="H22026" s="1092"/>
      <c r="I22026" s="1092"/>
    </row>
    <row r="22027" spans="8:9">
      <c r="H22027" s="1092"/>
      <c r="I22027" s="1092"/>
    </row>
    <row r="22028" spans="8:9">
      <c r="H22028" s="1092"/>
      <c r="I22028" s="1092"/>
    </row>
    <row r="22029" spans="8:9">
      <c r="H22029" s="1092"/>
      <c r="I22029" s="1092"/>
    </row>
    <row r="22030" spans="8:9">
      <c r="H22030" s="1092"/>
      <c r="I22030" s="1092"/>
    </row>
    <row r="22031" spans="8:9">
      <c r="H22031" s="1092"/>
      <c r="I22031" s="1092"/>
    </row>
    <row r="22032" spans="8:9">
      <c r="H22032" s="1092"/>
      <c r="I22032" s="1092"/>
    </row>
    <row r="22033" spans="8:9">
      <c r="H22033" s="1092"/>
      <c r="I22033" s="1092"/>
    </row>
    <row r="22034" spans="8:9">
      <c r="H22034" s="1092"/>
      <c r="I22034" s="1092"/>
    </row>
    <row r="22035" spans="8:9">
      <c r="H22035" s="1092"/>
      <c r="I22035" s="1092"/>
    </row>
    <row r="22036" spans="8:9">
      <c r="H22036" s="1092"/>
      <c r="I22036" s="1092"/>
    </row>
    <row r="22037" spans="8:9">
      <c r="H22037" s="1092"/>
      <c r="I22037" s="1092"/>
    </row>
    <row r="22038" spans="8:9">
      <c r="H22038" s="1092"/>
      <c r="I22038" s="1092"/>
    </row>
    <row r="22039" spans="8:9">
      <c r="H22039" s="1092"/>
      <c r="I22039" s="1092"/>
    </row>
    <row r="22040" spans="8:9">
      <c r="H22040" s="1092"/>
      <c r="I22040" s="1092"/>
    </row>
    <row r="22041" spans="8:9">
      <c r="H22041" s="1092"/>
      <c r="I22041" s="1092"/>
    </row>
    <row r="22042" spans="8:9">
      <c r="H22042" s="1092"/>
      <c r="I22042" s="1092"/>
    </row>
    <row r="22043" spans="8:9">
      <c r="H22043" s="1092"/>
      <c r="I22043" s="1092"/>
    </row>
    <row r="22044" spans="8:9">
      <c r="H22044" s="1092"/>
      <c r="I22044" s="1092"/>
    </row>
    <row r="22045" spans="8:9">
      <c r="H22045" s="1092"/>
      <c r="I22045" s="1092"/>
    </row>
    <row r="22046" spans="8:9">
      <c r="H22046" s="1092"/>
      <c r="I22046" s="1092"/>
    </row>
    <row r="22047" spans="8:9">
      <c r="H22047" s="1092"/>
      <c r="I22047" s="1092"/>
    </row>
    <row r="22048" spans="8:9">
      <c r="H22048" s="1092"/>
      <c r="I22048" s="1092"/>
    </row>
    <row r="22049" spans="8:9">
      <c r="H22049" s="1092"/>
      <c r="I22049" s="1092"/>
    </row>
    <row r="22050" spans="8:9">
      <c r="H22050" s="1092"/>
      <c r="I22050" s="1092"/>
    </row>
    <row r="22051" spans="8:9">
      <c r="H22051" s="1092"/>
      <c r="I22051" s="1092"/>
    </row>
    <row r="22052" spans="8:9">
      <c r="H22052" s="1092"/>
      <c r="I22052" s="1092"/>
    </row>
    <row r="22053" spans="8:9">
      <c r="H22053" s="1092"/>
      <c r="I22053" s="1092"/>
    </row>
    <row r="22054" spans="8:9">
      <c r="H22054" s="1092"/>
      <c r="I22054" s="1092"/>
    </row>
    <row r="22055" spans="8:9">
      <c r="H22055" s="1092"/>
      <c r="I22055" s="1092"/>
    </row>
    <row r="22056" spans="8:9">
      <c r="H22056" s="1092"/>
      <c r="I22056" s="1092"/>
    </row>
    <row r="22057" spans="8:9">
      <c r="H22057" s="1092"/>
      <c r="I22057" s="1092"/>
    </row>
    <row r="22058" spans="8:9">
      <c r="H22058" s="1092"/>
      <c r="I22058" s="1092"/>
    </row>
    <row r="22059" spans="8:9">
      <c r="H22059" s="1092"/>
      <c r="I22059" s="1092"/>
    </row>
    <row r="22060" spans="8:9">
      <c r="H22060" s="1092"/>
      <c r="I22060" s="1092"/>
    </row>
    <row r="22061" spans="8:9">
      <c r="H22061" s="1092"/>
      <c r="I22061" s="1092"/>
    </row>
    <row r="22062" spans="8:9">
      <c r="H22062" s="1092"/>
      <c r="I22062" s="1092"/>
    </row>
    <row r="22063" spans="8:9">
      <c r="H22063" s="1092"/>
      <c r="I22063" s="1092"/>
    </row>
    <row r="22064" spans="8:9">
      <c r="H22064" s="1092"/>
      <c r="I22064" s="1092"/>
    </row>
    <row r="22065" spans="8:9">
      <c r="H22065" s="1092"/>
      <c r="I22065" s="1092"/>
    </row>
    <row r="22066" spans="8:9">
      <c r="H22066" s="1092"/>
      <c r="I22066" s="1092"/>
    </row>
    <row r="22067" spans="8:9">
      <c r="H22067" s="1092"/>
      <c r="I22067" s="1092"/>
    </row>
    <row r="22068" spans="8:9">
      <c r="H22068" s="1092"/>
      <c r="I22068" s="1092"/>
    </row>
    <row r="22069" spans="8:9">
      <c r="H22069" s="1092"/>
      <c r="I22069" s="1092"/>
    </row>
    <row r="22070" spans="8:9">
      <c r="H22070" s="1092"/>
      <c r="I22070" s="1092"/>
    </row>
    <row r="22071" spans="8:9">
      <c r="H22071" s="1092"/>
      <c r="I22071" s="1092"/>
    </row>
    <row r="22072" spans="8:9">
      <c r="H22072" s="1092"/>
      <c r="I22072" s="1092"/>
    </row>
    <row r="22073" spans="8:9">
      <c r="H22073" s="1092"/>
      <c r="I22073" s="1092"/>
    </row>
    <row r="22074" spans="8:9">
      <c r="H22074" s="1092"/>
      <c r="I22074" s="1092"/>
    </row>
    <row r="22075" spans="8:9">
      <c r="H22075" s="1092"/>
      <c r="I22075" s="1092"/>
    </row>
    <row r="22076" spans="8:9">
      <c r="H22076" s="1092"/>
      <c r="I22076" s="1092"/>
    </row>
    <row r="22077" spans="8:9">
      <c r="H22077" s="1092"/>
      <c r="I22077" s="1092"/>
    </row>
    <row r="22078" spans="8:9">
      <c r="H22078" s="1092"/>
      <c r="I22078" s="1092"/>
    </row>
    <row r="22079" spans="8:9">
      <c r="H22079" s="1092"/>
      <c r="I22079" s="1092"/>
    </row>
    <row r="22080" spans="8:9">
      <c r="H22080" s="1092"/>
      <c r="I22080" s="1092"/>
    </row>
    <row r="22081" spans="8:9">
      <c r="H22081" s="1092"/>
      <c r="I22081" s="1092"/>
    </row>
    <row r="22082" spans="8:9">
      <c r="H22082" s="1092"/>
      <c r="I22082" s="1092"/>
    </row>
    <row r="22083" spans="8:9">
      <c r="H22083" s="1092"/>
      <c r="I22083" s="1092"/>
    </row>
    <row r="22084" spans="8:9">
      <c r="H22084" s="1092"/>
      <c r="I22084" s="1092"/>
    </row>
    <row r="22085" spans="8:9">
      <c r="H22085" s="1092"/>
      <c r="I22085" s="1092"/>
    </row>
    <row r="22086" spans="8:9">
      <c r="H22086" s="1092"/>
      <c r="I22086" s="1092"/>
    </row>
    <row r="22087" spans="8:9">
      <c r="H22087" s="1092"/>
      <c r="I22087" s="1092"/>
    </row>
    <row r="22088" spans="8:9">
      <c r="H22088" s="1092"/>
      <c r="I22088" s="1092"/>
    </row>
    <row r="22089" spans="8:9">
      <c r="H22089" s="1092"/>
      <c r="I22089" s="1092"/>
    </row>
    <row r="22090" spans="8:9">
      <c r="H22090" s="1092"/>
      <c r="I22090" s="1092"/>
    </row>
    <row r="22091" spans="8:9">
      <c r="H22091" s="1092"/>
      <c r="I22091" s="1092"/>
    </row>
    <row r="22092" spans="8:9">
      <c r="H22092" s="1092"/>
      <c r="I22092" s="1092"/>
    </row>
    <row r="22093" spans="8:9">
      <c r="H22093" s="1092"/>
      <c r="I22093" s="1092"/>
    </row>
    <row r="22094" spans="8:9">
      <c r="H22094" s="1092"/>
      <c r="I22094" s="1092"/>
    </row>
    <row r="22095" spans="8:9">
      <c r="H22095" s="1092"/>
      <c r="I22095" s="1092"/>
    </row>
    <row r="22096" spans="8:9">
      <c r="H22096" s="1092"/>
      <c r="I22096" s="1092"/>
    </row>
    <row r="22097" spans="8:9">
      <c r="H22097" s="1092"/>
      <c r="I22097" s="1092"/>
    </row>
    <row r="22098" spans="8:9">
      <c r="H22098" s="1092"/>
      <c r="I22098" s="1092"/>
    </row>
    <row r="22099" spans="8:9">
      <c r="H22099" s="1092"/>
      <c r="I22099" s="1092"/>
    </row>
    <row r="22100" spans="8:9">
      <c r="H22100" s="1092"/>
      <c r="I22100" s="1092"/>
    </row>
    <row r="22101" spans="8:9">
      <c r="H22101" s="1092"/>
      <c r="I22101" s="1092"/>
    </row>
    <row r="22102" spans="8:9">
      <c r="H22102" s="1092"/>
      <c r="I22102" s="1092"/>
    </row>
    <row r="22103" spans="8:9">
      <c r="H22103" s="1092"/>
      <c r="I22103" s="1092"/>
    </row>
    <row r="22104" spans="8:9">
      <c r="H22104" s="1092"/>
      <c r="I22104" s="1092"/>
    </row>
    <row r="22105" spans="8:9">
      <c r="H22105" s="1092"/>
      <c r="I22105" s="1092"/>
    </row>
    <row r="22106" spans="8:9">
      <c r="H22106" s="1092"/>
      <c r="I22106" s="1092"/>
    </row>
    <row r="22107" spans="8:9">
      <c r="H22107" s="1092"/>
      <c r="I22107" s="1092"/>
    </row>
    <row r="22108" spans="8:9">
      <c r="H22108" s="1092"/>
      <c r="I22108" s="1092"/>
    </row>
    <row r="22109" spans="8:9">
      <c r="H22109" s="1092"/>
      <c r="I22109" s="1092"/>
    </row>
    <row r="22110" spans="8:9">
      <c r="H22110" s="1092"/>
      <c r="I22110" s="1092"/>
    </row>
    <row r="22111" spans="8:9">
      <c r="H22111" s="1092"/>
      <c r="I22111" s="1092"/>
    </row>
    <row r="22112" spans="8:9">
      <c r="H22112" s="1092"/>
      <c r="I22112" s="1092"/>
    </row>
    <row r="22113" spans="8:9">
      <c r="H22113" s="1092"/>
      <c r="I22113" s="1092"/>
    </row>
    <row r="22114" spans="8:9">
      <c r="H22114" s="1092"/>
      <c r="I22114" s="1092"/>
    </row>
    <row r="22115" spans="8:9">
      <c r="H22115" s="1092"/>
      <c r="I22115" s="1092"/>
    </row>
    <row r="22116" spans="8:9">
      <c r="H22116" s="1092"/>
      <c r="I22116" s="1092"/>
    </row>
    <row r="22117" spans="8:9">
      <c r="H22117" s="1092"/>
      <c r="I22117" s="1092"/>
    </row>
    <row r="22118" spans="8:9">
      <c r="H22118" s="1092"/>
      <c r="I22118" s="1092"/>
    </row>
    <row r="22119" spans="8:9">
      <c r="H22119" s="1092"/>
      <c r="I22119" s="1092"/>
    </row>
    <row r="22120" spans="8:9">
      <c r="H22120" s="1092"/>
      <c r="I22120" s="1092"/>
    </row>
    <row r="22121" spans="8:9">
      <c r="H22121" s="1092"/>
      <c r="I22121" s="1092"/>
    </row>
    <row r="22122" spans="8:9">
      <c r="H22122" s="1092"/>
      <c r="I22122" s="1092"/>
    </row>
    <row r="22123" spans="8:9">
      <c r="H22123" s="1092"/>
      <c r="I22123" s="1092"/>
    </row>
    <row r="22124" spans="8:9">
      <c r="H22124" s="1092"/>
      <c r="I22124" s="1092"/>
    </row>
    <row r="22125" spans="8:9">
      <c r="H22125" s="1092"/>
      <c r="I22125" s="1092"/>
    </row>
    <row r="22126" spans="8:9">
      <c r="H22126" s="1092"/>
      <c r="I22126" s="1092"/>
    </row>
    <row r="22127" spans="8:9">
      <c r="H22127" s="1092"/>
      <c r="I22127" s="1092"/>
    </row>
    <row r="22128" spans="8:9">
      <c r="H22128" s="1092"/>
      <c r="I22128" s="1092"/>
    </row>
    <row r="22129" spans="8:9">
      <c r="H22129" s="1092"/>
      <c r="I22129" s="1092"/>
    </row>
    <row r="22130" spans="8:9">
      <c r="H22130" s="1092"/>
      <c r="I22130" s="1092"/>
    </row>
    <row r="22131" spans="8:9">
      <c r="H22131" s="1092"/>
      <c r="I22131" s="1092"/>
    </row>
    <row r="22132" spans="8:9">
      <c r="H22132" s="1092"/>
      <c r="I22132" s="1092"/>
    </row>
    <row r="22133" spans="8:9">
      <c r="H22133" s="1092"/>
      <c r="I22133" s="1092"/>
    </row>
    <row r="22134" spans="8:9">
      <c r="H22134" s="1092"/>
      <c r="I22134" s="1092"/>
    </row>
    <row r="22135" spans="8:9">
      <c r="H22135" s="1092"/>
      <c r="I22135" s="1092"/>
    </row>
    <row r="22136" spans="8:9">
      <c r="H22136" s="1092"/>
      <c r="I22136" s="1092"/>
    </row>
    <row r="22137" spans="8:9">
      <c r="H22137" s="1092"/>
      <c r="I22137" s="1092"/>
    </row>
    <row r="22138" spans="8:9">
      <c r="H22138" s="1092"/>
      <c r="I22138" s="1092"/>
    </row>
    <row r="22139" spans="8:9">
      <c r="H22139" s="1092"/>
      <c r="I22139" s="1092"/>
    </row>
    <row r="22140" spans="8:9">
      <c r="H22140" s="1092"/>
      <c r="I22140" s="1092"/>
    </row>
    <row r="22141" spans="8:9">
      <c r="H22141" s="1092"/>
      <c r="I22141" s="1092"/>
    </row>
    <row r="22142" spans="8:9">
      <c r="H22142" s="1092"/>
      <c r="I22142" s="1092"/>
    </row>
    <row r="22143" spans="8:9">
      <c r="H22143" s="1092"/>
      <c r="I22143" s="1092"/>
    </row>
    <row r="22144" spans="8:9">
      <c r="H22144" s="1092"/>
      <c r="I22144" s="1092"/>
    </row>
    <row r="22145" spans="8:9">
      <c r="H22145" s="1092"/>
      <c r="I22145" s="1092"/>
    </row>
    <row r="22146" spans="8:9">
      <c r="H22146" s="1092"/>
      <c r="I22146" s="1092"/>
    </row>
    <row r="22147" spans="8:9">
      <c r="H22147" s="1092"/>
      <c r="I22147" s="1092"/>
    </row>
    <row r="22148" spans="8:9">
      <c r="H22148" s="1092"/>
      <c r="I22148" s="1092"/>
    </row>
    <row r="22149" spans="8:9">
      <c r="H22149" s="1092"/>
      <c r="I22149" s="1092"/>
    </row>
    <row r="22150" spans="8:9">
      <c r="H22150" s="1092"/>
      <c r="I22150" s="1092"/>
    </row>
    <row r="22151" spans="8:9">
      <c r="H22151" s="1092"/>
      <c r="I22151" s="1092"/>
    </row>
    <row r="22152" spans="8:9">
      <c r="H22152" s="1092"/>
      <c r="I22152" s="1092"/>
    </row>
    <row r="22153" spans="8:9">
      <c r="H22153" s="1092"/>
      <c r="I22153" s="1092"/>
    </row>
    <row r="22154" spans="8:9">
      <c r="H22154" s="1092"/>
      <c r="I22154" s="1092"/>
    </row>
    <row r="22155" spans="8:9">
      <c r="H22155" s="1092"/>
      <c r="I22155" s="1092"/>
    </row>
    <row r="22156" spans="8:9">
      <c r="H22156" s="1092"/>
      <c r="I22156" s="1092"/>
    </row>
    <row r="22157" spans="8:9">
      <c r="H22157" s="1092"/>
      <c r="I22157" s="1092"/>
    </row>
    <row r="22158" spans="8:9">
      <c r="H22158" s="1092"/>
      <c r="I22158" s="1092"/>
    </row>
    <row r="22159" spans="8:9">
      <c r="H22159" s="1092"/>
      <c r="I22159" s="1092"/>
    </row>
    <row r="22160" spans="8:9">
      <c r="H22160" s="1092"/>
      <c r="I22160" s="1092"/>
    </row>
    <row r="22161" spans="8:9">
      <c r="H22161" s="1092"/>
      <c r="I22161" s="1092"/>
    </row>
    <row r="22162" spans="8:9">
      <c r="H22162" s="1092"/>
      <c r="I22162" s="1092"/>
    </row>
    <row r="22163" spans="8:9">
      <c r="H22163" s="1092"/>
      <c r="I22163" s="1092"/>
    </row>
    <row r="22164" spans="8:9">
      <c r="H22164" s="1092"/>
      <c r="I22164" s="1092"/>
    </row>
    <row r="22165" spans="8:9">
      <c r="H22165" s="1092"/>
      <c r="I22165" s="1092"/>
    </row>
    <row r="22166" spans="8:9">
      <c r="H22166" s="1092"/>
      <c r="I22166" s="1092"/>
    </row>
    <row r="22167" spans="8:9">
      <c r="H22167" s="1092"/>
      <c r="I22167" s="1092"/>
    </row>
    <row r="22168" spans="8:9">
      <c r="H22168" s="1092"/>
      <c r="I22168" s="1092"/>
    </row>
    <row r="22169" spans="8:9">
      <c r="H22169" s="1092"/>
      <c r="I22169" s="1092"/>
    </row>
    <row r="22170" spans="8:9">
      <c r="H22170" s="1092"/>
      <c r="I22170" s="1092"/>
    </row>
    <row r="22171" spans="8:9">
      <c r="H22171" s="1092"/>
      <c r="I22171" s="1092"/>
    </row>
    <row r="22172" spans="8:9">
      <c r="H22172" s="1092"/>
      <c r="I22172" s="1092"/>
    </row>
    <row r="22173" spans="8:9">
      <c r="H22173" s="1092"/>
      <c r="I22173" s="1092"/>
    </row>
    <row r="22174" spans="8:9">
      <c r="H22174" s="1092"/>
      <c r="I22174" s="1092"/>
    </row>
    <row r="22175" spans="8:9">
      <c r="H22175" s="1092"/>
      <c r="I22175" s="1092"/>
    </row>
    <row r="22176" spans="8:9">
      <c r="H22176" s="1092"/>
      <c r="I22176" s="1092"/>
    </row>
    <row r="22177" spans="8:9">
      <c r="H22177" s="1092"/>
      <c r="I22177" s="1092"/>
    </row>
    <row r="22178" spans="8:9">
      <c r="H22178" s="1092"/>
      <c r="I22178" s="1092"/>
    </row>
    <row r="22179" spans="8:9">
      <c r="H22179" s="1092"/>
      <c r="I22179" s="1092"/>
    </row>
    <row r="22180" spans="8:9">
      <c r="H22180" s="1092"/>
      <c r="I22180" s="1092"/>
    </row>
    <row r="22181" spans="8:9">
      <c r="H22181" s="1092"/>
      <c r="I22181" s="1092"/>
    </row>
    <row r="22182" spans="8:9">
      <c r="H22182" s="1092"/>
      <c r="I22182" s="1092"/>
    </row>
    <row r="22183" spans="8:9">
      <c r="H22183" s="1092"/>
      <c r="I22183" s="1092"/>
    </row>
    <row r="22184" spans="8:9">
      <c r="H22184" s="1092"/>
      <c r="I22184" s="1092"/>
    </row>
    <row r="22185" spans="8:9">
      <c r="H22185" s="1092"/>
      <c r="I22185" s="1092"/>
    </row>
    <row r="22186" spans="8:9">
      <c r="H22186" s="1092"/>
      <c r="I22186" s="1092"/>
    </row>
    <row r="22187" spans="8:9">
      <c r="H22187" s="1092"/>
      <c r="I22187" s="1092"/>
    </row>
    <row r="22188" spans="8:9">
      <c r="H22188" s="1092"/>
      <c r="I22188" s="1092"/>
    </row>
    <row r="22189" spans="8:9">
      <c r="H22189" s="1092"/>
      <c r="I22189" s="1092"/>
    </row>
    <row r="22190" spans="8:9">
      <c r="H22190" s="1092"/>
      <c r="I22190" s="1092"/>
    </row>
    <row r="22191" spans="8:9">
      <c r="H22191" s="1092"/>
      <c r="I22191" s="1092"/>
    </row>
    <row r="22192" spans="8:9">
      <c r="H22192" s="1092"/>
      <c r="I22192" s="1092"/>
    </row>
    <row r="22193" spans="8:9">
      <c r="H22193" s="1092"/>
      <c r="I22193" s="1092"/>
    </row>
    <row r="22194" spans="8:9">
      <c r="H22194" s="1092"/>
      <c r="I22194" s="1092"/>
    </row>
    <row r="22195" spans="8:9">
      <c r="H22195" s="1092"/>
      <c r="I22195" s="1092"/>
    </row>
    <row r="22196" spans="8:9">
      <c r="H22196" s="1092"/>
      <c r="I22196" s="1092"/>
    </row>
    <row r="22197" spans="8:9">
      <c r="H22197" s="1092"/>
      <c r="I22197" s="1092"/>
    </row>
    <row r="22198" spans="8:9">
      <c r="H22198" s="1092"/>
      <c r="I22198" s="1092"/>
    </row>
    <row r="22199" spans="8:9">
      <c r="H22199" s="1092"/>
      <c r="I22199" s="1092"/>
    </row>
    <row r="22200" spans="8:9">
      <c r="H22200" s="1092"/>
      <c r="I22200" s="1092"/>
    </row>
    <row r="22201" spans="8:9">
      <c r="H22201" s="1092"/>
      <c r="I22201" s="1092"/>
    </row>
    <row r="22202" spans="8:9">
      <c r="H22202" s="1092"/>
      <c r="I22202" s="1092"/>
    </row>
    <row r="22203" spans="8:9">
      <c r="H22203" s="1092"/>
      <c r="I22203" s="1092"/>
    </row>
    <row r="22204" spans="8:9">
      <c r="H22204" s="1092"/>
      <c r="I22204" s="1092"/>
    </row>
    <row r="22205" spans="8:9">
      <c r="H22205" s="1092"/>
      <c r="I22205" s="1092"/>
    </row>
    <row r="22206" spans="8:9">
      <c r="H22206" s="1092"/>
      <c r="I22206" s="1092"/>
    </row>
    <row r="22207" spans="8:9">
      <c r="H22207" s="1092"/>
      <c r="I22207" s="1092"/>
    </row>
    <row r="22208" spans="8:9">
      <c r="H22208" s="1092"/>
      <c r="I22208" s="1092"/>
    </row>
    <row r="22209" spans="8:9">
      <c r="H22209" s="1092"/>
      <c r="I22209" s="1092"/>
    </row>
    <row r="22210" spans="8:9">
      <c r="H22210" s="1092"/>
      <c r="I22210" s="1092"/>
    </row>
    <row r="22211" spans="8:9">
      <c r="H22211" s="1092"/>
      <c r="I22211" s="1092"/>
    </row>
    <row r="22212" spans="8:9">
      <c r="H22212" s="1092"/>
      <c r="I22212" s="1092"/>
    </row>
    <row r="22213" spans="8:9">
      <c r="H22213" s="1092"/>
      <c r="I22213" s="1092"/>
    </row>
    <row r="22214" spans="8:9">
      <c r="H22214" s="1092"/>
      <c r="I22214" s="1092"/>
    </row>
    <row r="22215" spans="8:9">
      <c r="H22215" s="1092"/>
      <c r="I22215" s="1092"/>
    </row>
    <row r="22216" spans="8:9">
      <c r="H22216" s="1092"/>
      <c r="I22216" s="1092"/>
    </row>
    <row r="22217" spans="8:9">
      <c r="H22217" s="1092"/>
      <c r="I22217" s="1092"/>
    </row>
    <row r="22218" spans="8:9">
      <c r="H22218" s="1092"/>
      <c r="I22218" s="1092"/>
    </row>
    <row r="22219" spans="8:9">
      <c r="H22219" s="1092"/>
      <c r="I22219" s="1092"/>
    </row>
    <row r="22220" spans="8:9">
      <c r="H22220" s="1092"/>
      <c r="I22220" s="1092"/>
    </row>
    <row r="22221" spans="8:9">
      <c r="H22221" s="1092"/>
      <c r="I22221" s="1092"/>
    </row>
    <row r="22222" spans="8:9">
      <c r="H22222" s="1092"/>
      <c r="I22222" s="1092"/>
    </row>
    <row r="22223" spans="8:9">
      <c r="H22223" s="1092"/>
      <c r="I22223" s="1092"/>
    </row>
    <row r="22224" spans="8:9">
      <c r="H22224" s="1092"/>
      <c r="I22224" s="1092"/>
    </row>
    <row r="22225" spans="8:9">
      <c r="H22225" s="1092"/>
      <c r="I22225" s="1092"/>
    </row>
    <row r="22226" spans="8:9">
      <c r="H22226" s="1092"/>
      <c r="I22226" s="1092"/>
    </row>
    <row r="22227" spans="8:9">
      <c r="H22227" s="1092"/>
      <c r="I22227" s="1092"/>
    </row>
    <row r="22228" spans="8:9">
      <c r="H22228" s="1092"/>
      <c r="I22228" s="1092"/>
    </row>
    <row r="22229" spans="8:9">
      <c r="H22229" s="1092"/>
      <c r="I22229" s="1092"/>
    </row>
    <row r="22230" spans="8:9">
      <c r="H22230" s="1092"/>
      <c r="I22230" s="1092"/>
    </row>
    <row r="22231" spans="8:9">
      <c r="H22231" s="1092"/>
      <c r="I22231" s="1092"/>
    </row>
    <row r="22232" spans="8:9">
      <c r="H22232" s="1092"/>
      <c r="I22232" s="1092"/>
    </row>
    <row r="22233" spans="8:9">
      <c r="H22233" s="1092"/>
      <c r="I22233" s="1092"/>
    </row>
    <row r="22234" spans="8:9">
      <c r="H22234" s="1092"/>
      <c r="I22234" s="1092"/>
    </row>
    <row r="22235" spans="8:9">
      <c r="H22235" s="1092"/>
      <c r="I22235" s="1092"/>
    </row>
    <row r="22236" spans="8:9">
      <c r="H22236" s="1092"/>
      <c r="I22236" s="1092"/>
    </row>
    <row r="22237" spans="8:9">
      <c r="H22237" s="1092"/>
      <c r="I22237" s="1092"/>
    </row>
    <row r="22238" spans="8:9">
      <c r="H22238" s="1092"/>
      <c r="I22238" s="1092"/>
    </row>
    <row r="22239" spans="8:9">
      <c r="H22239" s="1092"/>
      <c r="I22239" s="1092"/>
    </row>
    <row r="22240" spans="8:9">
      <c r="H22240" s="1092"/>
      <c r="I22240" s="1092"/>
    </row>
    <row r="22241" spans="8:9">
      <c r="H22241" s="1092"/>
      <c r="I22241" s="1092"/>
    </row>
    <row r="22242" spans="8:9">
      <c r="H22242" s="1092"/>
      <c r="I22242" s="1092"/>
    </row>
    <row r="22243" spans="8:9">
      <c r="H22243" s="1092"/>
      <c r="I22243" s="1092"/>
    </row>
    <row r="22244" spans="8:9">
      <c r="H22244" s="1092"/>
      <c r="I22244" s="1092"/>
    </row>
    <row r="22245" spans="8:9">
      <c r="H22245" s="1092"/>
      <c r="I22245" s="1092"/>
    </row>
    <row r="22246" spans="8:9">
      <c r="H22246" s="1092"/>
      <c r="I22246" s="1092"/>
    </row>
    <row r="22247" spans="8:9">
      <c r="H22247" s="1092"/>
      <c r="I22247" s="1092"/>
    </row>
    <row r="22248" spans="8:9">
      <c r="H22248" s="1092"/>
      <c r="I22248" s="1092"/>
    </row>
    <row r="22249" spans="8:9">
      <c r="H22249" s="1092"/>
      <c r="I22249" s="1092"/>
    </row>
    <row r="22250" spans="8:9">
      <c r="H22250" s="1092"/>
      <c r="I22250" s="1092"/>
    </row>
    <row r="22251" spans="8:9">
      <c r="H22251" s="1092"/>
      <c r="I22251" s="1092"/>
    </row>
    <row r="22252" spans="8:9">
      <c r="H22252" s="1092"/>
      <c r="I22252" s="1092"/>
    </row>
    <row r="22253" spans="8:9">
      <c r="H22253" s="1092"/>
      <c r="I22253" s="1092"/>
    </row>
    <row r="22254" spans="8:9">
      <c r="H22254" s="1092"/>
      <c r="I22254" s="1092"/>
    </row>
    <row r="22255" spans="8:9">
      <c r="H22255" s="1092"/>
      <c r="I22255" s="1092"/>
    </row>
    <row r="22256" spans="8:9">
      <c r="H22256" s="1092"/>
      <c r="I22256" s="1092"/>
    </row>
    <row r="22257" spans="8:9">
      <c r="H22257" s="1092"/>
      <c r="I22257" s="1092"/>
    </row>
    <row r="22258" spans="8:9">
      <c r="H22258" s="1092"/>
      <c r="I22258" s="1092"/>
    </row>
    <row r="22259" spans="8:9">
      <c r="H22259" s="1092"/>
      <c r="I22259" s="1092"/>
    </row>
    <row r="22260" spans="8:9">
      <c r="H22260" s="1092"/>
      <c r="I22260" s="1092"/>
    </row>
    <row r="22261" spans="8:9">
      <c r="H22261" s="1092"/>
      <c r="I22261" s="1092"/>
    </row>
    <row r="22262" spans="8:9">
      <c r="H22262" s="1092"/>
      <c r="I22262" s="1092"/>
    </row>
    <row r="22263" spans="8:9">
      <c r="H22263" s="1092"/>
      <c r="I22263" s="1092"/>
    </row>
    <row r="22264" spans="8:9">
      <c r="H22264" s="1092"/>
      <c r="I22264" s="1092"/>
    </row>
    <row r="22265" spans="8:9">
      <c r="H22265" s="1092"/>
      <c r="I22265" s="1092"/>
    </row>
    <row r="22266" spans="8:9">
      <c r="H22266" s="1092"/>
      <c r="I22266" s="1092"/>
    </row>
    <row r="22267" spans="8:9">
      <c r="H22267" s="1092"/>
      <c r="I22267" s="1092"/>
    </row>
    <row r="22268" spans="8:9">
      <c r="H22268" s="1092"/>
      <c r="I22268" s="1092"/>
    </row>
    <row r="22269" spans="8:9">
      <c r="H22269" s="1092"/>
      <c r="I22269" s="1092"/>
    </row>
    <row r="22270" spans="8:9">
      <c r="H22270" s="1092"/>
      <c r="I22270" s="1092"/>
    </row>
    <row r="22271" spans="8:9">
      <c r="H22271" s="1092"/>
      <c r="I22271" s="1092"/>
    </row>
    <row r="22272" spans="8:9">
      <c r="H22272" s="1092"/>
      <c r="I22272" s="1092"/>
    </row>
    <row r="22273" spans="8:9">
      <c r="H22273" s="1092"/>
      <c r="I22273" s="1092"/>
    </row>
    <row r="22274" spans="8:9">
      <c r="H22274" s="1092"/>
      <c r="I22274" s="1092"/>
    </row>
    <row r="22275" spans="8:9">
      <c r="H22275" s="1092"/>
      <c r="I22275" s="1092"/>
    </row>
    <row r="22276" spans="8:9">
      <c r="H22276" s="1092"/>
      <c r="I22276" s="1092"/>
    </row>
    <row r="22277" spans="8:9">
      <c r="H22277" s="1092"/>
      <c r="I22277" s="1092"/>
    </row>
    <row r="22278" spans="8:9">
      <c r="H22278" s="1092"/>
      <c r="I22278" s="1092"/>
    </row>
    <row r="22279" spans="8:9">
      <c r="H22279" s="1092"/>
      <c r="I22279" s="1092"/>
    </row>
    <row r="22280" spans="8:9">
      <c r="H22280" s="1092"/>
      <c r="I22280" s="1092"/>
    </row>
    <row r="22281" spans="8:9">
      <c r="H22281" s="1092"/>
      <c r="I22281" s="1092"/>
    </row>
    <row r="22282" spans="8:9">
      <c r="H22282" s="1092"/>
      <c r="I22282" s="1092"/>
    </row>
    <row r="22283" spans="8:9">
      <c r="H22283" s="1092"/>
      <c r="I22283" s="1092"/>
    </row>
    <row r="22284" spans="8:9">
      <c r="H22284" s="1092"/>
      <c r="I22284" s="1092"/>
    </row>
    <row r="22285" spans="8:9">
      <c r="H22285" s="1092"/>
      <c r="I22285" s="1092"/>
    </row>
    <row r="22286" spans="8:9">
      <c r="H22286" s="1092"/>
      <c r="I22286" s="1092"/>
    </row>
    <row r="22287" spans="8:9">
      <c r="H22287" s="1092"/>
      <c r="I22287" s="1092"/>
    </row>
    <row r="22288" spans="8:9">
      <c r="H22288" s="1092"/>
      <c r="I22288" s="1092"/>
    </row>
    <row r="22289" spans="8:9">
      <c r="H22289" s="1092"/>
      <c r="I22289" s="1092"/>
    </row>
    <row r="22290" spans="8:9">
      <c r="H22290" s="1092"/>
      <c r="I22290" s="1092"/>
    </row>
    <row r="22291" spans="8:9">
      <c r="H22291" s="1092"/>
      <c r="I22291" s="1092"/>
    </row>
    <row r="22292" spans="8:9">
      <c r="H22292" s="1092"/>
      <c r="I22292" s="1092"/>
    </row>
    <row r="22293" spans="8:9">
      <c r="H22293" s="1092"/>
      <c r="I22293" s="1092"/>
    </row>
    <row r="22294" spans="8:9">
      <c r="H22294" s="1092"/>
      <c r="I22294" s="1092"/>
    </row>
    <row r="22295" spans="8:9">
      <c r="H22295" s="1092"/>
      <c r="I22295" s="1092"/>
    </row>
    <row r="22296" spans="8:9">
      <c r="H22296" s="1092"/>
      <c r="I22296" s="1092"/>
    </row>
    <row r="22297" spans="8:9">
      <c r="H22297" s="1092"/>
      <c r="I22297" s="1092"/>
    </row>
    <row r="22298" spans="8:9">
      <c r="H22298" s="1092"/>
      <c r="I22298" s="1092"/>
    </row>
    <row r="22299" spans="8:9">
      <c r="H22299" s="1092"/>
      <c r="I22299" s="1092"/>
    </row>
    <row r="22300" spans="8:9">
      <c r="H22300" s="1092"/>
      <c r="I22300" s="1092"/>
    </row>
    <row r="22301" spans="8:9">
      <c r="H22301" s="1092"/>
      <c r="I22301" s="1092"/>
    </row>
    <row r="22302" spans="8:9">
      <c r="H22302" s="1092"/>
      <c r="I22302" s="1092"/>
    </row>
    <row r="22303" spans="8:9">
      <c r="H22303" s="1092"/>
      <c r="I22303" s="1092"/>
    </row>
    <row r="22304" spans="8:9">
      <c r="H22304" s="1092"/>
      <c r="I22304" s="1092"/>
    </row>
    <row r="22305" spans="8:9">
      <c r="H22305" s="1092"/>
      <c r="I22305" s="1092"/>
    </row>
    <row r="22306" spans="8:9">
      <c r="H22306" s="1092"/>
      <c r="I22306" s="1092"/>
    </row>
    <row r="22307" spans="8:9">
      <c r="H22307" s="1092"/>
      <c r="I22307" s="1092"/>
    </row>
    <row r="22308" spans="8:9">
      <c r="H22308" s="1092"/>
      <c r="I22308" s="1092"/>
    </row>
    <row r="22309" spans="8:9">
      <c r="H22309" s="1092"/>
      <c r="I22309" s="1092"/>
    </row>
    <row r="22310" spans="8:9">
      <c r="H22310" s="1092"/>
      <c r="I22310" s="1092"/>
    </row>
    <row r="22311" spans="8:9">
      <c r="H22311" s="1092"/>
      <c r="I22311" s="1092"/>
    </row>
    <row r="22312" spans="8:9">
      <c r="H22312" s="1092"/>
      <c r="I22312" s="1092"/>
    </row>
    <row r="22313" spans="8:9">
      <c r="H22313" s="1092"/>
      <c r="I22313" s="1092"/>
    </row>
    <row r="22314" spans="8:9">
      <c r="H22314" s="1092"/>
      <c r="I22314" s="1092"/>
    </row>
    <row r="22315" spans="8:9">
      <c r="H22315" s="1092"/>
      <c r="I22315" s="1092"/>
    </row>
    <row r="22316" spans="8:9">
      <c r="H22316" s="1092"/>
      <c r="I22316" s="1092"/>
    </row>
    <row r="22317" spans="8:9">
      <c r="H22317" s="1092"/>
      <c r="I22317" s="1092"/>
    </row>
    <row r="22318" spans="8:9">
      <c r="H22318" s="1092"/>
      <c r="I22318" s="1092"/>
    </row>
    <row r="22319" spans="8:9">
      <c r="H22319" s="1092"/>
      <c r="I22319" s="1092"/>
    </row>
    <row r="22320" spans="8:9">
      <c r="H22320" s="1092"/>
      <c r="I22320" s="1092"/>
    </row>
    <row r="22321" spans="8:9">
      <c r="H22321" s="1092"/>
      <c r="I22321" s="1092"/>
    </row>
    <row r="22322" spans="8:9">
      <c r="H22322" s="1092"/>
      <c r="I22322" s="1092"/>
    </row>
    <row r="22323" spans="8:9">
      <c r="H22323" s="1092"/>
      <c r="I22323" s="1092"/>
    </row>
    <row r="22324" spans="8:9">
      <c r="H22324" s="1092"/>
      <c r="I22324" s="1092"/>
    </row>
    <row r="22325" spans="8:9">
      <c r="H22325" s="1092"/>
      <c r="I22325" s="1092"/>
    </row>
    <row r="22326" spans="8:9">
      <c r="H22326" s="1092"/>
      <c r="I22326" s="1092"/>
    </row>
    <row r="22327" spans="8:9">
      <c r="H22327" s="1092"/>
      <c r="I22327" s="1092"/>
    </row>
    <row r="22328" spans="8:9">
      <c r="H22328" s="1092"/>
      <c r="I22328" s="1092"/>
    </row>
    <row r="22329" spans="8:9">
      <c r="H22329" s="1092"/>
      <c r="I22329" s="1092"/>
    </row>
    <row r="22330" spans="8:9">
      <c r="H22330" s="1092"/>
      <c r="I22330" s="1092"/>
    </row>
    <row r="22331" spans="8:9">
      <c r="H22331" s="1092"/>
      <c r="I22331" s="1092"/>
    </row>
    <row r="22332" spans="8:9">
      <c r="H22332" s="1092"/>
      <c r="I22332" s="1092"/>
    </row>
    <row r="22333" spans="8:9">
      <c r="H22333" s="1092"/>
      <c r="I22333" s="1092"/>
    </row>
    <row r="22334" spans="8:9">
      <c r="H22334" s="1092"/>
      <c r="I22334" s="1092"/>
    </row>
    <row r="22335" spans="8:9">
      <c r="H22335" s="1092"/>
      <c r="I22335" s="1092"/>
    </row>
    <row r="22336" spans="8:9">
      <c r="H22336" s="1092"/>
      <c r="I22336" s="1092"/>
    </row>
    <row r="22337" spans="8:9">
      <c r="H22337" s="1092"/>
      <c r="I22337" s="1092"/>
    </row>
    <row r="22338" spans="8:9">
      <c r="H22338" s="1092"/>
      <c r="I22338" s="1092"/>
    </row>
    <row r="22339" spans="8:9">
      <c r="H22339" s="1092"/>
      <c r="I22339" s="1092"/>
    </row>
    <row r="22340" spans="8:9">
      <c r="H22340" s="1092"/>
      <c r="I22340" s="1092"/>
    </row>
    <row r="22341" spans="8:9">
      <c r="H22341" s="1092"/>
      <c r="I22341" s="1092"/>
    </row>
    <row r="22342" spans="8:9">
      <c r="H22342" s="1092"/>
      <c r="I22342" s="1092"/>
    </row>
    <row r="22343" spans="8:9">
      <c r="H22343" s="1092"/>
      <c r="I22343" s="1092"/>
    </row>
    <row r="22344" spans="8:9">
      <c r="H22344" s="1092"/>
      <c r="I22344" s="1092"/>
    </row>
    <row r="22345" spans="8:9">
      <c r="H22345" s="1092"/>
      <c r="I22345" s="1092"/>
    </row>
    <row r="22346" spans="8:9">
      <c r="H22346" s="1092"/>
      <c r="I22346" s="1092"/>
    </row>
    <row r="22347" spans="8:9">
      <c r="H22347" s="1092"/>
      <c r="I22347" s="1092"/>
    </row>
    <row r="22348" spans="8:9">
      <c r="H22348" s="1092"/>
      <c r="I22348" s="1092"/>
    </row>
    <row r="22349" spans="8:9">
      <c r="H22349" s="1092"/>
      <c r="I22349" s="1092"/>
    </row>
    <row r="22350" spans="8:9">
      <c r="H22350" s="1092"/>
      <c r="I22350" s="1092"/>
    </row>
    <row r="22351" spans="8:9">
      <c r="H22351" s="1092"/>
      <c r="I22351" s="1092"/>
    </row>
    <row r="22352" spans="8:9">
      <c r="H22352" s="1092"/>
      <c r="I22352" s="1092"/>
    </row>
    <row r="22353" spans="8:9">
      <c r="H22353" s="1092"/>
      <c r="I22353" s="1092"/>
    </row>
    <row r="22354" spans="8:9">
      <c r="H22354" s="1092"/>
      <c r="I22354" s="1092"/>
    </row>
    <row r="22355" spans="8:9">
      <c r="H22355" s="1092"/>
      <c r="I22355" s="1092"/>
    </row>
    <row r="22356" spans="8:9">
      <c r="H22356" s="1092"/>
      <c r="I22356" s="1092"/>
    </row>
    <row r="22357" spans="8:9">
      <c r="H22357" s="1092"/>
      <c r="I22357" s="1092"/>
    </row>
    <row r="22358" spans="8:9">
      <c r="H22358" s="1092"/>
      <c r="I22358" s="1092"/>
    </row>
    <row r="22359" spans="8:9">
      <c r="H22359" s="1092"/>
      <c r="I22359" s="1092"/>
    </row>
    <row r="22360" spans="8:9">
      <c r="H22360" s="1092"/>
      <c r="I22360" s="1092"/>
    </row>
    <row r="22361" spans="8:9">
      <c r="H22361" s="1092"/>
      <c r="I22361" s="1092"/>
    </row>
    <row r="22362" spans="8:9">
      <c r="H22362" s="1092"/>
      <c r="I22362" s="1092"/>
    </row>
    <row r="22363" spans="8:9">
      <c r="H22363" s="1092"/>
      <c r="I22363" s="1092"/>
    </row>
    <row r="22364" spans="8:9">
      <c r="H22364" s="1092"/>
      <c r="I22364" s="1092"/>
    </row>
    <row r="22365" spans="8:9">
      <c r="H22365" s="1092"/>
      <c r="I22365" s="1092"/>
    </row>
    <row r="22366" spans="8:9">
      <c r="H22366" s="1092"/>
      <c r="I22366" s="1092"/>
    </row>
    <row r="22367" spans="8:9">
      <c r="H22367" s="1092"/>
      <c r="I22367" s="1092"/>
    </row>
    <row r="22368" spans="8:9">
      <c r="H22368" s="1092"/>
      <c r="I22368" s="1092"/>
    </row>
    <row r="22369" spans="8:9">
      <c r="H22369" s="1092"/>
      <c r="I22369" s="1092"/>
    </row>
    <row r="22370" spans="8:9">
      <c r="H22370" s="1092"/>
      <c r="I22370" s="1092"/>
    </row>
    <row r="22371" spans="8:9">
      <c r="H22371" s="1092"/>
      <c r="I22371" s="1092"/>
    </row>
    <row r="22372" spans="8:9">
      <c r="H22372" s="1092"/>
      <c r="I22372" s="1092"/>
    </row>
    <row r="22373" spans="8:9">
      <c r="H22373" s="1092"/>
      <c r="I22373" s="1092"/>
    </row>
    <row r="22374" spans="8:9">
      <c r="H22374" s="1092"/>
      <c r="I22374" s="1092"/>
    </row>
    <row r="22375" spans="8:9">
      <c r="H22375" s="1092"/>
      <c r="I22375" s="1092"/>
    </row>
    <row r="22376" spans="8:9">
      <c r="H22376" s="1092"/>
      <c r="I22376" s="1092"/>
    </row>
    <row r="22377" spans="8:9">
      <c r="H22377" s="1092"/>
      <c r="I22377" s="1092"/>
    </row>
    <row r="22378" spans="8:9">
      <c r="H22378" s="1092"/>
      <c r="I22378" s="1092"/>
    </row>
    <row r="22379" spans="8:9">
      <c r="H22379" s="1092"/>
      <c r="I22379" s="1092"/>
    </row>
    <row r="22380" spans="8:9">
      <c r="H22380" s="1092"/>
      <c r="I22380" s="1092"/>
    </row>
    <row r="22381" spans="8:9">
      <c r="H22381" s="1092"/>
      <c r="I22381" s="1092"/>
    </row>
    <row r="22382" spans="8:9">
      <c r="H22382" s="1092"/>
      <c r="I22382" s="1092"/>
    </row>
    <row r="22383" spans="8:9">
      <c r="H22383" s="1092"/>
      <c r="I22383" s="1092"/>
    </row>
    <row r="22384" spans="8:9">
      <c r="H22384" s="1092"/>
      <c r="I22384" s="1092"/>
    </row>
    <row r="22385" spans="8:9">
      <c r="H22385" s="1092"/>
      <c r="I22385" s="1092"/>
    </row>
    <row r="22386" spans="8:9">
      <c r="H22386" s="1092"/>
      <c r="I22386" s="1092"/>
    </row>
    <row r="22387" spans="8:9">
      <c r="H22387" s="1092"/>
      <c r="I22387" s="1092"/>
    </row>
    <row r="22388" spans="8:9">
      <c r="H22388" s="1092"/>
      <c r="I22388" s="1092"/>
    </row>
    <row r="22389" spans="8:9">
      <c r="H22389" s="1092"/>
      <c r="I22389" s="1092"/>
    </row>
    <row r="22390" spans="8:9">
      <c r="H22390" s="1092"/>
      <c r="I22390" s="1092"/>
    </row>
    <row r="22391" spans="8:9">
      <c r="H22391" s="1092"/>
      <c r="I22391" s="1092"/>
    </row>
    <row r="22392" spans="8:9">
      <c r="H22392" s="1092"/>
      <c r="I22392" s="1092"/>
    </row>
    <row r="22393" spans="8:9">
      <c r="H22393" s="1092"/>
      <c r="I22393" s="1092"/>
    </row>
    <row r="22394" spans="8:9">
      <c r="H22394" s="1092"/>
      <c r="I22394" s="1092"/>
    </row>
    <row r="22395" spans="8:9">
      <c r="H22395" s="1092"/>
      <c r="I22395" s="1092"/>
    </row>
    <row r="22396" spans="8:9">
      <c r="H22396" s="1092"/>
      <c r="I22396" s="1092"/>
    </row>
    <row r="22397" spans="8:9">
      <c r="H22397" s="1092"/>
      <c r="I22397" s="1092"/>
    </row>
    <row r="22398" spans="8:9">
      <c r="H22398" s="1092"/>
      <c r="I22398" s="1092"/>
    </row>
    <row r="22399" spans="8:9">
      <c r="H22399" s="1092"/>
      <c r="I22399" s="1092"/>
    </row>
    <row r="22400" spans="8:9">
      <c r="H22400" s="1092"/>
      <c r="I22400" s="1092"/>
    </row>
    <row r="22401" spans="8:9">
      <c r="H22401" s="1092"/>
      <c r="I22401" s="1092"/>
    </row>
    <row r="22402" spans="8:9">
      <c r="H22402" s="1092"/>
      <c r="I22402" s="1092"/>
    </row>
    <row r="22403" spans="8:9">
      <c r="H22403" s="1092"/>
      <c r="I22403" s="1092"/>
    </row>
    <row r="22404" spans="8:9">
      <c r="H22404" s="1092"/>
      <c r="I22404" s="1092"/>
    </row>
    <row r="22405" spans="8:9">
      <c r="H22405" s="1092"/>
      <c r="I22405" s="1092"/>
    </row>
    <row r="22406" spans="8:9">
      <c r="H22406" s="1092"/>
      <c r="I22406" s="1092"/>
    </row>
    <row r="22407" spans="8:9">
      <c r="H22407" s="1092"/>
      <c r="I22407" s="1092"/>
    </row>
    <row r="22408" spans="8:9">
      <c r="H22408" s="1092"/>
      <c r="I22408" s="1092"/>
    </row>
    <row r="22409" spans="8:9">
      <c r="H22409" s="1092"/>
      <c r="I22409" s="1092"/>
    </row>
    <row r="22410" spans="8:9">
      <c r="H22410" s="1092"/>
      <c r="I22410" s="1092"/>
    </row>
    <row r="22411" spans="8:9">
      <c r="H22411" s="1092"/>
      <c r="I22411" s="1092"/>
    </row>
    <row r="22412" spans="8:9">
      <c r="H22412" s="1092"/>
      <c r="I22412" s="1092"/>
    </row>
    <row r="22413" spans="8:9">
      <c r="H22413" s="1092"/>
      <c r="I22413" s="1092"/>
    </row>
    <row r="22414" spans="8:9">
      <c r="H22414" s="1092"/>
      <c r="I22414" s="1092"/>
    </row>
    <row r="22415" spans="8:9">
      <c r="H22415" s="1092"/>
      <c r="I22415" s="1092"/>
    </row>
    <row r="22416" spans="8:9">
      <c r="H22416" s="1092"/>
      <c r="I22416" s="1092"/>
    </row>
    <row r="22417" spans="8:9">
      <c r="H22417" s="1092"/>
      <c r="I22417" s="1092"/>
    </row>
    <row r="22418" spans="8:9">
      <c r="H22418" s="1092"/>
      <c r="I22418" s="1092"/>
    </row>
    <row r="22419" spans="8:9">
      <c r="H22419" s="1092"/>
      <c r="I22419" s="1092"/>
    </row>
    <row r="22420" spans="8:9">
      <c r="H22420" s="1092"/>
      <c r="I22420" s="1092"/>
    </row>
    <row r="22421" spans="8:9">
      <c r="H22421" s="1092"/>
      <c r="I22421" s="1092"/>
    </row>
    <row r="22422" spans="8:9">
      <c r="H22422" s="1092"/>
      <c r="I22422" s="1092"/>
    </row>
    <row r="22423" spans="8:9">
      <c r="H22423" s="1092"/>
      <c r="I22423" s="1092"/>
    </row>
    <row r="22424" spans="8:9">
      <c r="H22424" s="1092"/>
      <c r="I22424" s="1092"/>
    </row>
    <row r="22425" spans="8:9">
      <c r="H22425" s="1092"/>
      <c r="I22425" s="1092"/>
    </row>
    <row r="22426" spans="8:9">
      <c r="H22426" s="1092"/>
      <c r="I22426" s="1092"/>
    </row>
    <row r="22427" spans="8:9">
      <c r="H22427" s="1092"/>
      <c r="I22427" s="1092"/>
    </row>
    <row r="22428" spans="8:9">
      <c r="H22428" s="1092"/>
      <c r="I22428" s="1092"/>
    </row>
    <row r="22429" spans="8:9">
      <c r="H22429" s="1092"/>
      <c r="I22429" s="1092"/>
    </row>
    <row r="22430" spans="8:9">
      <c r="H22430" s="1092"/>
      <c r="I22430" s="1092"/>
    </row>
    <row r="22431" spans="8:9">
      <c r="H22431" s="1092"/>
      <c r="I22431" s="1092"/>
    </row>
    <row r="22432" spans="8:9">
      <c r="H22432" s="1092"/>
      <c r="I22432" s="1092"/>
    </row>
    <row r="22433" spans="8:9">
      <c r="H22433" s="1092"/>
      <c r="I22433" s="1092"/>
    </row>
    <row r="22434" spans="8:9">
      <c r="H22434" s="1092"/>
      <c r="I22434" s="1092"/>
    </row>
    <row r="22435" spans="8:9">
      <c r="H22435" s="1092"/>
      <c r="I22435" s="1092"/>
    </row>
    <row r="22436" spans="8:9">
      <c r="H22436" s="1092"/>
      <c r="I22436" s="1092"/>
    </row>
    <row r="22437" spans="8:9">
      <c r="H22437" s="1092"/>
      <c r="I22437" s="1092"/>
    </row>
    <row r="22438" spans="8:9">
      <c r="H22438" s="1092"/>
      <c r="I22438" s="1092"/>
    </row>
    <row r="22439" spans="8:9">
      <c r="H22439" s="1092"/>
      <c r="I22439" s="1092"/>
    </row>
    <row r="22440" spans="8:9">
      <c r="H22440" s="1092"/>
      <c r="I22440" s="1092"/>
    </row>
    <row r="22441" spans="8:9">
      <c r="H22441" s="1092"/>
      <c r="I22441" s="1092"/>
    </row>
    <row r="22442" spans="8:9">
      <c r="H22442" s="1092"/>
      <c r="I22442" s="1092"/>
    </row>
    <row r="22443" spans="8:9">
      <c r="H22443" s="1092"/>
      <c r="I22443" s="1092"/>
    </row>
    <row r="22444" spans="8:9">
      <c r="H22444" s="1092"/>
      <c r="I22444" s="1092"/>
    </row>
    <row r="22445" spans="8:9">
      <c r="H22445" s="1092"/>
      <c r="I22445" s="1092"/>
    </row>
    <row r="22446" spans="8:9">
      <c r="H22446" s="1092"/>
      <c r="I22446" s="1092"/>
    </row>
    <row r="22447" spans="8:9">
      <c r="H22447" s="1092"/>
      <c r="I22447" s="1092"/>
    </row>
    <row r="22448" spans="8:9">
      <c r="H22448" s="1092"/>
      <c r="I22448" s="1092"/>
    </row>
    <row r="22449" spans="8:9">
      <c r="H22449" s="1092"/>
      <c r="I22449" s="1092"/>
    </row>
    <row r="22450" spans="8:9">
      <c r="H22450" s="1092"/>
      <c r="I22450" s="1092"/>
    </row>
    <row r="22451" spans="8:9">
      <c r="H22451" s="1092"/>
      <c r="I22451" s="1092"/>
    </row>
    <row r="22452" spans="8:9">
      <c r="H22452" s="1092"/>
      <c r="I22452" s="1092"/>
    </row>
    <row r="22453" spans="8:9">
      <c r="H22453" s="1092"/>
      <c r="I22453" s="1092"/>
    </row>
    <row r="22454" spans="8:9">
      <c r="H22454" s="1092"/>
      <c r="I22454" s="1092"/>
    </row>
    <row r="22455" spans="8:9">
      <c r="H22455" s="1092"/>
      <c r="I22455" s="1092"/>
    </row>
    <row r="22456" spans="8:9">
      <c r="H22456" s="1092"/>
      <c r="I22456" s="1092"/>
    </row>
    <row r="22457" spans="8:9">
      <c r="H22457" s="1092"/>
      <c r="I22457" s="1092"/>
    </row>
    <row r="22458" spans="8:9">
      <c r="H22458" s="1092"/>
      <c r="I22458" s="1092"/>
    </row>
    <row r="22459" spans="8:9">
      <c r="H22459" s="1092"/>
      <c r="I22459" s="1092"/>
    </row>
    <row r="22460" spans="8:9">
      <c r="H22460" s="1092"/>
      <c r="I22460" s="1092"/>
    </row>
    <row r="22461" spans="8:9">
      <c r="H22461" s="1092"/>
      <c r="I22461" s="1092"/>
    </row>
    <row r="22462" spans="8:9">
      <c r="H22462" s="1092"/>
      <c r="I22462" s="1092"/>
    </row>
    <row r="22463" spans="8:9">
      <c r="H22463" s="1092"/>
      <c r="I22463" s="1092"/>
    </row>
    <row r="22464" spans="8:9">
      <c r="H22464" s="1092"/>
      <c r="I22464" s="1092"/>
    </row>
    <row r="22465" spans="8:9">
      <c r="H22465" s="1092"/>
      <c r="I22465" s="1092"/>
    </row>
    <row r="22466" spans="8:9">
      <c r="H22466" s="1092"/>
      <c r="I22466" s="1092"/>
    </row>
    <row r="22467" spans="8:9">
      <c r="H22467" s="1092"/>
      <c r="I22467" s="1092"/>
    </row>
    <row r="22468" spans="8:9">
      <c r="H22468" s="1092"/>
      <c r="I22468" s="1092"/>
    </row>
    <row r="22469" spans="8:9">
      <c r="H22469" s="1092"/>
      <c r="I22469" s="1092"/>
    </row>
    <row r="22470" spans="8:9">
      <c r="H22470" s="1092"/>
      <c r="I22470" s="1092"/>
    </row>
    <row r="22471" spans="8:9">
      <c r="H22471" s="1092"/>
      <c r="I22471" s="1092"/>
    </row>
    <row r="22472" spans="8:9">
      <c r="H22472" s="1092"/>
      <c r="I22472" s="1092"/>
    </row>
    <row r="22473" spans="8:9">
      <c r="H22473" s="1092"/>
      <c r="I22473" s="1092"/>
    </row>
    <row r="22474" spans="8:9">
      <c r="H22474" s="1092"/>
      <c r="I22474" s="1092"/>
    </row>
    <row r="22475" spans="8:9">
      <c r="H22475" s="1092"/>
      <c r="I22475" s="1092"/>
    </row>
    <row r="22476" spans="8:9">
      <c r="H22476" s="1092"/>
      <c r="I22476" s="1092"/>
    </row>
    <row r="22477" spans="8:9">
      <c r="H22477" s="1092"/>
      <c r="I22477" s="1092"/>
    </row>
    <row r="22478" spans="8:9">
      <c r="H22478" s="1092"/>
      <c r="I22478" s="1092"/>
    </row>
    <row r="22479" spans="8:9">
      <c r="H22479" s="1092"/>
      <c r="I22479" s="1092"/>
    </row>
    <row r="22480" spans="8:9">
      <c r="H22480" s="1092"/>
      <c r="I22480" s="1092"/>
    </row>
    <row r="22481" spans="8:9">
      <c r="H22481" s="1092"/>
      <c r="I22481" s="1092"/>
    </row>
    <row r="22482" spans="8:9">
      <c r="H22482" s="1092"/>
      <c r="I22482" s="1092"/>
    </row>
    <row r="22483" spans="8:9">
      <c r="H22483" s="1092"/>
      <c r="I22483" s="1092"/>
    </row>
    <row r="22484" spans="8:9">
      <c r="H22484" s="1092"/>
      <c r="I22484" s="1092"/>
    </row>
    <row r="22485" spans="8:9">
      <c r="H22485" s="1092"/>
      <c r="I22485" s="1092"/>
    </row>
    <row r="22486" spans="8:9">
      <c r="H22486" s="1092"/>
      <c r="I22486" s="1092"/>
    </row>
    <row r="22487" spans="8:9">
      <c r="H22487" s="1092"/>
      <c r="I22487" s="1092"/>
    </row>
    <row r="22488" spans="8:9">
      <c r="H22488" s="1092"/>
      <c r="I22488" s="1092"/>
    </row>
    <row r="22489" spans="8:9">
      <c r="H22489" s="1092"/>
      <c r="I22489" s="1092"/>
    </row>
    <row r="22490" spans="8:9">
      <c r="H22490" s="1092"/>
      <c r="I22490" s="1092"/>
    </row>
    <row r="22491" spans="8:9">
      <c r="H22491" s="1092"/>
      <c r="I22491" s="1092"/>
    </row>
    <row r="22492" spans="8:9">
      <c r="H22492" s="1092"/>
      <c r="I22492" s="1092"/>
    </row>
    <row r="22493" spans="8:9">
      <c r="H22493" s="1092"/>
      <c r="I22493" s="1092"/>
    </row>
    <row r="22494" spans="8:9">
      <c r="H22494" s="1092"/>
      <c r="I22494" s="1092"/>
    </row>
    <row r="22495" spans="8:9">
      <c r="H22495" s="1092"/>
      <c r="I22495" s="1092"/>
    </row>
    <row r="22496" spans="8:9">
      <c r="H22496" s="1092"/>
      <c r="I22496" s="1092"/>
    </row>
    <row r="22497" spans="8:9">
      <c r="H22497" s="1092"/>
      <c r="I22497" s="1092"/>
    </row>
    <row r="22498" spans="8:9">
      <c r="H22498" s="1092"/>
      <c r="I22498" s="1092"/>
    </row>
    <row r="22499" spans="8:9">
      <c r="H22499" s="1092"/>
      <c r="I22499" s="1092"/>
    </row>
    <row r="22500" spans="8:9">
      <c r="H22500" s="1092"/>
      <c r="I22500" s="1092"/>
    </row>
    <row r="22501" spans="8:9">
      <c r="H22501" s="1092"/>
      <c r="I22501" s="1092"/>
    </row>
    <row r="22502" spans="8:9">
      <c r="H22502" s="1092"/>
      <c r="I22502" s="1092"/>
    </row>
    <row r="22503" spans="8:9">
      <c r="H22503" s="1092"/>
      <c r="I22503" s="1092"/>
    </row>
    <row r="22504" spans="8:9">
      <c r="H22504" s="1092"/>
      <c r="I22504" s="1092"/>
    </row>
    <row r="22505" spans="8:9">
      <c r="H22505" s="1092"/>
      <c r="I22505" s="1092"/>
    </row>
    <row r="22506" spans="8:9">
      <c r="H22506" s="1092"/>
      <c r="I22506" s="1092"/>
    </row>
    <row r="22507" spans="8:9">
      <c r="H22507" s="1092"/>
      <c r="I22507" s="1092"/>
    </row>
    <row r="22508" spans="8:9">
      <c r="H22508" s="1092"/>
      <c r="I22508" s="1092"/>
    </row>
    <row r="22509" spans="8:9">
      <c r="H22509" s="1092"/>
      <c r="I22509" s="1092"/>
    </row>
    <row r="22510" spans="8:9">
      <c r="H22510" s="1092"/>
      <c r="I22510" s="1092"/>
    </row>
    <row r="22511" spans="8:9">
      <c r="H22511" s="1092"/>
      <c r="I22511" s="1092"/>
    </row>
    <row r="22512" spans="8:9">
      <c r="H22512" s="1092"/>
      <c r="I22512" s="1092"/>
    </row>
    <row r="22513" spans="8:9">
      <c r="H22513" s="1092"/>
      <c r="I22513" s="1092"/>
    </row>
    <row r="22514" spans="8:9">
      <c r="H22514" s="1092"/>
      <c r="I22514" s="1092"/>
    </row>
    <row r="22515" spans="8:9">
      <c r="H22515" s="1092"/>
      <c r="I22515" s="1092"/>
    </row>
    <row r="22516" spans="8:9">
      <c r="H22516" s="1092"/>
      <c r="I22516" s="1092"/>
    </row>
    <row r="22517" spans="8:9">
      <c r="H22517" s="1092"/>
      <c r="I22517" s="1092"/>
    </row>
    <row r="22518" spans="8:9">
      <c r="H22518" s="1092"/>
      <c r="I22518" s="1092"/>
    </row>
    <row r="22519" spans="8:9">
      <c r="H22519" s="1092"/>
      <c r="I22519" s="1092"/>
    </row>
    <row r="22520" spans="8:9">
      <c r="H22520" s="1092"/>
      <c r="I22520" s="1092"/>
    </row>
    <row r="22521" spans="8:9">
      <c r="H22521" s="1092"/>
      <c r="I22521" s="1092"/>
    </row>
    <row r="22522" spans="8:9">
      <c r="H22522" s="1092"/>
      <c r="I22522" s="1092"/>
    </row>
    <row r="22523" spans="8:9">
      <c r="H22523" s="1092"/>
      <c r="I22523" s="1092"/>
    </row>
    <row r="22524" spans="8:9">
      <c r="H22524" s="1092"/>
      <c r="I22524" s="1092"/>
    </row>
    <row r="22525" spans="8:9">
      <c r="H22525" s="1092"/>
      <c r="I22525" s="1092"/>
    </row>
    <row r="22526" spans="8:9">
      <c r="H22526" s="1092"/>
      <c r="I22526" s="1092"/>
    </row>
    <row r="22527" spans="8:9">
      <c r="H22527" s="1092"/>
      <c r="I22527" s="1092"/>
    </row>
    <row r="22528" spans="8:9">
      <c r="H22528" s="1092"/>
      <c r="I22528" s="1092"/>
    </row>
    <row r="22529" spans="8:9">
      <c r="H22529" s="1092"/>
      <c r="I22529" s="1092"/>
    </row>
    <row r="22530" spans="8:9">
      <c r="H22530" s="1092"/>
      <c r="I22530" s="1092"/>
    </row>
    <row r="22531" spans="8:9">
      <c r="H22531" s="1092"/>
      <c r="I22531" s="1092"/>
    </row>
    <row r="22532" spans="8:9">
      <c r="H22532" s="1092"/>
      <c r="I22532" s="1092"/>
    </row>
    <row r="22533" spans="8:9">
      <c r="H22533" s="1092"/>
      <c r="I22533" s="1092"/>
    </row>
    <row r="22534" spans="8:9">
      <c r="H22534" s="1092"/>
      <c r="I22534" s="1092"/>
    </row>
    <row r="22535" spans="8:9">
      <c r="H22535" s="1092"/>
      <c r="I22535" s="1092"/>
    </row>
    <row r="22536" spans="8:9">
      <c r="H22536" s="1092"/>
      <c r="I22536" s="1092"/>
    </row>
    <row r="22537" spans="8:9">
      <c r="H22537" s="1092"/>
      <c r="I22537" s="1092"/>
    </row>
    <row r="22538" spans="8:9">
      <c r="H22538" s="1092"/>
      <c r="I22538" s="1092"/>
    </row>
    <row r="22539" spans="8:9">
      <c r="H22539" s="1092"/>
      <c r="I22539" s="1092"/>
    </row>
    <row r="22540" spans="8:9">
      <c r="H22540" s="1092"/>
      <c r="I22540" s="1092"/>
    </row>
    <row r="22541" spans="8:9">
      <c r="H22541" s="1092"/>
      <c r="I22541" s="1092"/>
    </row>
    <row r="22542" spans="8:9">
      <c r="H22542" s="1092"/>
      <c r="I22542" s="1092"/>
    </row>
    <row r="22543" spans="8:9">
      <c r="H22543" s="1092"/>
      <c r="I22543" s="1092"/>
    </row>
    <row r="22544" spans="8:9">
      <c r="H22544" s="1092"/>
      <c r="I22544" s="1092"/>
    </row>
    <row r="22545" spans="8:9">
      <c r="H22545" s="1092"/>
      <c r="I22545" s="1092"/>
    </row>
    <row r="22546" spans="8:9">
      <c r="H22546" s="1092"/>
      <c r="I22546" s="1092"/>
    </row>
    <row r="22547" spans="8:9">
      <c r="H22547" s="1092"/>
      <c r="I22547" s="1092"/>
    </row>
    <row r="22548" spans="8:9">
      <c r="H22548" s="1092"/>
      <c r="I22548" s="1092"/>
    </row>
    <row r="22549" spans="8:9">
      <c r="H22549" s="1092"/>
      <c r="I22549" s="1092"/>
    </row>
    <row r="22550" spans="8:9">
      <c r="H22550" s="1092"/>
      <c r="I22550" s="1092"/>
    </row>
    <row r="22551" spans="8:9">
      <c r="H22551" s="1092"/>
      <c r="I22551" s="1092"/>
    </row>
    <row r="22552" spans="8:9">
      <c r="H22552" s="1092"/>
      <c r="I22552" s="1092"/>
    </row>
    <row r="22553" spans="8:9">
      <c r="H22553" s="1092"/>
      <c r="I22553" s="1092"/>
    </row>
    <row r="22554" spans="8:9">
      <c r="H22554" s="1092"/>
      <c r="I22554" s="1092"/>
    </row>
    <row r="22555" spans="8:9">
      <c r="H22555" s="1092"/>
      <c r="I22555" s="1092"/>
    </row>
    <row r="22556" spans="8:9">
      <c r="H22556" s="1092"/>
      <c r="I22556" s="1092"/>
    </row>
    <row r="22557" spans="8:9">
      <c r="H22557" s="1092"/>
      <c r="I22557" s="1092"/>
    </row>
    <row r="22558" spans="8:9">
      <c r="H22558" s="1092"/>
      <c r="I22558" s="1092"/>
    </row>
    <row r="22559" spans="8:9">
      <c r="H22559" s="1092"/>
      <c r="I22559" s="1092"/>
    </row>
    <row r="22560" spans="8:9">
      <c r="H22560" s="1092"/>
      <c r="I22560" s="1092"/>
    </row>
    <row r="22561" spans="8:9">
      <c r="H22561" s="1092"/>
      <c r="I22561" s="1092"/>
    </row>
    <row r="22562" spans="8:9">
      <c r="H22562" s="1092"/>
      <c r="I22562" s="1092"/>
    </row>
    <row r="22563" spans="8:9">
      <c r="H22563" s="1092"/>
      <c r="I22563" s="1092"/>
    </row>
    <row r="22564" spans="8:9">
      <c r="H22564" s="1092"/>
      <c r="I22564" s="1092"/>
    </row>
    <row r="22565" spans="8:9">
      <c r="H22565" s="1092"/>
      <c r="I22565" s="1092"/>
    </row>
    <row r="22566" spans="8:9">
      <c r="H22566" s="1092"/>
      <c r="I22566" s="1092"/>
    </row>
    <row r="22567" spans="8:9">
      <c r="H22567" s="1092"/>
      <c r="I22567" s="1092"/>
    </row>
    <row r="22568" spans="8:9">
      <c r="H22568" s="1092"/>
      <c r="I22568" s="1092"/>
    </row>
    <row r="22569" spans="8:9">
      <c r="H22569" s="1092"/>
      <c r="I22569" s="1092"/>
    </row>
    <row r="22570" spans="8:9">
      <c r="H22570" s="1092"/>
      <c r="I22570" s="1092"/>
    </row>
    <row r="22571" spans="8:9">
      <c r="H22571" s="1092"/>
      <c r="I22571" s="1092"/>
    </row>
    <row r="22572" spans="8:9">
      <c r="H22572" s="1092"/>
      <c r="I22572" s="1092"/>
    </row>
    <row r="22573" spans="8:9">
      <c r="H22573" s="1092"/>
      <c r="I22573" s="1092"/>
    </row>
    <row r="22574" spans="8:9">
      <c r="H22574" s="1092"/>
      <c r="I22574" s="1092"/>
    </row>
    <row r="22575" spans="8:9">
      <c r="H22575" s="1092"/>
      <c r="I22575" s="1092"/>
    </row>
    <row r="22576" spans="8:9">
      <c r="H22576" s="1092"/>
      <c r="I22576" s="1092"/>
    </row>
    <row r="22577" spans="8:9">
      <c r="H22577" s="1092"/>
      <c r="I22577" s="1092"/>
    </row>
    <row r="22578" spans="8:9">
      <c r="H22578" s="1092"/>
      <c r="I22578" s="1092"/>
    </row>
    <row r="22579" spans="8:9">
      <c r="H22579" s="1092"/>
      <c r="I22579" s="1092"/>
    </row>
    <row r="22580" spans="8:9">
      <c r="H22580" s="1092"/>
      <c r="I22580" s="1092"/>
    </row>
    <row r="22581" spans="8:9">
      <c r="H22581" s="1092"/>
      <c r="I22581" s="1092"/>
    </row>
    <row r="22582" spans="8:9">
      <c r="H22582" s="1092"/>
      <c r="I22582" s="1092"/>
    </row>
    <row r="22583" spans="8:9">
      <c r="H22583" s="1092"/>
      <c r="I22583" s="1092"/>
    </row>
    <row r="22584" spans="8:9">
      <c r="H22584" s="1092"/>
      <c r="I22584" s="1092"/>
    </row>
    <row r="22585" spans="8:9">
      <c r="H22585" s="1092"/>
      <c r="I22585" s="1092"/>
    </row>
    <row r="22586" spans="8:9">
      <c r="H22586" s="1092"/>
      <c r="I22586" s="1092"/>
    </row>
    <row r="22587" spans="8:9">
      <c r="H22587" s="1092"/>
      <c r="I22587" s="1092"/>
    </row>
    <row r="22588" spans="8:9">
      <c r="H22588" s="1092"/>
      <c r="I22588" s="1092"/>
    </row>
    <row r="22589" spans="8:9">
      <c r="H22589" s="1092"/>
      <c r="I22589" s="1092"/>
    </row>
    <row r="22590" spans="8:9">
      <c r="H22590" s="1092"/>
      <c r="I22590" s="1092"/>
    </row>
    <row r="22591" spans="8:9">
      <c r="H22591" s="1092"/>
      <c r="I22591" s="1092"/>
    </row>
    <row r="22592" spans="8:9">
      <c r="H22592" s="1092"/>
      <c r="I22592" s="1092"/>
    </row>
    <row r="22593" spans="8:9">
      <c r="H22593" s="1092"/>
      <c r="I22593" s="1092"/>
    </row>
    <row r="22594" spans="8:9">
      <c r="H22594" s="1092"/>
      <c r="I22594" s="1092"/>
    </row>
    <row r="22595" spans="8:9">
      <c r="H22595" s="1092"/>
      <c r="I22595" s="1092"/>
    </row>
    <row r="22596" spans="8:9">
      <c r="H22596" s="1092"/>
      <c r="I22596" s="1092"/>
    </row>
    <row r="22597" spans="8:9">
      <c r="H22597" s="1092"/>
      <c r="I22597" s="1092"/>
    </row>
    <row r="22598" spans="8:9">
      <c r="H22598" s="1092"/>
      <c r="I22598" s="1092"/>
    </row>
    <row r="22599" spans="8:9">
      <c r="H22599" s="1092"/>
      <c r="I22599" s="1092"/>
    </row>
    <row r="22600" spans="8:9">
      <c r="H22600" s="1092"/>
      <c r="I22600" s="1092"/>
    </row>
    <row r="22601" spans="8:9">
      <c r="H22601" s="1092"/>
      <c r="I22601" s="1092"/>
    </row>
    <row r="22602" spans="8:9">
      <c r="H22602" s="1092"/>
      <c r="I22602" s="1092"/>
    </row>
    <row r="22603" spans="8:9">
      <c r="H22603" s="1092"/>
      <c r="I22603" s="1092"/>
    </row>
    <row r="22604" spans="8:9">
      <c r="H22604" s="1092"/>
      <c r="I22604" s="1092"/>
    </row>
    <row r="22605" spans="8:9">
      <c r="H22605" s="1092"/>
      <c r="I22605" s="1092"/>
    </row>
    <row r="22606" spans="8:9">
      <c r="H22606" s="1092"/>
      <c r="I22606" s="1092"/>
    </row>
    <row r="22607" spans="8:9">
      <c r="H22607" s="1092"/>
      <c r="I22607" s="1092"/>
    </row>
    <row r="22608" spans="8:9">
      <c r="H22608" s="1092"/>
      <c r="I22608" s="1092"/>
    </row>
    <row r="22609" spans="8:9">
      <c r="H22609" s="1092"/>
      <c r="I22609" s="1092"/>
    </row>
    <row r="22610" spans="8:9">
      <c r="H22610" s="1092"/>
      <c r="I22610" s="1092"/>
    </row>
    <row r="22611" spans="8:9">
      <c r="H22611" s="1092"/>
      <c r="I22611" s="1092"/>
    </row>
    <row r="22612" spans="8:9">
      <c r="H22612" s="1092"/>
      <c r="I22612" s="1092"/>
    </row>
    <row r="22613" spans="8:9">
      <c r="H22613" s="1092"/>
      <c r="I22613" s="1092"/>
    </row>
    <row r="22614" spans="8:9">
      <c r="H22614" s="1092"/>
      <c r="I22614" s="1092"/>
    </row>
    <row r="22615" spans="8:9">
      <c r="H22615" s="1092"/>
      <c r="I22615" s="1092"/>
    </row>
    <row r="22616" spans="8:9">
      <c r="H22616" s="1092"/>
      <c r="I22616" s="1092"/>
    </row>
    <row r="22617" spans="8:9">
      <c r="H22617" s="1092"/>
      <c r="I22617" s="1092"/>
    </row>
    <row r="22618" spans="8:9">
      <c r="H22618" s="1092"/>
      <c r="I22618" s="1092"/>
    </row>
    <row r="22619" spans="8:9">
      <c r="H22619" s="1092"/>
      <c r="I22619" s="1092"/>
    </row>
    <row r="22620" spans="8:9">
      <c r="H22620" s="1092"/>
      <c r="I22620" s="1092"/>
    </row>
    <row r="22621" spans="8:9">
      <c r="H22621" s="1092"/>
      <c r="I22621" s="1092"/>
    </row>
    <row r="22622" spans="8:9">
      <c r="H22622" s="1092"/>
      <c r="I22622" s="1092"/>
    </row>
    <row r="22623" spans="8:9">
      <c r="H22623" s="1092"/>
      <c r="I22623" s="1092"/>
    </row>
    <row r="22624" spans="8:9">
      <c r="H22624" s="1092"/>
      <c r="I22624" s="1092"/>
    </row>
    <row r="22625" spans="8:9">
      <c r="H22625" s="1092"/>
      <c r="I22625" s="1092"/>
    </row>
    <row r="22626" spans="8:9">
      <c r="H22626" s="1092"/>
      <c r="I22626" s="1092"/>
    </row>
    <row r="22627" spans="8:9">
      <c r="H22627" s="1092"/>
      <c r="I22627" s="1092"/>
    </row>
    <row r="22628" spans="8:9">
      <c r="H22628" s="1092"/>
      <c r="I22628" s="1092"/>
    </row>
    <row r="22629" spans="8:9">
      <c r="H22629" s="1092"/>
      <c r="I22629" s="1092"/>
    </row>
    <row r="22630" spans="8:9">
      <c r="H22630" s="1092"/>
      <c r="I22630" s="1092"/>
    </row>
    <row r="22631" spans="8:9">
      <c r="H22631" s="1092"/>
      <c r="I22631" s="1092"/>
    </row>
    <row r="22632" spans="8:9">
      <c r="H22632" s="1092"/>
      <c r="I22632" s="1092"/>
    </row>
    <row r="22633" spans="8:9">
      <c r="H22633" s="1092"/>
      <c r="I22633" s="1092"/>
    </row>
    <row r="22634" spans="8:9">
      <c r="H22634" s="1092"/>
      <c r="I22634" s="1092"/>
    </row>
    <row r="22635" spans="8:9">
      <c r="H22635" s="1092"/>
      <c r="I22635" s="1092"/>
    </row>
    <row r="22636" spans="8:9">
      <c r="H22636" s="1092"/>
      <c r="I22636" s="1092"/>
    </row>
    <row r="22637" spans="8:9">
      <c r="H22637" s="1092"/>
      <c r="I22637" s="1092"/>
    </row>
    <row r="22638" spans="8:9">
      <c r="H22638" s="1092"/>
      <c r="I22638" s="1092"/>
    </row>
    <row r="22639" spans="8:9">
      <c r="H22639" s="1092"/>
      <c r="I22639" s="1092"/>
    </row>
    <row r="22640" spans="8:9">
      <c r="H22640" s="1092"/>
      <c r="I22640" s="1092"/>
    </row>
    <row r="22641" spans="8:9">
      <c r="H22641" s="1092"/>
      <c r="I22641" s="1092"/>
    </row>
    <row r="22642" spans="8:9">
      <c r="H22642" s="1092"/>
      <c r="I22642" s="1092"/>
    </row>
    <row r="22643" spans="8:9">
      <c r="H22643" s="1092"/>
      <c r="I22643" s="1092"/>
    </row>
    <row r="22644" spans="8:9">
      <c r="H22644" s="1092"/>
      <c r="I22644" s="1092"/>
    </row>
    <row r="22645" spans="8:9">
      <c r="H22645" s="1092"/>
      <c r="I22645" s="1092"/>
    </row>
    <row r="22646" spans="8:9">
      <c r="H22646" s="1092"/>
      <c r="I22646" s="1092"/>
    </row>
    <row r="22647" spans="8:9">
      <c r="H22647" s="1092"/>
      <c r="I22647" s="1092"/>
    </row>
    <row r="22648" spans="8:9">
      <c r="H22648" s="1092"/>
      <c r="I22648" s="1092"/>
    </row>
    <row r="22649" spans="8:9">
      <c r="H22649" s="1092"/>
      <c r="I22649" s="1092"/>
    </row>
    <row r="22650" spans="8:9">
      <c r="H22650" s="1092"/>
      <c r="I22650" s="1092"/>
    </row>
    <row r="22651" spans="8:9">
      <c r="H22651" s="1092"/>
      <c r="I22651" s="1092"/>
    </row>
    <row r="22652" spans="8:9">
      <c r="H22652" s="1092"/>
      <c r="I22652" s="1092"/>
    </row>
    <row r="22653" spans="8:9">
      <c r="H22653" s="1092"/>
      <c r="I22653" s="1092"/>
    </row>
    <row r="22654" spans="8:9">
      <c r="H22654" s="1092"/>
      <c r="I22654" s="1092"/>
    </row>
    <row r="22655" spans="8:9">
      <c r="H22655" s="1092"/>
      <c r="I22655" s="1092"/>
    </row>
    <row r="22656" spans="8:9">
      <c r="H22656" s="1092"/>
      <c r="I22656" s="1092"/>
    </row>
    <row r="22657" spans="8:9">
      <c r="H22657" s="1092"/>
      <c r="I22657" s="1092"/>
    </row>
    <row r="22658" spans="8:9">
      <c r="H22658" s="1092"/>
      <c r="I22658" s="1092"/>
    </row>
    <row r="22659" spans="8:9">
      <c r="H22659" s="1092"/>
      <c r="I22659" s="1092"/>
    </row>
    <row r="22660" spans="8:9">
      <c r="H22660" s="1092"/>
      <c r="I22660" s="1092"/>
    </row>
    <row r="22661" spans="8:9">
      <c r="H22661" s="1092"/>
      <c r="I22661" s="1092"/>
    </row>
    <row r="22662" spans="8:9">
      <c r="H22662" s="1092"/>
      <c r="I22662" s="1092"/>
    </row>
    <row r="22663" spans="8:9">
      <c r="H22663" s="1092"/>
      <c r="I22663" s="1092"/>
    </row>
    <row r="22664" spans="8:9">
      <c r="H22664" s="1092"/>
      <c r="I22664" s="1092"/>
    </row>
    <row r="22665" spans="8:9">
      <c r="H22665" s="1092"/>
      <c r="I22665" s="1092"/>
    </row>
    <row r="22666" spans="8:9">
      <c r="H22666" s="1092"/>
      <c r="I22666" s="1092"/>
    </row>
    <row r="22667" spans="8:9">
      <c r="H22667" s="1092"/>
      <c r="I22667" s="1092"/>
    </row>
    <row r="22668" spans="8:9">
      <c r="H22668" s="1092"/>
      <c r="I22668" s="1092"/>
    </row>
    <row r="22669" spans="8:9">
      <c r="H22669" s="1092"/>
      <c r="I22669" s="1092"/>
    </row>
    <row r="22670" spans="8:9">
      <c r="H22670" s="1092"/>
      <c r="I22670" s="1092"/>
    </row>
    <row r="22671" spans="8:9">
      <c r="H22671" s="1092"/>
      <c r="I22671" s="1092"/>
    </row>
    <row r="22672" spans="8:9">
      <c r="H22672" s="1092"/>
      <c r="I22672" s="1092"/>
    </row>
    <row r="22673" spans="8:9">
      <c r="H22673" s="1092"/>
      <c r="I22673" s="1092"/>
    </row>
    <row r="22674" spans="8:9">
      <c r="H22674" s="1092"/>
      <c r="I22674" s="1092"/>
    </row>
    <row r="22675" spans="8:9">
      <c r="H22675" s="1092"/>
      <c r="I22675" s="1092"/>
    </row>
    <row r="22676" spans="8:9">
      <c r="H22676" s="1092"/>
      <c r="I22676" s="1092"/>
    </row>
    <row r="22677" spans="8:9">
      <c r="H22677" s="1092"/>
      <c r="I22677" s="1092"/>
    </row>
    <row r="22678" spans="8:9">
      <c r="H22678" s="1092"/>
      <c r="I22678" s="1092"/>
    </row>
    <row r="22679" spans="8:9">
      <c r="H22679" s="1092"/>
      <c r="I22679" s="1092"/>
    </row>
    <row r="22680" spans="8:9">
      <c r="H22680" s="1092"/>
      <c r="I22680" s="1092"/>
    </row>
    <row r="22681" spans="8:9">
      <c r="H22681" s="1092"/>
      <c r="I22681" s="1092"/>
    </row>
    <row r="22682" spans="8:9">
      <c r="H22682" s="1092"/>
      <c r="I22682" s="1092"/>
    </row>
    <row r="22683" spans="8:9">
      <c r="H22683" s="1092"/>
      <c r="I22683" s="1092"/>
    </row>
    <row r="22684" spans="8:9">
      <c r="H22684" s="1092"/>
      <c r="I22684" s="1092"/>
    </row>
    <row r="22685" spans="8:9">
      <c r="H22685" s="1092"/>
      <c r="I22685" s="1092"/>
    </row>
    <row r="22686" spans="8:9">
      <c r="H22686" s="1092"/>
      <c r="I22686" s="1092"/>
    </row>
    <row r="22687" spans="8:9">
      <c r="H22687" s="1092"/>
      <c r="I22687" s="1092"/>
    </row>
    <row r="22688" spans="8:9">
      <c r="H22688" s="1092"/>
      <c r="I22688" s="1092"/>
    </row>
    <row r="22689" spans="8:9">
      <c r="H22689" s="1092"/>
      <c r="I22689" s="1092"/>
    </row>
    <row r="22690" spans="8:9">
      <c r="H22690" s="1092"/>
      <c r="I22690" s="1092"/>
    </row>
    <row r="22691" spans="8:9">
      <c r="H22691" s="1092"/>
      <c r="I22691" s="1092"/>
    </row>
    <row r="22692" spans="8:9">
      <c r="H22692" s="1092"/>
      <c r="I22692" s="1092"/>
    </row>
    <row r="22693" spans="8:9">
      <c r="H22693" s="1092"/>
      <c r="I22693" s="1092"/>
    </row>
    <row r="22694" spans="8:9">
      <c r="H22694" s="1092"/>
      <c r="I22694" s="1092"/>
    </row>
    <row r="22695" spans="8:9">
      <c r="H22695" s="1092"/>
      <c r="I22695" s="1092"/>
    </row>
    <row r="22696" spans="8:9">
      <c r="H22696" s="1092"/>
      <c r="I22696" s="1092"/>
    </row>
    <row r="22697" spans="8:9">
      <c r="H22697" s="1092"/>
      <c r="I22697" s="1092"/>
    </row>
    <row r="22698" spans="8:9">
      <c r="H22698" s="1092"/>
      <c r="I22698" s="1092"/>
    </row>
    <row r="22699" spans="8:9">
      <c r="H22699" s="1092"/>
      <c r="I22699" s="1092"/>
    </row>
    <row r="22700" spans="8:9">
      <c r="H22700" s="1092"/>
      <c r="I22700" s="1092"/>
    </row>
    <row r="22701" spans="8:9">
      <c r="H22701" s="1092"/>
      <c r="I22701" s="1092"/>
    </row>
    <row r="22702" spans="8:9">
      <c r="H22702" s="1092"/>
      <c r="I22702" s="1092"/>
    </row>
    <row r="22703" spans="8:9">
      <c r="H22703" s="1092"/>
      <c r="I22703" s="1092"/>
    </row>
    <row r="22704" spans="8:9">
      <c r="H22704" s="1092"/>
      <c r="I22704" s="1092"/>
    </row>
    <row r="22705" spans="8:9">
      <c r="H22705" s="1092"/>
      <c r="I22705" s="1092"/>
    </row>
    <row r="22706" spans="8:9">
      <c r="H22706" s="1092"/>
      <c r="I22706" s="1092"/>
    </row>
    <row r="22707" spans="8:9">
      <c r="H22707" s="1092"/>
      <c r="I22707" s="1092"/>
    </row>
    <row r="22708" spans="8:9">
      <c r="H22708" s="1092"/>
      <c r="I22708" s="1092"/>
    </row>
    <row r="22709" spans="8:9">
      <c r="H22709" s="1092"/>
      <c r="I22709" s="1092"/>
    </row>
    <row r="22710" spans="8:9">
      <c r="H22710" s="1092"/>
      <c r="I22710" s="1092"/>
    </row>
    <row r="22711" spans="8:9">
      <c r="H22711" s="1092"/>
      <c r="I22711" s="1092"/>
    </row>
    <row r="22712" spans="8:9">
      <c r="H22712" s="1092"/>
      <c r="I22712" s="1092"/>
    </row>
    <row r="22713" spans="8:9">
      <c r="H22713" s="1092"/>
      <c r="I22713" s="1092"/>
    </row>
    <row r="22714" spans="8:9">
      <c r="H22714" s="1092"/>
      <c r="I22714" s="1092"/>
    </row>
    <row r="22715" spans="8:9">
      <c r="H22715" s="1092"/>
      <c r="I22715" s="1092"/>
    </row>
    <row r="22716" spans="8:9">
      <c r="H22716" s="1092"/>
      <c r="I22716" s="1092"/>
    </row>
    <row r="22717" spans="8:9">
      <c r="H22717" s="1092"/>
      <c r="I22717" s="1092"/>
    </row>
    <row r="22718" spans="8:9">
      <c r="H22718" s="1092"/>
      <c r="I22718" s="1092"/>
    </row>
    <row r="22719" spans="8:9">
      <c r="H22719" s="1092"/>
      <c r="I22719" s="1092"/>
    </row>
    <row r="22720" spans="8:9">
      <c r="H22720" s="1092"/>
      <c r="I22720" s="1092"/>
    </row>
    <row r="22721" spans="8:9">
      <c r="H22721" s="1092"/>
      <c r="I22721" s="1092"/>
    </row>
    <row r="22722" spans="8:9">
      <c r="H22722" s="1092"/>
      <c r="I22722" s="1092"/>
    </row>
    <row r="22723" spans="8:9">
      <c r="H22723" s="1092"/>
      <c r="I22723" s="1092"/>
    </row>
    <row r="22724" spans="8:9">
      <c r="H22724" s="1092"/>
      <c r="I22724" s="1092"/>
    </row>
    <row r="22725" spans="8:9">
      <c r="H22725" s="1092"/>
      <c r="I22725" s="1092"/>
    </row>
    <row r="22726" spans="8:9">
      <c r="H22726" s="1092"/>
      <c r="I22726" s="1092"/>
    </row>
    <row r="22727" spans="8:9">
      <c r="H22727" s="1092"/>
      <c r="I22727" s="1092"/>
    </row>
    <row r="22728" spans="8:9">
      <c r="H22728" s="1092"/>
      <c r="I22728" s="1092"/>
    </row>
    <row r="22729" spans="8:9">
      <c r="H22729" s="1092"/>
      <c r="I22729" s="1092"/>
    </row>
    <row r="22730" spans="8:9">
      <c r="H22730" s="1092"/>
      <c r="I22730" s="1092"/>
    </row>
    <row r="22731" spans="8:9">
      <c r="H22731" s="1092"/>
      <c r="I22731" s="1092"/>
    </row>
    <row r="22732" spans="8:9">
      <c r="H22732" s="1092"/>
      <c r="I22732" s="1092"/>
    </row>
    <row r="22733" spans="8:9">
      <c r="H22733" s="1092"/>
      <c r="I22733" s="1092"/>
    </row>
    <row r="22734" spans="8:9">
      <c r="H22734" s="1092"/>
      <c r="I22734" s="1092"/>
    </row>
    <row r="22735" spans="8:9">
      <c r="H22735" s="1092"/>
      <c r="I22735" s="1092"/>
    </row>
    <row r="22736" spans="8:9">
      <c r="H22736" s="1092"/>
      <c r="I22736" s="1092"/>
    </row>
    <row r="22737" spans="8:9">
      <c r="H22737" s="1092"/>
      <c r="I22737" s="1092"/>
    </row>
    <row r="22738" spans="8:9">
      <c r="H22738" s="1092"/>
      <c r="I22738" s="1092"/>
    </row>
    <row r="22739" spans="8:9">
      <c r="H22739" s="1092"/>
      <c r="I22739" s="1092"/>
    </row>
    <row r="22740" spans="8:9">
      <c r="H22740" s="1092"/>
      <c r="I22740" s="1092"/>
    </row>
    <row r="22741" spans="8:9">
      <c r="H22741" s="1092"/>
      <c r="I22741" s="1092"/>
    </row>
    <row r="22742" spans="8:9">
      <c r="H22742" s="1092"/>
      <c r="I22742" s="1092"/>
    </row>
    <row r="22743" spans="8:9">
      <c r="H22743" s="1092"/>
      <c r="I22743" s="1092"/>
    </row>
    <row r="22744" spans="8:9">
      <c r="H22744" s="1092"/>
      <c r="I22744" s="1092"/>
    </row>
    <row r="22745" spans="8:9">
      <c r="H22745" s="1092"/>
      <c r="I22745" s="1092"/>
    </row>
    <row r="22746" spans="8:9">
      <c r="H22746" s="1092"/>
      <c r="I22746" s="1092"/>
    </row>
    <row r="22747" spans="8:9">
      <c r="H22747" s="1092"/>
      <c r="I22747" s="1092"/>
    </row>
    <row r="22748" spans="8:9">
      <c r="H22748" s="1092"/>
      <c r="I22748" s="1092"/>
    </row>
    <row r="22749" spans="8:9">
      <c r="H22749" s="1092"/>
      <c r="I22749" s="1092"/>
    </row>
    <row r="22750" spans="8:9">
      <c r="H22750" s="1092"/>
      <c r="I22750" s="1092"/>
    </row>
    <row r="22751" spans="8:9">
      <c r="H22751" s="1092"/>
      <c r="I22751" s="1092"/>
    </row>
    <row r="22752" spans="8:9">
      <c r="H22752" s="1092"/>
      <c r="I22752" s="1092"/>
    </row>
    <row r="22753" spans="8:9">
      <c r="H22753" s="1092"/>
      <c r="I22753" s="1092"/>
    </row>
    <row r="22754" spans="8:9">
      <c r="H22754" s="1092"/>
      <c r="I22754" s="1092"/>
    </row>
    <row r="22755" spans="8:9">
      <c r="H22755" s="1092"/>
      <c r="I22755" s="1092"/>
    </row>
    <row r="22756" spans="8:9">
      <c r="H22756" s="1092"/>
      <c r="I22756" s="1092"/>
    </row>
    <row r="22757" spans="8:9">
      <c r="H22757" s="1092"/>
      <c r="I22757" s="1092"/>
    </row>
    <row r="22758" spans="8:9">
      <c r="H22758" s="1092"/>
      <c r="I22758" s="1092"/>
    </row>
    <row r="22759" spans="8:9">
      <c r="H22759" s="1092"/>
      <c r="I22759" s="1092"/>
    </row>
    <row r="22760" spans="8:9">
      <c r="H22760" s="1092"/>
      <c r="I22760" s="1092"/>
    </row>
    <row r="22761" spans="8:9">
      <c r="H22761" s="1092"/>
      <c r="I22761" s="1092"/>
    </row>
    <row r="22762" spans="8:9">
      <c r="H22762" s="1092"/>
      <c r="I22762" s="1092"/>
    </row>
    <row r="22763" spans="8:9">
      <c r="H22763" s="1092"/>
      <c r="I22763" s="1092"/>
    </row>
    <row r="22764" spans="8:9">
      <c r="H22764" s="1092"/>
      <c r="I22764" s="1092"/>
    </row>
    <row r="22765" spans="8:9">
      <c r="H22765" s="1092"/>
      <c r="I22765" s="1092"/>
    </row>
    <row r="22766" spans="8:9">
      <c r="H22766" s="1092"/>
      <c r="I22766" s="1092"/>
    </row>
    <row r="22767" spans="8:9">
      <c r="H22767" s="1092"/>
      <c r="I22767" s="1092"/>
    </row>
    <row r="22768" spans="8:9">
      <c r="H22768" s="1092"/>
      <c r="I22768" s="1092"/>
    </row>
    <row r="22769" spans="8:9">
      <c r="H22769" s="1092"/>
      <c r="I22769" s="1092"/>
    </row>
    <row r="22770" spans="8:9">
      <c r="H22770" s="1092"/>
      <c r="I22770" s="1092"/>
    </row>
    <row r="22771" spans="8:9">
      <c r="H22771" s="1092"/>
      <c r="I22771" s="1092"/>
    </row>
    <row r="22772" spans="8:9">
      <c r="H22772" s="1092"/>
      <c r="I22772" s="1092"/>
    </row>
    <row r="22773" spans="8:9">
      <c r="H22773" s="1092"/>
      <c r="I22773" s="1092"/>
    </row>
    <row r="22774" spans="8:9">
      <c r="H22774" s="1092"/>
      <c r="I22774" s="1092"/>
    </row>
    <row r="22775" spans="8:9">
      <c r="H22775" s="1092"/>
      <c r="I22775" s="1092"/>
    </row>
    <row r="22776" spans="8:9">
      <c r="H22776" s="1092"/>
      <c r="I22776" s="1092"/>
    </row>
    <row r="22777" spans="8:9">
      <c r="H22777" s="1092"/>
      <c r="I22777" s="1092"/>
    </row>
    <row r="22778" spans="8:9">
      <c r="H22778" s="1092"/>
      <c r="I22778" s="1092"/>
    </row>
    <row r="22779" spans="8:9">
      <c r="H22779" s="1092"/>
      <c r="I22779" s="1092"/>
    </row>
    <row r="22780" spans="8:9">
      <c r="H22780" s="1092"/>
      <c r="I22780" s="1092"/>
    </row>
    <row r="22781" spans="8:9">
      <c r="H22781" s="1092"/>
      <c r="I22781" s="1092"/>
    </row>
    <row r="22782" spans="8:9">
      <c r="H22782" s="1092"/>
      <c r="I22782" s="1092"/>
    </row>
    <row r="22783" spans="8:9">
      <c r="H22783" s="1092"/>
      <c r="I22783" s="1092"/>
    </row>
    <row r="22784" spans="8:9">
      <c r="H22784" s="1092"/>
      <c r="I22784" s="1092"/>
    </row>
    <row r="22785" spans="8:9">
      <c r="H22785" s="1092"/>
      <c r="I22785" s="1092"/>
    </row>
    <row r="22786" spans="8:9">
      <c r="H22786" s="1092"/>
      <c r="I22786" s="1092"/>
    </row>
    <row r="22787" spans="8:9">
      <c r="H22787" s="1092"/>
      <c r="I22787" s="1092"/>
    </row>
    <row r="22788" spans="8:9">
      <c r="H22788" s="1092"/>
      <c r="I22788" s="1092"/>
    </row>
    <row r="22789" spans="8:9">
      <c r="H22789" s="1092"/>
      <c r="I22789" s="1092"/>
    </row>
    <row r="22790" spans="8:9">
      <c r="H22790" s="1092"/>
      <c r="I22790" s="1092"/>
    </row>
    <row r="22791" spans="8:9">
      <c r="H22791" s="1092"/>
      <c r="I22791" s="1092"/>
    </row>
    <row r="22792" spans="8:9">
      <c r="H22792" s="1092"/>
      <c r="I22792" s="1092"/>
    </row>
    <row r="22793" spans="8:9">
      <c r="H22793" s="1092"/>
      <c r="I22793" s="1092"/>
    </row>
    <row r="22794" spans="8:9">
      <c r="H22794" s="1092"/>
      <c r="I22794" s="1092"/>
    </row>
    <row r="22795" spans="8:9">
      <c r="H22795" s="1092"/>
      <c r="I22795" s="1092"/>
    </row>
    <row r="22796" spans="8:9">
      <c r="H22796" s="1092"/>
      <c r="I22796" s="1092"/>
    </row>
    <row r="22797" spans="8:9">
      <c r="H22797" s="1092"/>
      <c r="I22797" s="1092"/>
    </row>
    <row r="22798" spans="8:9">
      <c r="H22798" s="1092"/>
      <c r="I22798" s="1092"/>
    </row>
    <row r="22799" spans="8:9">
      <c r="H22799" s="1092"/>
      <c r="I22799" s="1092"/>
    </row>
    <row r="22800" spans="8:9">
      <c r="H22800" s="1092"/>
      <c r="I22800" s="1092"/>
    </row>
    <row r="22801" spans="8:9">
      <c r="H22801" s="1092"/>
      <c r="I22801" s="1092"/>
    </row>
    <row r="22802" spans="8:9">
      <c r="H22802" s="1092"/>
      <c r="I22802" s="1092"/>
    </row>
    <row r="22803" spans="8:9">
      <c r="H22803" s="1092"/>
      <c r="I22803" s="1092"/>
    </row>
    <row r="22804" spans="8:9">
      <c r="H22804" s="1092"/>
      <c r="I22804" s="1092"/>
    </row>
    <row r="22805" spans="8:9">
      <c r="H22805" s="1092"/>
      <c r="I22805" s="1092"/>
    </row>
    <row r="22806" spans="8:9">
      <c r="H22806" s="1092"/>
      <c r="I22806" s="1092"/>
    </row>
    <row r="22807" spans="8:9">
      <c r="H22807" s="1092"/>
      <c r="I22807" s="1092"/>
    </row>
    <row r="22808" spans="8:9">
      <c r="H22808" s="1092"/>
      <c r="I22808" s="1092"/>
    </row>
    <row r="22809" spans="8:9">
      <c r="H22809" s="1092"/>
      <c r="I22809" s="1092"/>
    </row>
    <row r="22810" spans="8:9">
      <c r="H22810" s="1092"/>
      <c r="I22810" s="1092"/>
    </row>
    <row r="22811" spans="8:9">
      <c r="H22811" s="1092"/>
      <c r="I22811" s="1092"/>
    </row>
    <row r="22812" spans="8:9">
      <c r="H22812" s="1092"/>
      <c r="I22812" s="1092"/>
    </row>
    <row r="22813" spans="8:9">
      <c r="H22813" s="1092"/>
      <c r="I22813" s="1092"/>
    </row>
    <row r="22814" spans="8:9">
      <c r="H22814" s="1092"/>
      <c r="I22814" s="1092"/>
    </row>
    <row r="22815" spans="8:9">
      <c r="H22815" s="1092"/>
      <c r="I22815" s="1092"/>
    </row>
    <row r="22816" spans="8:9">
      <c r="H22816" s="1092"/>
      <c r="I22816" s="1092"/>
    </row>
    <row r="22817" spans="8:9">
      <c r="H22817" s="1092"/>
      <c r="I22817" s="1092"/>
    </row>
    <row r="22818" spans="8:9">
      <c r="H22818" s="1092"/>
      <c r="I22818" s="1092"/>
    </row>
    <row r="22819" spans="8:9">
      <c r="H22819" s="1092"/>
      <c r="I22819" s="1092"/>
    </row>
    <row r="22820" spans="8:9">
      <c r="H22820" s="1092"/>
      <c r="I22820" s="1092"/>
    </row>
    <row r="22821" spans="8:9">
      <c r="H22821" s="1092"/>
      <c r="I22821" s="1092"/>
    </row>
    <row r="22822" spans="8:9">
      <c r="H22822" s="1092"/>
      <c r="I22822" s="1092"/>
    </row>
    <row r="22823" spans="8:9">
      <c r="H22823" s="1092"/>
      <c r="I22823" s="1092"/>
    </row>
    <row r="22824" spans="8:9">
      <c r="H22824" s="1092"/>
      <c r="I22824" s="1092"/>
    </row>
    <row r="22825" spans="8:9">
      <c r="H22825" s="1092"/>
      <c r="I22825" s="1092"/>
    </row>
    <row r="22826" spans="8:9">
      <c r="H22826" s="1092"/>
      <c r="I22826" s="1092"/>
    </row>
    <row r="22827" spans="8:9">
      <c r="H22827" s="1092"/>
      <c r="I22827" s="1092"/>
    </row>
    <row r="22828" spans="8:9">
      <c r="H22828" s="1092"/>
      <c r="I22828" s="1092"/>
    </row>
    <row r="22829" spans="8:9">
      <c r="H22829" s="1092"/>
      <c r="I22829" s="1092"/>
    </row>
    <row r="22830" spans="8:9">
      <c r="H22830" s="1092"/>
      <c r="I22830" s="1092"/>
    </row>
    <row r="22831" spans="8:9">
      <c r="H22831" s="1092"/>
      <c r="I22831" s="1092"/>
    </row>
    <row r="22832" spans="8:9">
      <c r="H22832" s="1092"/>
      <c r="I22832" s="1092"/>
    </row>
    <row r="22833" spans="8:9">
      <c r="H22833" s="1092"/>
      <c r="I22833" s="1092"/>
    </row>
    <row r="22834" spans="8:9">
      <c r="H22834" s="1092"/>
      <c r="I22834" s="1092"/>
    </row>
    <row r="22835" spans="8:9">
      <c r="H22835" s="1092"/>
      <c r="I22835" s="1092"/>
    </row>
    <row r="22836" spans="8:9">
      <c r="H22836" s="1092"/>
      <c r="I22836" s="1092"/>
    </row>
    <row r="22837" spans="8:9">
      <c r="H22837" s="1092"/>
      <c r="I22837" s="1092"/>
    </row>
    <row r="22838" spans="8:9">
      <c r="H22838" s="1092"/>
      <c r="I22838" s="1092"/>
    </row>
    <row r="22839" spans="8:9">
      <c r="H22839" s="1092"/>
      <c r="I22839" s="1092"/>
    </row>
    <row r="22840" spans="8:9">
      <c r="H22840" s="1092"/>
      <c r="I22840" s="1092"/>
    </row>
    <row r="22841" spans="8:9">
      <c r="H22841" s="1092"/>
      <c r="I22841" s="1092"/>
    </row>
    <row r="22842" spans="8:9">
      <c r="H22842" s="1092"/>
      <c r="I22842" s="1092"/>
    </row>
    <row r="22843" spans="8:9">
      <c r="H22843" s="1092"/>
      <c r="I22843" s="1092"/>
    </row>
    <row r="22844" spans="8:9">
      <c r="H22844" s="1092"/>
      <c r="I22844" s="1092"/>
    </row>
    <row r="22845" spans="8:9">
      <c r="H22845" s="1092"/>
      <c r="I22845" s="1092"/>
    </row>
    <row r="22846" spans="8:9">
      <c r="H22846" s="1092"/>
      <c r="I22846" s="1092"/>
    </row>
    <row r="22847" spans="8:9">
      <c r="H22847" s="1092"/>
      <c r="I22847" s="1092"/>
    </row>
    <row r="22848" spans="8:9">
      <c r="H22848" s="1092"/>
      <c r="I22848" s="1092"/>
    </row>
    <row r="22849" spans="8:9">
      <c r="H22849" s="1092"/>
      <c r="I22849" s="1092"/>
    </row>
    <row r="22850" spans="8:9">
      <c r="H22850" s="1092"/>
      <c r="I22850" s="1092"/>
    </row>
    <row r="22851" spans="8:9">
      <c r="H22851" s="1092"/>
      <c r="I22851" s="1092"/>
    </row>
    <row r="22852" spans="8:9">
      <c r="H22852" s="1092"/>
      <c r="I22852" s="1092"/>
    </row>
    <row r="22853" spans="8:9">
      <c r="H22853" s="1092"/>
      <c r="I22853" s="1092"/>
    </row>
    <row r="22854" spans="8:9">
      <c r="H22854" s="1092"/>
      <c r="I22854" s="1092"/>
    </row>
    <row r="22855" spans="8:9">
      <c r="H22855" s="1092"/>
      <c r="I22855" s="1092"/>
    </row>
    <row r="22856" spans="8:9">
      <c r="H22856" s="1092"/>
      <c r="I22856" s="1092"/>
    </row>
    <row r="22857" spans="8:9">
      <c r="H22857" s="1092"/>
      <c r="I22857" s="1092"/>
    </row>
    <row r="22858" spans="8:9">
      <c r="H22858" s="1092"/>
      <c r="I22858" s="1092"/>
    </row>
    <row r="22859" spans="8:9">
      <c r="H22859" s="1092"/>
      <c r="I22859" s="1092"/>
    </row>
    <row r="22860" spans="8:9">
      <c r="H22860" s="1092"/>
      <c r="I22860" s="1092"/>
    </row>
    <row r="22861" spans="8:9">
      <c r="H22861" s="1092"/>
      <c r="I22861" s="1092"/>
    </row>
    <row r="22862" spans="8:9">
      <c r="H22862" s="1092"/>
      <c r="I22862" s="1092"/>
    </row>
    <row r="22863" spans="8:9">
      <c r="H22863" s="1092"/>
      <c r="I22863" s="1092"/>
    </row>
    <row r="22864" spans="8:9">
      <c r="H22864" s="1092"/>
      <c r="I22864" s="1092"/>
    </row>
    <row r="22865" spans="8:9">
      <c r="H22865" s="1092"/>
      <c r="I22865" s="1092"/>
    </row>
    <row r="22866" spans="8:9">
      <c r="H22866" s="1092"/>
      <c r="I22866" s="1092"/>
    </row>
    <row r="22867" spans="8:9">
      <c r="H22867" s="1092"/>
      <c r="I22867" s="1092"/>
    </row>
    <row r="22868" spans="8:9">
      <c r="H22868" s="1092"/>
      <c r="I22868" s="1092"/>
    </row>
    <row r="22869" spans="8:9">
      <c r="H22869" s="1092"/>
      <c r="I22869" s="1092"/>
    </row>
    <row r="22870" spans="8:9">
      <c r="H22870" s="1092"/>
      <c r="I22870" s="1092"/>
    </row>
    <row r="22871" spans="8:9">
      <c r="H22871" s="1092"/>
      <c r="I22871" s="1092"/>
    </row>
    <row r="22872" spans="8:9">
      <c r="H22872" s="1092"/>
      <c r="I22872" s="1092"/>
    </row>
    <row r="22873" spans="8:9">
      <c r="H22873" s="1092"/>
      <c r="I22873" s="1092"/>
    </row>
    <row r="22874" spans="8:9">
      <c r="H22874" s="1092"/>
      <c r="I22874" s="1092"/>
    </row>
    <row r="22875" spans="8:9">
      <c r="H22875" s="1092"/>
      <c r="I22875" s="1092"/>
    </row>
    <row r="22876" spans="8:9">
      <c r="H22876" s="1092"/>
      <c r="I22876" s="1092"/>
    </row>
    <row r="22877" spans="8:9">
      <c r="H22877" s="1092"/>
      <c r="I22877" s="1092"/>
    </row>
    <row r="22878" spans="8:9">
      <c r="H22878" s="1092"/>
      <c r="I22878" s="1092"/>
    </row>
    <row r="22879" spans="8:9">
      <c r="H22879" s="1092"/>
      <c r="I22879" s="1092"/>
    </row>
    <row r="22880" spans="8:9">
      <c r="H22880" s="1092"/>
      <c r="I22880" s="1092"/>
    </row>
    <row r="22881" spans="8:9">
      <c r="H22881" s="1092"/>
      <c r="I22881" s="1092"/>
    </row>
    <row r="22882" spans="8:9">
      <c r="H22882" s="1092"/>
      <c r="I22882" s="1092"/>
    </row>
    <row r="22883" spans="8:9">
      <c r="H22883" s="1092"/>
      <c r="I22883" s="1092"/>
    </row>
    <row r="22884" spans="8:9">
      <c r="H22884" s="1092"/>
      <c r="I22884" s="1092"/>
    </row>
    <row r="22885" spans="8:9">
      <c r="H22885" s="1092"/>
      <c r="I22885" s="1092"/>
    </row>
    <row r="22886" spans="8:9">
      <c r="H22886" s="1092"/>
      <c r="I22886" s="1092"/>
    </row>
    <row r="22887" spans="8:9">
      <c r="H22887" s="1092"/>
      <c r="I22887" s="1092"/>
    </row>
    <row r="22888" spans="8:9">
      <c r="H22888" s="1092"/>
      <c r="I22888" s="1092"/>
    </row>
    <row r="22889" spans="8:9">
      <c r="H22889" s="1092"/>
      <c r="I22889" s="1092"/>
    </row>
    <row r="22890" spans="8:9">
      <c r="H22890" s="1092"/>
      <c r="I22890" s="1092"/>
    </row>
    <row r="22891" spans="8:9">
      <c r="H22891" s="1092"/>
      <c r="I22891" s="1092"/>
    </row>
    <row r="22892" spans="8:9">
      <c r="H22892" s="1092"/>
      <c r="I22892" s="1092"/>
    </row>
    <row r="22893" spans="8:9">
      <c r="H22893" s="1092"/>
      <c r="I22893" s="1092"/>
    </row>
    <row r="22894" spans="8:9">
      <c r="H22894" s="1092"/>
      <c r="I22894" s="1092"/>
    </row>
    <row r="22895" spans="8:9">
      <c r="H22895" s="1092"/>
      <c r="I22895" s="1092"/>
    </row>
    <row r="22896" spans="8:9">
      <c r="H22896" s="1092"/>
      <c r="I22896" s="1092"/>
    </row>
    <row r="22897" spans="8:9">
      <c r="H22897" s="1092"/>
      <c r="I22897" s="1092"/>
    </row>
    <row r="22898" spans="8:9">
      <c r="H22898" s="1092"/>
      <c r="I22898" s="1092"/>
    </row>
    <row r="22899" spans="8:9">
      <c r="H22899" s="1092"/>
      <c r="I22899" s="1092"/>
    </row>
    <row r="22900" spans="8:9">
      <c r="H22900" s="1092"/>
      <c r="I22900" s="1092"/>
    </row>
    <row r="22901" spans="8:9">
      <c r="H22901" s="1092"/>
      <c r="I22901" s="1092"/>
    </row>
    <row r="22902" spans="8:9">
      <c r="H22902" s="1092"/>
      <c r="I22902" s="1092"/>
    </row>
    <row r="22903" spans="8:9">
      <c r="H22903" s="1092"/>
      <c r="I22903" s="1092"/>
    </row>
    <row r="22904" spans="8:9">
      <c r="H22904" s="1092"/>
      <c r="I22904" s="1092"/>
    </row>
    <row r="22905" spans="8:9">
      <c r="H22905" s="1092"/>
      <c r="I22905" s="1092"/>
    </row>
    <row r="22906" spans="8:9">
      <c r="H22906" s="1092"/>
      <c r="I22906" s="1092"/>
    </row>
    <row r="22907" spans="8:9">
      <c r="H22907" s="1092"/>
      <c r="I22907" s="1092"/>
    </row>
    <row r="22908" spans="8:9">
      <c r="H22908" s="1092"/>
      <c r="I22908" s="1092"/>
    </row>
    <row r="22909" spans="8:9">
      <c r="H22909" s="1092"/>
      <c r="I22909" s="1092"/>
    </row>
    <row r="22910" spans="8:9">
      <c r="H22910" s="1092"/>
      <c r="I22910" s="1092"/>
    </row>
    <row r="22911" spans="8:9">
      <c r="H22911" s="1092"/>
      <c r="I22911" s="1092"/>
    </row>
    <row r="22912" spans="8:9">
      <c r="H22912" s="1092"/>
      <c r="I22912" s="1092"/>
    </row>
    <row r="22913" spans="8:9">
      <c r="H22913" s="1092"/>
      <c r="I22913" s="1092"/>
    </row>
    <row r="22914" spans="8:9">
      <c r="H22914" s="1092"/>
      <c r="I22914" s="1092"/>
    </row>
    <row r="22915" spans="8:9">
      <c r="H22915" s="1092"/>
      <c r="I22915" s="1092"/>
    </row>
    <row r="22916" spans="8:9">
      <c r="H22916" s="1092"/>
      <c r="I22916" s="1092"/>
    </row>
    <row r="22917" spans="8:9">
      <c r="H22917" s="1092"/>
      <c r="I22917" s="1092"/>
    </row>
    <row r="22918" spans="8:9">
      <c r="H22918" s="1092"/>
      <c r="I22918" s="1092"/>
    </row>
    <row r="22919" spans="8:9">
      <c r="H22919" s="1092"/>
      <c r="I22919" s="1092"/>
    </row>
    <row r="22920" spans="8:9">
      <c r="H22920" s="1092"/>
      <c r="I22920" s="1092"/>
    </row>
    <row r="22921" spans="8:9">
      <c r="H22921" s="1092"/>
      <c r="I22921" s="1092"/>
    </row>
    <row r="22922" spans="8:9">
      <c r="H22922" s="1092"/>
      <c r="I22922" s="1092"/>
    </row>
    <row r="22923" spans="8:9">
      <c r="H22923" s="1092"/>
      <c r="I22923" s="1092"/>
    </row>
    <row r="22924" spans="8:9">
      <c r="H22924" s="1092"/>
      <c r="I22924" s="1092"/>
    </row>
    <row r="22925" spans="8:9">
      <c r="H22925" s="1092"/>
      <c r="I22925" s="1092"/>
    </row>
  </sheetData>
  <mergeCells count="26">
    <mergeCell ref="S3:S5"/>
    <mergeCell ref="R3:R4"/>
    <mergeCell ref="D1:J1"/>
    <mergeCell ref="K1:T1"/>
    <mergeCell ref="J2:K2"/>
    <mergeCell ref="Q2:S2"/>
    <mergeCell ref="A6:C6"/>
    <mergeCell ref="C3:G3"/>
    <mergeCell ref="A3:A5"/>
    <mergeCell ref="P3:P4"/>
    <mergeCell ref="Q3:Q4"/>
    <mergeCell ref="H3:N3"/>
    <mergeCell ref="O3:O4"/>
    <mergeCell ref="AC2:AD2"/>
    <mergeCell ref="AJ2:AL2"/>
    <mergeCell ref="X1:AC1"/>
    <mergeCell ref="AD1:AM1"/>
    <mergeCell ref="AA3:AG3"/>
    <mergeCell ref="AH3:AH4"/>
    <mergeCell ref="AI3:AI4"/>
    <mergeCell ref="AL3:AL5"/>
    <mergeCell ref="T6:V6"/>
    <mergeCell ref="V3:Z3"/>
    <mergeCell ref="AJ3:AJ4"/>
    <mergeCell ref="AK3:AK4"/>
    <mergeCell ref="T3:T5"/>
  </mergeCells>
  <pageMargins left="0.62992125984252001" right="0.511811023622047" top="0.31496062992126" bottom="2.5590551E-2" header="0" footer="6.4960630000000005E-2"/>
  <pageSetup paperSize="448" orientation="portrait" r:id="rId1"/>
  <headerFooter differentFirst="1" alignWithMargins="0">
    <oddFooter>&amp;C&amp;"Times New Roman,Regular"&amp;8&amp;P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 codeName="Sheet22"/>
  <dimension ref="A1:X78"/>
  <sheetViews>
    <sheetView zoomScale="120" zoomScaleNormal="120" zoomScaleSheetLayoutView="140" workbookViewId="0">
      <pane xSplit="1" ySplit="5" topLeftCell="B30" activePane="bottomRight" state="frozen"/>
      <selection activeCell="X47" sqref="X47:X50"/>
      <selection pane="topRight" activeCell="X47" sqref="X47:X50"/>
      <selection pane="bottomLeft" activeCell="X47" sqref="X47:X50"/>
      <selection pane="bottomRight" activeCell="O67" sqref="O67"/>
    </sheetView>
  </sheetViews>
  <sheetFormatPr defaultColWidth="9.140625" defaultRowHeight="11.25"/>
  <cols>
    <col min="1" max="1" width="8.5703125" style="8" customWidth="1"/>
    <col min="2" max="2" width="7" style="8" customWidth="1"/>
    <col min="3" max="3" width="7.28515625" style="8" customWidth="1"/>
    <col min="4" max="4" width="6.85546875" style="8" customWidth="1"/>
    <col min="5" max="5" width="7.7109375" style="8" customWidth="1"/>
    <col min="6" max="6" width="7" style="8" customWidth="1"/>
    <col min="7" max="7" width="5.85546875" style="8" customWidth="1"/>
    <col min="8" max="9" width="7.28515625" style="8" customWidth="1"/>
    <col min="10" max="10" width="6" style="8" customWidth="1"/>
    <col min="11" max="11" width="7.5703125" style="8" customWidth="1"/>
    <col min="12" max="12" width="7.7109375" style="8" customWidth="1"/>
    <col min="13" max="13" width="7" style="8" customWidth="1"/>
    <col min="14" max="14" width="7.28515625" style="8" customWidth="1"/>
    <col min="15" max="16" width="7.140625" style="8" customWidth="1"/>
    <col min="17" max="17" width="7" style="8" customWidth="1"/>
    <col min="18" max="18" width="7.28515625" style="8" customWidth="1"/>
    <col min="19" max="19" width="6.7109375" style="8" customWidth="1"/>
    <col min="20" max="20" width="4.5703125" style="8" hidden="1" customWidth="1"/>
    <col min="21" max="21" width="7.140625" style="8" customWidth="1"/>
    <col min="22" max="22" width="7" style="8" customWidth="1"/>
    <col min="23" max="23" width="6.85546875" style="8" customWidth="1"/>
    <col min="24" max="16384" width="9.140625" style="8"/>
  </cols>
  <sheetData>
    <row r="1" spans="1:24" s="31" customFormat="1" ht="14.25" customHeight="1">
      <c r="B1" s="2023" t="s">
        <v>245</v>
      </c>
      <c r="C1" s="2023"/>
      <c r="D1" s="2023"/>
      <c r="E1" s="2023"/>
      <c r="F1" s="2023"/>
      <c r="G1" s="2023"/>
      <c r="H1" s="2023"/>
      <c r="I1" s="2023"/>
      <c r="J1" s="2023"/>
      <c r="K1" s="2023"/>
      <c r="L1" s="2471" t="s">
        <v>246</v>
      </c>
      <c r="M1" s="2471"/>
      <c r="N1" s="2471"/>
      <c r="O1" s="2471"/>
      <c r="P1" s="32"/>
      <c r="Q1" s="32"/>
      <c r="R1" s="32"/>
      <c r="U1" s="2023" t="s">
        <v>2212</v>
      </c>
      <c r="V1" s="2023"/>
      <c r="W1" s="2023"/>
    </row>
    <row r="2" spans="1:24" ht="12" customHeight="1">
      <c r="B2" s="1197"/>
      <c r="C2" s="1197"/>
      <c r="D2" s="2468"/>
      <c r="E2" s="2468"/>
      <c r="F2" s="92"/>
      <c r="G2" s="92"/>
      <c r="H2" s="92"/>
      <c r="I2" s="92"/>
      <c r="J2" s="2469" t="s">
        <v>1910</v>
      </c>
      <c r="K2" s="2469"/>
      <c r="L2" s="2472" t="s">
        <v>1911</v>
      </c>
      <c r="M2" s="2472"/>
      <c r="N2" s="2472"/>
      <c r="O2" s="2472"/>
      <c r="P2" s="2472"/>
      <c r="S2" s="1197"/>
      <c r="T2" s="1197"/>
      <c r="V2" s="2470" t="s">
        <v>1515</v>
      </c>
      <c r="W2" s="2470"/>
    </row>
    <row r="3" spans="1:24" ht="13.5" customHeight="1">
      <c r="A3" s="2458" t="s">
        <v>481</v>
      </c>
      <c r="B3" s="2467" t="s">
        <v>247</v>
      </c>
      <c r="C3" s="2467" t="s">
        <v>248</v>
      </c>
      <c r="D3" s="2467" t="s">
        <v>249</v>
      </c>
      <c r="E3" s="2467" t="s">
        <v>271</v>
      </c>
      <c r="F3" s="2467" t="s">
        <v>272</v>
      </c>
      <c r="G3" s="2467" t="s">
        <v>280</v>
      </c>
      <c r="H3" s="2467" t="s">
        <v>250</v>
      </c>
      <c r="I3" s="2467" t="s">
        <v>251</v>
      </c>
      <c r="J3" s="2467" t="s">
        <v>252</v>
      </c>
      <c r="K3" s="2467" t="s">
        <v>1355</v>
      </c>
      <c r="L3" s="2467" t="s">
        <v>279</v>
      </c>
      <c r="M3" s="2467" t="s">
        <v>253</v>
      </c>
      <c r="N3" s="2467" t="s">
        <v>254</v>
      </c>
      <c r="O3" s="2467" t="s">
        <v>806</v>
      </c>
      <c r="P3" s="2467" t="s">
        <v>274</v>
      </c>
      <c r="Q3" s="2467" t="s">
        <v>807</v>
      </c>
      <c r="R3" s="2467" t="s">
        <v>1356</v>
      </c>
      <c r="S3" s="2461" t="s">
        <v>255</v>
      </c>
      <c r="T3" s="2462"/>
      <c r="U3" s="2462"/>
      <c r="V3" s="2462"/>
      <c r="W3" s="2463"/>
    </row>
    <row r="4" spans="1:24" s="93" customFormat="1" ht="74.25" customHeight="1">
      <c r="A4" s="2459"/>
      <c r="B4" s="2467"/>
      <c r="C4" s="2467"/>
      <c r="D4" s="2467"/>
      <c r="E4" s="2467"/>
      <c r="F4" s="2467"/>
      <c r="G4" s="2467"/>
      <c r="H4" s="2467"/>
      <c r="I4" s="2467"/>
      <c r="J4" s="2467"/>
      <c r="K4" s="2467"/>
      <c r="L4" s="2467"/>
      <c r="M4" s="2467"/>
      <c r="N4" s="2467"/>
      <c r="O4" s="2467"/>
      <c r="P4" s="2467"/>
      <c r="Q4" s="2467"/>
      <c r="R4" s="2467"/>
      <c r="S4" s="2464" t="s">
        <v>247</v>
      </c>
      <c r="T4" s="2465"/>
      <c r="U4" s="1198" t="s">
        <v>253</v>
      </c>
      <c r="V4" s="1086" t="s">
        <v>256</v>
      </c>
      <c r="W4" s="1086" t="s">
        <v>273</v>
      </c>
    </row>
    <row r="5" spans="1:24" s="96" customFormat="1" ht="9.75" customHeight="1">
      <c r="A5" s="2460"/>
      <c r="B5" s="1199">
        <v>1</v>
      </c>
      <c r="C5" s="1199">
        <v>2</v>
      </c>
      <c r="D5" s="1199">
        <v>3</v>
      </c>
      <c r="E5" s="1199">
        <v>4</v>
      </c>
      <c r="F5" s="1199">
        <v>5</v>
      </c>
      <c r="G5" s="1199">
        <v>6</v>
      </c>
      <c r="H5" s="1199">
        <v>7</v>
      </c>
      <c r="I5" s="1199">
        <v>8</v>
      </c>
      <c r="J5" s="1199">
        <v>9</v>
      </c>
      <c r="K5" s="1199">
        <v>10</v>
      </c>
      <c r="L5" s="1199">
        <v>11</v>
      </c>
      <c r="M5" s="1199">
        <v>12</v>
      </c>
      <c r="N5" s="1199">
        <v>13</v>
      </c>
      <c r="O5" s="1199">
        <v>14</v>
      </c>
      <c r="P5" s="1199">
        <v>15</v>
      </c>
      <c r="Q5" s="1199">
        <v>16</v>
      </c>
      <c r="R5" s="1199">
        <v>17</v>
      </c>
      <c r="S5" s="2466">
        <v>18</v>
      </c>
      <c r="T5" s="2466"/>
      <c r="U5" s="1199">
        <v>19</v>
      </c>
      <c r="V5" s="1199">
        <v>20</v>
      </c>
      <c r="W5" s="1199">
        <v>21</v>
      </c>
    </row>
    <row r="6" spans="1:24" s="96" customFormat="1" ht="9.6" customHeight="1">
      <c r="A6" s="2450" t="s">
        <v>1912</v>
      </c>
      <c r="B6" s="2451"/>
      <c r="C6" s="2451"/>
      <c r="D6" s="878"/>
      <c r="E6" s="878"/>
      <c r="F6" s="878"/>
      <c r="G6" s="878"/>
      <c r="H6" s="878"/>
      <c r="I6" s="878"/>
      <c r="J6" s="878"/>
      <c r="K6" s="878"/>
      <c r="L6" s="878"/>
      <c r="M6" s="878"/>
      <c r="N6" s="878"/>
      <c r="O6" s="878"/>
      <c r="P6" s="878"/>
      <c r="Q6" s="878"/>
      <c r="R6" s="878"/>
      <c r="S6" s="878"/>
      <c r="T6" s="878"/>
      <c r="U6" s="878"/>
      <c r="V6" s="878"/>
      <c r="W6" s="878"/>
    </row>
    <row r="7" spans="1:24" s="93" customFormat="1" ht="9.6" customHeight="1">
      <c r="A7" s="283" t="s">
        <v>558</v>
      </c>
      <c r="B7" s="257">
        <v>482337</v>
      </c>
      <c r="C7" s="533">
        <v>509545</v>
      </c>
      <c r="D7" s="533">
        <v>3653</v>
      </c>
      <c r="E7" s="533">
        <v>513197</v>
      </c>
      <c r="F7" s="533">
        <v>378940</v>
      </c>
      <c r="G7" s="256">
        <f>(F7/B7)*100</f>
        <v>78.563328129502821</v>
      </c>
      <c r="H7" s="533">
        <v>103397</v>
      </c>
      <c r="I7" s="533">
        <v>134257</v>
      </c>
      <c r="J7" s="256">
        <f>(I7/B7)*100</f>
        <v>27.834688195183038</v>
      </c>
      <c r="K7" s="533">
        <v>126103</v>
      </c>
      <c r="L7" s="256">
        <f>(K7/B7)*100</f>
        <v>26.144168910948157</v>
      </c>
      <c r="M7" s="532" t="s">
        <v>1118</v>
      </c>
      <c r="N7" s="532" t="s">
        <v>1123</v>
      </c>
      <c r="O7" s="532" t="s">
        <v>654</v>
      </c>
      <c r="P7" s="532" t="s">
        <v>1132</v>
      </c>
      <c r="Q7" s="876">
        <f>(B7/M7)*100</f>
        <v>100</v>
      </c>
      <c r="R7" s="532" t="s">
        <v>1136</v>
      </c>
      <c r="S7" s="533">
        <v>34502</v>
      </c>
      <c r="T7" s="532"/>
      <c r="U7" s="532" t="s">
        <v>1142</v>
      </c>
      <c r="V7" s="533">
        <v>36448</v>
      </c>
      <c r="W7" s="532" t="s">
        <v>1141</v>
      </c>
      <c r="X7" s="741"/>
    </row>
    <row r="8" spans="1:24" s="227" customFormat="1" ht="9.6" customHeight="1">
      <c r="A8" s="229"/>
      <c r="B8" s="879">
        <f>(B7/67.08)*10</f>
        <v>71904.740608228982</v>
      </c>
      <c r="C8" s="879">
        <f>(C7/67.08)*10</f>
        <v>75960.793082886114</v>
      </c>
      <c r="D8" s="879">
        <f>(D7/67.08)*10</f>
        <v>544.5736434108527</v>
      </c>
      <c r="E8" s="879">
        <f>(E7/67.08)*10</f>
        <v>76505.217650566497</v>
      </c>
      <c r="F8" s="879">
        <f>(F7/67.08)*10</f>
        <v>56490.757304710794</v>
      </c>
      <c r="G8" s="879"/>
      <c r="H8" s="879">
        <f>(H7/67.08)*10</f>
        <v>15413.983303518187</v>
      </c>
      <c r="I8" s="879">
        <f>(I7/67.08)*10</f>
        <v>20014.460345855696</v>
      </c>
      <c r="J8" s="879"/>
      <c r="K8" s="879">
        <f>(K7/67.08)*10</f>
        <v>18798.896839594516</v>
      </c>
      <c r="L8" s="880"/>
      <c r="M8" s="880"/>
      <c r="N8" s="880"/>
      <c r="O8" s="880"/>
      <c r="P8" s="880"/>
      <c r="Q8" s="880"/>
      <c r="R8" s="880"/>
      <c r="S8" s="879">
        <f>S7/67.08</f>
        <v>514.34108527131787</v>
      </c>
      <c r="T8" s="880"/>
      <c r="U8" s="880"/>
      <c r="V8" s="879">
        <f>V7/67.08</f>
        <v>543.35122242098987</v>
      </c>
      <c r="W8" s="880"/>
      <c r="X8" s="881"/>
    </row>
    <row r="9" spans="1:24" s="93" customFormat="1" ht="9.6" customHeight="1">
      <c r="A9" s="283" t="s">
        <v>567</v>
      </c>
      <c r="B9" s="257">
        <v>549800</v>
      </c>
      <c r="C9" s="533">
        <v>585075</v>
      </c>
      <c r="D9" s="533">
        <v>3989</v>
      </c>
      <c r="E9" s="533">
        <v>589064</v>
      </c>
      <c r="F9" s="533">
        <v>435731</v>
      </c>
      <c r="G9" s="256">
        <f>(F9/B9)*100</f>
        <v>79.252637322662792</v>
      </c>
      <c r="H9" s="533">
        <v>114069</v>
      </c>
      <c r="I9" s="533">
        <v>153333</v>
      </c>
      <c r="J9" s="256">
        <f>(I9/B9)*100</f>
        <v>27.888868679519824</v>
      </c>
      <c r="K9" s="533">
        <v>143929</v>
      </c>
      <c r="L9" s="256">
        <f>(K9/B9)*100</f>
        <v>26.178428519461622</v>
      </c>
      <c r="M9" s="532" t="s">
        <v>1119</v>
      </c>
      <c r="N9" s="532" t="s">
        <v>1124</v>
      </c>
      <c r="O9" s="532" t="s">
        <v>1128</v>
      </c>
      <c r="P9" s="532" t="s">
        <v>1133</v>
      </c>
      <c r="Q9" s="876">
        <f>(B9/M9)*100</f>
        <v>106.47135943669718</v>
      </c>
      <c r="R9" s="532" t="s">
        <v>1137</v>
      </c>
      <c r="S9" s="533">
        <v>38773</v>
      </c>
      <c r="T9" s="532"/>
      <c r="U9" s="532" t="s">
        <v>1143</v>
      </c>
      <c r="V9" s="533">
        <v>41261</v>
      </c>
      <c r="W9" s="532" t="s">
        <v>1147</v>
      </c>
      <c r="X9" s="741"/>
    </row>
    <row r="10" spans="1:24" s="227" customFormat="1" ht="9.6" customHeight="1">
      <c r="A10" s="229"/>
      <c r="B10" s="879">
        <f>(B9/69.03)*10</f>
        <v>79646.530493988117</v>
      </c>
      <c r="C10" s="879">
        <f>(C9/69.03)*10</f>
        <v>84756.627553237719</v>
      </c>
      <c r="D10" s="879">
        <f>(D9/69.03)*10</f>
        <v>577.86469650876427</v>
      </c>
      <c r="E10" s="879">
        <f>(E9/69.03)*10</f>
        <v>85334.492249746487</v>
      </c>
      <c r="F10" s="879">
        <f>(F9/69.03)*10</f>
        <v>63121.975952484427</v>
      </c>
      <c r="G10" s="879"/>
      <c r="H10" s="879">
        <f>(H9/69.03)*10</f>
        <v>16524.554541503694</v>
      </c>
      <c r="I10" s="879">
        <f>(I9/69.03)*10</f>
        <v>22212.51629726206</v>
      </c>
      <c r="J10" s="879"/>
      <c r="K10" s="879">
        <f>(K9/69.03)*10</f>
        <v>20850.210053599883</v>
      </c>
      <c r="L10" s="880"/>
      <c r="M10" s="880"/>
      <c r="N10" s="880"/>
      <c r="O10" s="880"/>
      <c r="P10" s="880"/>
      <c r="Q10" s="880"/>
      <c r="R10" s="880"/>
      <c r="S10" s="879">
        <f>S9/69.03</f>
        <v>561.68332609010577</v>
      </c>
      <c r="T10" s="880"/>
      <c r="U10" s="880"/>
      <c r="V10" s="879">
        <f>V9/69.03</f>
        <v>597.7256265391859</v>
      </c>
      <c r="W10" s="880"/>
      <c r="X10" s="881"/>
    </row>
    <row r="11" spans="1:24" s="93" customFormat="1" ht="9.6" customHeight="1">
      <c r="A11" s="283" t="s">
        <v>330</v>
      </c>
      <c r="B11" s="257">
        <v>628682</v>
      </c>
      <c r="C11" s="533">
        <v>677072</v>
      </c>
      <c r="D11" s="533">
        <v>5671</v>
      </c>
      <c r="E11" s="533">
        <v>682743</v>
      </c>
      <c r="F11" s="533">
        <v>508042</v>
      </c>
      <c r="G11" s="256">
        <f>(F11/B11)*100</f>
        <v>80.810648308683881</v>
      </c>
      <c r="H11" s="533">
        <v>120640</v>
      </c>
      <c r="I11" s="533">
        <v>174701</v>
      </c>
      <c r="J11" s="256">
        <f>(I11/B11)*100</f>
        <v>27.788452667644375</v>
      </c>
      <c r="K11" s="533">
        <v>164729</v>
      </c>
      <c r="L11" s="256">
        <f>(K11/B11)*100</f>
        <v>26.202277144884057</v>
      </c>
      <c r="M11" s="532" t="s">
        <v>1120</v>
      </c>
      <c r="N11" s="532" t="s">
        <v>1125</v>
      </c>
      <c r="O11" s="532" t="s">
        <v>1129</v>
      </c>
      <c r="P11" s="532" t="s">
        <v>1029</v>
      </c>
      <c r="Q11" s="876">
        <f>(B11/M11)*100</f>
        <v>114.84097713526853</v>
      </c>
      <c r="R11" s="532" t="s">
        <v>1138</v>
      </c>
      <c r="S11" s="533">
        <v>43719</v>
      </c>
      <c r="T11" s="532"/>
      <c r="U11" s="532" t="s">
        <v>1148</v>
      </c>
      <c r="V11" s="533">
        <v>47084</v>
      </c>
      <c r="W11" s="532" t="s">
        <v>1144</v>
      </c>
      <c r="X11" s="741"/>
    </row>
    <row r="12" spans="1:24" s="227" customFormat="1" ht="9.6" customHeight="1">
      <c r="A12" s="229"/>
      <c r="B12" s="879">
        <f>(B11/68.6)*10</f>
        <v>91644.606413994174</v>
      </c>
      <c r="C12" s="879">
        <f>(C11/68.6)*10</f>
        <v>98698.542274052481</v>
      </c>
      <c r="D12" s="879">
        <f>(D11/68.6)*10</f>
        <v>826.67638483965015</v>
      </c>
      <c r="E12" s="879">
        <f>(E11/68.6)*10</f>
        <v>99525.218658892132</v>
      </c>
      <c r="F12" s="879">
        <f>(F11/68.6)*10</f>
        <v>74058.600583090389</v>
      </c>
      <c r="G12" s="879"/>
      <c r="H12" s="879">
        <f>(H11/68.6)*10</f>
        <v>17586.005830903792</v>
      </c>
      <c r="I12" s="879">
        <f>(I11/68.6)*10</f>
        <v>25466.618075801751</v>
      </c>
      <c r="J12" s="879"/>
      <c r="K12" s="879">
        <f>(K11/68.6)*10</f>
        <v>24012.973760932946</v>
      </c>
      <c r="L12" s="880"/>
      <c r="M12" s="880"/>
      <c r="N12" s="880"/>
      <c r="O12" s="880"/>
      <c r="P12" s="880"/>
      <c r="Q12" s="880"/>
      <c r="R12" s="880"/>
      <c r="S12" s="879">
        <f>S11/68.6</f>
        <v>637.30320699708454</v>
      </c>
      <c r="T12" s="880"/>
      <c r="U12" s="880"/>
      <c r="V12" s="879">
        <f>V11/68.6</f>
        <v>686.3556851311954</v>
      </c>
      <c r="W12" s="880"/>
      <c r="X12" s="881"/>
    </row>
    <row r="13" spans="1:24" s="93" customFormat="1" ht="9.6" customHeight="1">
      <c r="A13" s="283" t="s">
        <v>85</v>
      </c>
      <c r="B13" s="257">
        <v>705072</v>
      </c>
      <c r="C13" s="533">
        <v>760973</v>
      </c>
      <c r="D13" s="533">
        <v>2407</v>
      </c>
      <c r="E13" s="533">
        <v>763380</v>
      </c>
      <c r="F13" s="533">
        <v>561714</v>
      </c>
      <c r="G13" s="256">
        <f>(F13/B13)*100</f>
        <v>79.667608414459806</v>
      </c>
      <c r="H13" s="533">
        <v>143358</v>
      </c>
      <c r="I13" s="533">
        <v>201662</v>
      </c>
      <c r="J13" s="256">
        <f>(I13/B13)*100</f>
        <v>28.601617990786753</v>
      </c>
      <c r="K13" s="533">
        <v>184772</v>
      </c>
      <c r="L13" s="256">
        <f>(K13/B13)*100</f>
        <v>26.206117956747683</v>
      </c>
      <c r="M13" s="532" t="s">
        <v>1121</v>
      </c>
      <c r="N13" s="532" t="s">
        <v>1126</v>
      </c>
      <c r="O13" s="532" t="s">
        <v>1130</v>
      </c>
      <c r="P13" s="532" t="s">
        <v>1134</v>
      </c>
      <c r="Q13" s="876">
        <f>(B13/M13)*100</f>
        <v>122.60927631395899</v>
      </c>
      <c r="R13" s="532" t="s">
        <v>1139</v>
      </c>
      <c r="S13" s="533">
        <v>48359</v>
      </c>
      <c r="T13" s="532"/>
      <c r="U13" s="532" t="s">
        <v>1149</v>
      </c>
      <c r="V13" s="533">
        <v>52193</v>
      </c>
      <c r="W13" s="532" t="s">
        <v>1145</v>
      </c>
      <c r="X13" s="741"/>
    </row>
    <row r="14" spans="1:24" s="227" customFormat="1" ht="9.6" customHeight="1">
      <c r="A14" s="229"/>
      <c r="B14" s="879">
        <f>(B13/68.8)*10</f>
        <v>102481.39534883722</v>
      </c>
      <c r="C14" s="879">
        <f>(C13/68.8)*10</f>
        <v>110606.54069767443</v>
      </c>
      <c r="D14" s="879">
        <f>(D13/68.8)*10</f>
        <v>349.85465116279073</v>
      </c>
      <c r="E14" s="879">
        <f>(E13/68.8)*10</f>
        <v>110956.39534883722</v>
      </c>
      <c r="F14" s="879">
        <f>(F13/68.8)*10</f>
        <v>81644.476744186046</v>
      </c>
      <c r="G14" s="879"/>
      <c r="H14" s="879">
        <f>(H13/68.8)*10</f>
        <v>20836.918604651164</v>
      </c>
      <c r="I14" s="879">
        <f>(I13/68.8)*10</f>
        <v>29311.337209302328</v>
      </c>
      <c r="J14" s="879"/>
      <c r="K14" s="879">
        <f>(K13/68.8)*10</f>
        <v>26856.39534883721</v>
      </c>
      <c r="L14" s="880"/>
      <c r="M14" s="880"/>
      <c r="N14" s="880"/>
      <c r="O14" s="880"/>
      <c r="P14" s="880"/>
      <c r="Q14" s="880"/>
      <c r="R14" s="880"/>
      <c r="S14" s="879">
        <f>S13/68.8</f>
        <v>702.89244186046517</v>
      </c>
      <c r="T14" s="880"/>
      <c r="U14" s="880"/>
      <c r="V14" s="879">
        <f>V13/68.8</f>
        <v>758.61918604651169</v>
      </c>
      <c r="W14" s="880"/>
      <c r="X14" s="881"/>
    </row>
    <row r="15" spans="1:24" s="93" customFormat="1" ht="9.6" customHeight="1">
      <c r="A15" s="283" t="s">
        <v>81</v>
      </c>
      <c r="B15" s="257">
        <v>797539</v>
      </c>
      <c r="C15" s="533">
        <v>862142</v>
      </c>
      <c r="D15" s="533">
        <v>4248</v>
      </c>
      <c r="E15" s="533">
        <v>866390</v>
      </c>
      <c r="F15" s="533">
        <v>631571</v>
      </c>
      <c r="G15" s="256">
        <f>(F15/B15)*100</f>
        <v>79.189983185775233</v>
      </c>
      <c r="H15" s="533">
        <v>165968</v>
      </c>
      <c r="I15" s="533">
        <v>234819</v>
      </c>
      <c r="J15" s="256">
        <f>(I15/B15)*100</f>
        <v>29.442948871465845</v>
      </c>
      <c r="K15" s="533">
        <v>209327</v>
      </c>
      <c r="L15" s="256">
        <f>(K15/B15)*100</f>
        <v>26.246616152940483</v>
      </c>
      <c r="M15" s="532" t="s">
        <v>1122</v>
      </c>
      <c r="N15" s="532" t="s">
        <v>1127</v>
      </c>
      <c r="O15" s="532" t="s">
        <v>1131</v>
      </c>
      <c r="P15" s="532" t="s">
        <v>1135</v>
      </c>
      <c r="Q15" s="876">
        <f>(B15/M15)*100</f>
        <v>131.3692869508497</v>
      </c>
      <c r="R15" s="532" t="s">
        <v>1140</v>
      </c>
      <c r="S15" s="533">
        <v>53961</v>
      </c>
      <c r="T15" s="532"/>
      <c r="U15" s="532" t="s">
        <v>1150</v>
      </c>
      <c r="V15" s="533">
        <v>58332</v>
      </c>
      <c r="W15" s="532" t="s">
        <v>1146</v>
      </c>
      <c r="X15" s="742"/>
    </row>
    <row r="16" spans="1:24" s="227" customFormat="1" ht="9.6" customHeight="1">
      <c r="A16" s="229"/>
      <c r="B16" s="879">
        <f>(B15/69.18)*10</f>
        <v>115284.61983232148</v>
      </c>
      <c r="C16" s="879">
        <f>(C15/69.18)*10</f>
        <v>124623.01243133852</v>
      </c>
      <c r="D16" s="879">
        <f>(D15/69.18)*10</f>
        <v>614.0503035559409</v>
      </c>
      <c r="E16" s="879">
        <f>(E15/69.18)*10</f>
        <v>125237.06273489445</v>
      </c>
      <c r="F16" s="879">
        <f>(F15/69.18)*10</f>
        <v>91293.871061000274</v>
      </c>
      <c r="G16" s="879"/>
      <c r="H16" s="879">
        <f>(H15/69.18)*10</f>
        <v>23990.748771321189</v>
      </c>
      <c r="I16" s="879">
        <f>(I15/69.18)*10</f>
        <v>33943.191673894187</v>
      </c>
      <c r="J16" s="879"/>
      <c r="K16" s="879">
        <f>(K15/69.18)*10</f>
        <v>30258.311650766114</v>
      </c>
      <c r="L16" s="880"/>
      <c r="M16" s="880"/>
      <c r="N16" s="880"/>
      <c r="O16" s="880"/>
      <c r="P16" s="880"/>
      <c r="Q16" s="880"/>
      <c r="R16" s="880"/>
      <c r="S16" s="879">
        <f>S15/69.18</f>
        <v>780.0086730268863</v>
      </c>
      <c r="T16" s="880"/>
      <c r="U16" s="880"/>
      <c r="V16" s="879">
        <f>V15/69.18</f>
        <v>843.19167389418897</v>
      </c>
      <c r="W16" s="880"/>
      <c r="X16" s="882"/>
    </row>
    <row r="17" spans="1:24" s="93" customFormat="1" ht="9.6" customHeight="1">
      <c r="A17" s="283" t="s">
        <v>189</v>
      </c>
      <c r="B17" s="533">
        <v>915829</v>
      </c>
      <c r="C17" s="533">
        <v>988342</v>
      </c>
      <c r="D17" s="533">
        <v>3102</v>
      </c>
      <c r="E17" s="533">
        <v>991444</v>
      </c>
      <c r="F17" s="533">
        <v>726966</v>
      </c>
      <c r="G17" s="256">
        <f>(F17/B17)*100</f>
        <v>79.377918803619451</v>
      </c>
      <c r="H17" s="533">
        <v>188863</v>
      </c>
      <c r="I17" s="533">
        <v>264478</v>
      </c>
      <c r="J17" s="256">
        <f>(I17/B17)*100</f>
        <v>28.878535185061839</v>
      </c>
      <c r="K17" s="533">
        <v>251129</v>
      </c>
      <c r="L17" s="256">
        <f>(K17/B17)*100</f>
        <v>27.420948670548761</v>
      </c>
      <c r="M17" s="532" t="s">
        <v>1022</v>
      </c>
      <c r="N17" s="532" t="s">
        <v>1045</v>
      </c>
      <c r="O17" s="532" t="s">
        <v>1023</v>
      </c>
      <c r="P17" s="532" t="s">
        <v>1024</v>
      </c>
      <c r="Q17" s="876">
        <f>(B17/M17)*100</f>
        <v>141.694180480303</v>
      </c>
      <c r="R17" s="532" t="s">
        <v>804</v>
      </c>
      <c r="S17" s="533">
        <v>61198</v>
      </c>
      <c r="T17" s="532"/>
      <c r="U17" s="876">
        <v>43190</v>
      </c>
      <c r="V17" s="533">
        <v>66044</v>
      </c>
      <c r="W17" s="532" t="s">
        <v>1048</v>
      </c>
      <c r="X17" s="742"/>
    </row>
    <row r="18" spans="1:24" s="229" customFormat="1" ht="9.6" customHeight="1">
      <c r="B18" s="879">
        <f>(B17/71.17)*10</f>
        <v>128681.88843613882</v>
      </c>
      <c r="C18" s="879">
        <f>(C17/71.17)*10</f>
        <v>138870.59154137981</v>
      </c>
      <c r="D18" s="879">
        <f>(D17/71.17)*10</f>
        <v>435.85780525502315</v>
      </c>
      <c r="E18" s="879">
        <f>(E17/71.17)*10</f>
        <v>139306.44934663482</v>
      </c>
      <c r="F18" s="879">
        <f>(F17/71.17)*10</f>
        <v>102145.00491780243</v>
      </c>
      <c r="G18" s="879"/>
      <c r="H18" s="879">
        <f>(H17/71.17)*10</f>
        <v>26536.883518336377</v>
      </c>
      <c r="I18" s="879">
        <f>(I17/71.17)*10</f>
        <v>37161.444428832372</v>
      </c>
      <c r="J18" s="879"/>
      <c r="K18" s="879">
        <f>(K17/71.17)*10</f>
        <v>35285.794576366447</v>
      </c>
      <c r="L18" s="880"/>
      <c r="M18" s="880"/>
      <c r="N18" s="880"/>
      <c r="O18" s="880"/>
      <c r="P18" s="880"/>
      <c r="Q18" s="880"/>
      <c r="R18" s="880"/>
      <c r="S18" s="879">
        <f>S17/71.17</f>
        <v>859.88478291414924</v>
      </c>
      <c r="T18" s="880"/>
      <c r="U18" s="880"/>
      <c r="V18" s="879">
        <f>V17/71.17</f>
        <v>927.97527047913445</v>
      </c>
      <c r="W18" s="880"/>
      <c r="X18" s="745"/>
    </row>
    <row r="19" spans="1:24" s="93" customFormat="1" ht="9.6" customHeight="1">
      <c r="A19" s="283" t="s">
        <v>701</v>
      </c>
      <c r="B19" s="533">
        <v>1055204</v>
      </c>
      <c r="C19" s="533">
        <v>1144506</v>
      </c>
      <c r="D19" s="533">
        <v>1791</v>
      </c>
      <c r="E19" s="533">
        <v>1146297</v>
      </c>
      <c r="F19" s="533">
        <v>831250</v>
      </c>
      <c r="G19" s="256">
        <f>(F19/B19)*100</f>
        <v>78.776236632916479</v>
      </c>
      <c r="H19" s="533">
        <v>223954</v>
      </c>
      <c r="I19" s="533">
        <v>315047</v>
      </c>
      <c r="J19" s="256">
        <f>(I19/B19)*100</f>
        <v>29.856501681191506</v>
      </c>
      <c r="K19" s="533">
        <v>298225</v>
      </c>
      <c r="L19" s="256">
        <f>(K19/B19)*100</f>
        <v>28.262307572753702</v>
      </c>
      <c r="M19" s="532" t="s">
        <v>1025</v>
      </c>
      <c r="N19" s="532" t="s">
        <v>1044</v>
      </c>
      <c r="O19" s="532" t="s">
        <v>1026</v>
      </c>
      <c r="P19" s="532" t="s">
        <v>1027</v>
      </c>
      <c r="Q19" s="876">
        <f>(B19/M19)*100</f>
        <v>153.26285089318264</v>
      </c>
      <c r="R19" s="532" t="s">
        <v>805</v>
      </c>
      <c r="S19" s="533">
        <v>69614</v>
      </c>
      <c r="T19" s="532"/>
      <c r="U19" s="876">
        <v>45421</v>
      </c>
      <c r="V19" s="533">
        <v>75505</v>
      </c>
      <c r="W19" s="532" t="s">
        <v>1047</v>
      </c>
      <c r="X19" s="741"/>
    </row>
    <row r="20" spans="1:24" s="227" customFormat="1" ht="9.6" customHeight="1">
      <c r="A20" s="229"/>
      <c r="B20" s="879">
        <f>(B19/79.1)*10</f>
        <v>133401.26422250317</v>
      </c>
      <c r="C20" s="879">
        <f>(C19/79.1)*10</f>
        <v>144691.02402022757</v>
      </c>
      <c r="D20" s="879">
        <f>(D19/79.1)*10</f>
        <v>226.42225031605562</v>
      </c>
      <c r="E20" s="879">
        <f>(E19/79.1)*10</f>
        <v>144917.44627054362</v>
      </c>
      <c r="F20" s="879">
        <f>(F19/79.1)*10</f>
        <v>105088.49557522124</v>
      </c>
      <c r="G20" s="879"/>
      <c r="H20" s="879">
        <f>(H19/79.1)*10</f>
        <v>28312.768647281922</v>
      </c>
      <c r="I20" s="879">
        <f>(I19/79.1)*10</f>
        <v>39828.950695322375</v>
      </c>
      <c r="J20" s="879"/>
      <c r="K20" s="879">
        <f>(K19/79.1)*10</f>
        <v>37702.275600505687</v>
      </c>
      <c r="L20" s="880"/>
      <c r="M20" s="880"/>
      <c r="N20" s="880"/>
      <c r="O20" s="880"/>
      <c r="P20" s="880"/>
      <c r="Q20" s="880"/>
      <c r="R20" s="880"/>
      <c r="S20" s="879">
        <f>S19/79.1</f>
        <v>880.07585335018973</v>
      </c>
      <c r="T20" s="880"/>
      <c r="U20" s="880"/>
      <c r="V20" s="879">
        <f>V19/79.1</f>
        <v>954.55120101137811</v>
      </c>
      <c r="W20" s="880"/>
      <c r="X20" s="881"/>
    </row>
    <row r="21" spans="1:24" s="93" customFormat="1" ht="9.6" customHeight="1">
      <c r="A21" s="283" t="s">
        <v>809</v>
      </c>
      <c r="B21" s="257">
        <v>1198923</v>
      </c>
      <c r="C21" s="533">
        <v>1295352</v>
      </c>
      <c r="D21" s="533">
        <v>5375</v>
      </c>
      <c r="E21" s="533">
        <v>1300727</v>
      </c>
      <c r="F21" s="533">
        <v>934727</v>
      </c>
      <c r="G21" s="256">
        <f>(F21/B21)*100</f>
        <v>77.963889257275071</v>
      </c>
      <c r="H21" s="533">
        <v>264196</v>
      </c>
      <c r="I21" s="533">
        <v>365999.9</v>
      </c>
      <c r="J21" s="256">
        <f>(I21/B21)*100</f>
        <v>30.527389999190941</v>
      </c>
      <c r="K21" s="533">
        <v>340370</v>
      </c>
      <c r="L21" s="256">
        <f>(K21/B21)*100</f>
        <v>28.38964637428759</v>
      </c>
      <c r="M21" s="532" t="s">
        <v>1028</v>
      </c>
      <c r="N21" s="532" t="s">
        <v>1043</v>
      </c>
      <c r="O21" s="532" t="s">
        <v>1030</v>
      </c>
      <c r="P21" s="532" t="s">
        <v>1029</v>
      </c>
      <c r="Q21" s="876">
        <f>(B21/M21)*100</f>
        <v>164.25920369586393</v>
      </c>
      <c r="R21" s="532" t="s">
        <v>1031</v>
      </c>
      <c r="S21" s="533">
        <v>78009</v>
      </c>
      <c r="T21" s="532"/>
      <c r="U21" s="876">
        <v>47491</v>
      </c>
      <c r="V21" s="533">
        <v>84283</v>
      </c>
      <c r="W21" s="532" t="s">
        <v>1046</v>
      </c>
      <c r="X21" s="741"/>
    </row>
    <row r="22" spans="1:24" s="229" customFormat="1" ht="9.6" customHeight="1">
      <c r="B22" s="879">
        <f>(B21/79.93)*10</f>
        <v>149996.62204428873</v>
      </c>
      <c r="C22" s="879">
        <f>(C21/79.93)*10</f>
        <v>162060.80320280243</v>
      </c>
      <c r="D22" s="879">
        <f>(D21/79.93)*10</f>
        <v>672.46340547979469</v>
      </c>
      <c r="E22" s="879">
        <f>(E21/79.93)*10</f>
        <v>162733.26660828223</v>
      </c>
      <c r="F22" s="879">
        <f>(F21/79.93)*10</f>
        <v>116943.20030026272</v>
      </c>
      <c r="G22" s="879"/>
      <c r="H22" s="879">
        <f>(H21/79.93)*10</f>
        <v>33053.421744026018</v>
      </c>
      <c r="I22" s="879">
        <f>(I21/79.93)*10</f>
        <v>45790.05379707244</v>
      </c>
      <c r="J22" s="879"/>
      <c r="K22" s="879">
        <f>(K21/79.93)*10</f>
        <v>42583.510571750274</v>
      </c>
      <c r="L22" s="880"/>
      <c r="M22" s="880"/>
      <c r="N22" s="880"/>
      <c r="O22" s="880"/>
      <c r="P22" s="880"/>
      <c r="Q22" s="880"/>
      <c r="R22" s="880"/>
      <c r="S22" s="879">
        <f>S21/79.93</f>
        <v>975.96647066182902</v>
      </c>
      <c r="T22" s="880"/>
      <c r="U22" s="880"/>
      <c r="V22" s="879">
        <f>V21/79.93</f>
        <v>1054.4601526335543</v>
      </c>
      <c r="W22" s="880"/>
      <c r="X22" s="745"/>
    </row>
    <row r="23" spans="1:24" s="310" customFormat="1" ht="9.6" customHeight="1">
      <c r="A23" s="283" t="s">
        <v>982</v>
      </c>
      <c r="B23" s="257">
        <v>1343674</v>
      </c>
      <c r="C23" s="533">
        <v>1433224</v>
      </c>
      <c r="D23" s="533">
        <v>6334</v>
      </c>
      <c r="E23" s="533">
        <v>1439558</v>
      </c>
      <c r="F23" s="533">
        <v>1046856</v>
      </c>
      <c r="G23" s="256">
        <f>(F23/B23)*100</f>
        <v>77.909969233608749</v>
      </c>
      <c r="H23" s="533">
        <v>296817</v>
      </c>
      <c r="I23" s="533">
        <v>392701</v>
      </c>
      <c r="J23" s="256">
        <f>(I23/B23)*100</f>
        <v>29.225913428405999</v>
      </c>
      <c r="K23" s="533">
        <v>383994</v>
      </c>
      <c r="L23" s="256">
        <f>(K23/B23)*100</f>
        <v>28.577913988065557</v>
      </c>
      <c r="M23" s="532" t="s">
        <v>1114</v>
      </c>
      <c r="N23" s="532">
        <v>825728</v>
      </c>
      <c r="O23" s="532" t="s">
        <v>1115</v>
      </c>
      <c r="P23" s="532" t="s">
        <v>1116</v>
      </c>
      <c r="Q23" s="876">
        <f>(B23/M23)*100</f>
        <v>173.57079376233634</v>
      </c>
      <c r="R23" s="532" t="s">
        <v>1032</v>
      </c>
      <c r="S23" s="533">
        <v>86266</v>
      </c>
      <c r="T23" s="532"/>
      <c r="U23" s="876">
        <v>49701</v>
      </c>
      <c r="V23" s="533">
        <v>92015</v>
      </c>
      <c r="W23" s="532" t="s">
        <v>1173</v>
      </c>
      <c r="X23" s="744"/>
    </row>
    <row r="24" spans="1:24" s="229" customFormat="1" ht="9.6" customHeight="1">
      <c r="B24" s="879">
        <f>(B23/77.72)*10</f>
        <v>172886.51569737517</v>
      </c>
      <c r="C24" s="879">
        <f>(C23/77.72)*10</f>
        <v>184408.64642305713</v>
      </c>
      <c r="D24" s="879">
        <f>(D23/77.72)*10</f>
        <v>814.97683993823989</v>
      </c>
      <c r="E24" s="879">
        <f>(E23/77.72)*10</f>
        <v>185223.62326299539</v>
      </c>
      <c r="F24" s="879">
        <f>(F23/77.72)*10</f>
        <v>134695.83118888317</v>
      </c>
      <c r="G24" s="879"/>
      <c r="H24" s="879">
        <f>(H23/77.72)*10</f>
        <v>38190.555841482244</v>
      </c>
      <c r="I24" s="879">
        <f>(I23/77.72)*10</f>
        <v>50527.663407102416</v>
      </c>
      <c r="J24" s="879"/>
      <c r="K24" s="879">
        <f>(K23/77.72)*10</f>
        <v>49407.359752959346</v>
      </c>
      <c r="L24" s="880"/>
      <c r="M24" s="880"/>
      <c r="N24" s="880"/>
      <c r="O24" s="880"/>
      <c r="P24" s="880"/>
      <c r="Q24" s="880"/>
      <c r="R24" s="880"/>
      <c r="S24" s="879">
        <f>S23/77.72</f>
        <v>1109.9588265568709</v>
      </c>
      <c r="T24" s="880"/>
      <c r="U24" s="880"/>
      <c r="V24" s="879">
        <f>V23/77.72</f>
        <v>1183.9294904786414</v>
      </c>
      <c r="W24" s="880"/>
      <c r="X24" s="745"/>
    </row>
    <row r="25" spans="1:24" s="310" customFormat="1" ht="9.6" customHeight="1">
      <c r="A25" s="283" t="s">
        <v>1033</v>
      </c>
      <c r="B25" s="257">
        <v>1515802</v>
      </c>
      <c r="C25" s="533">
        <v>1614204</v>
      </c>
      <c r="D25" s="533">
        <v>5600</v>
      </c>
      <c r="E25" s="533">
        <v>1619804</v>
      </c>
      <c r="F25" s="533">
        <v>1179924</v>
      </c>
      <c r="G25" s="256">
        <f>(F25/B25)*100</f>
        <v>77.84156505928874</v>
      </c>
      <c r="H25" s="533">
        <v>335879</v>
      </c>
      <c r="I25" s="533">
        <v>439881</v>
      </c>
      <c r="J25" s="256">
        <f>(I25/B25)*100</f>
        <v>29.01968726786216</v>
      </c>
      <c r="K25" s="533">
        <v>437865</v>
      </c>
      <c r="L25" s="256">
        <f>(K25/B25)*100</f>
        <v>28.886688366950303</v>
      </c>
      <c r="M25" s="532" t="s">
        <v>1169</v>
      </c>
      <c r="N25" s="532" t="s">
        <v>1170</v>
      </c>
      <c r="O25" s="532" t="s">
        <v>1171</v>
      </c>
      <c r="P25" s="532" t="s">
        <v>1172</v>
      </c>
      <c r="Q25" s="876">
        <f>(B25/M25)*100</f>
        <v>183.76431451564019</v>
      </c>
      <c r="R25" s="532" t="s">
        <v>1117</v>
      </c>
      <c r="S25" s="533">
        <v>96004</v>
      </c>
      <c r="T25" s="532"/>
      <c r="U25" s="533">
        <v>52240</v>
      </c>
      <c r="V25" s="533">
        <v>102236</v>
      </c>
      <c r="W25" s="532" t="s">
        <v>1196</v>
      </c>
      <c r="X25" s="743"/>
    </row>
    <row r="26" spans="1:24" s="229" customFormat="1" ht="9.6" customHeight="1">
      <c r="B26" s="879">
        <f>(B25/77.67)*10</f>
        <v>195159.26355092056</v>
      </c>
      <c r="C26" s="879">
        <f>(C25/77.67)*10</f>
        <v>207828.50521436849</v>
      </c>
      <c r="D26" s="879">
        <f>(D25/77.67)*10</f>
        <v>720.99909875112655</v>
      </c>
      <c r="E26" s="879">
        <f>(E25/77.67)*10</f>
        <v>208549.50431311963</v>
      </c>
      <c r="F26" s="879">
        <f>(F25/77.67)*10</f>
        <v>151915.02510621861</v>
      </c>
      <c r="G26" s="879"/>
      <c r="H26" s="879">
        <f>(H25/77.67)*10</f>
        <v>43244.36719454101</v>
      </c>
      <c r="I26" s="879">
        <f>(I25/77.67)*10</f>
        <v>56634.607956740059</v>
      </c>
      <c r="J26" s="879"/>
      <c r="K26" s="879">
        <f>(K25/77.67)*10</f>
        <v>56375.048281189651</v>
      </c>
      <c r="L26" s="880"/>
      <c r="M26" s="880"/>
      <c r="N26" s="880"/>
      <c r="O26" s="880"/>
      <c r="P26" s="880"/>
      <c r="Q26" s="880"/>
      <c r="R26" s="880"/>
      <c r="S26" s="879">
        <f>S25/77.67</f>
        <v>1236.0499549375563</v>
      </c>
      <c r="T26" s="880"/>
      <c r="U26" s="880"/>
      <c r="V26" s="879">
        <f>V25/77.67</f>
        <v>1316.2868546414318</v>
      </c>
      <c r="W26" s="880"/>
      <c r="X26" s="745"/>
    </row>
    <row r="27" spans="1:24" s="310" customFormat="1" ht="9.6" customHeight="1">
      <c r="A27" s="883" t="s">
        <v>1154</v>
      </c>
      <c r="B27" s="533">
        <v>1732864</v>
      </c>
      <c r="C27" s="533">
        <v>1832675</v>
      </c>
      <c r="D27" s="533">
        <v>583</v>
      </c>
      <c r="E27" s="533">
        <v>1833258</v>
      </c>
      <c r="F27" s="533">
        <v>1300034</v>
      </c>
      <c r="G27" s="256">
        <f>(F27/B27)*100</f>
        <v>75.022275262224852</v>
      </c>
      <c r="H27" s="533">
        <v>432830</v>
      </c>
      <c r="I27" s="533">
        <v>533224</v>
      </c>
      <c r="J27" s="256">
        <f>(I27/B27)*100</f>
        <v>30.771254985965431</v>
      </c>
      <c r="K27" s="533">
        <v>513839</v>
      </c>
      <c r="L27" s="256">
        <f>(K27/B27)*100</f>
        <v>29.652586700398874</v>
      </c>
      <c r="M27" s="533">
        <v>883539</v>
      </c>
      <c r="N27" s="533">
        <v>934430</v>
      </c>
      <c r="O27" s="256">
        <v>14.32</v>
      </c>
      <c r="P27" s="533">
        <v>7.11</v>
      </c>
      <c r="Q27" s="876">
        <f>(B27/M27)*100</f>
        <v>196.12761858842677</v>
      </c>
      <c r="R27" s="533">
        <v>15.99</v>
      </c>
      <c r="S27" s="533">
        <v>108378</v>
      </c>
      <c r="T27" s="533"/>
      <c r="U27" s="533">
        <v>55259</v>
      </c>
      <c r="V27" s="533">
        <v>114621</v>
      </c>
      <c r="W27" s="533">
        <v>58442</v>
      </c>
      <c r="X27" s="743"/>
    </row>
    <row r="28" spans="1:24" s="229" customFormat="1" ht="9.6" customHeight="1">
      <c r="B28" s="879">
        <f>(B27/78.2658)*10</f>
        <v>221407.56243467773</v>
      </c>
      <c r="C28" s="879">
        <f>(C27/78.2658)*10</f>
        <v>234160.38678452146</v>
      </c>
      <c r="D28" s="879">
        <f>(D27/78.2658)*10</f>
        <v>74.489751590094272</v>
      </c>
      <c r="E28" s="879">
        <f>(E27/78.2658)*10</f>
        <v>234234.87653611155</v>
      </c>
      <c r="F28" s="879">
        <f>(F27/78.2658)*10</f>
        <v>166104.99094112628</v>
      </c>
      <c r="G28" s="879"/>
      <c r="H28" s="879">
        <f>(H27/78.2658)*10</f>
        <v>55302.571493551455</v>
      </c>
      <c r="I28" s="879">
        <f>(I27/78.2658)*10</f>
        <v>68129.885594985302</v>
      </c>
      <c r="J28" s="879"/>
      <c r="K28" s="879">
        <f>(K27/78.2658)*10</f>
        <v>65653.06941218258</v>
      </c>
      <c r="L28" s="880"/>
      <c r="M28" s="880"/>
      <c r="N28" s="880"/>
      <c r="O28" s="880"/>
      <c r="P28" s="880"/>
      <c r="Q28" s="880"/>
      <c r="R28" s="880"/>
      <c r="S28" s="879">
        <f>(S27/78.2658)</f>
        <v>1384.742761206044</v>
      </c>
      <c r="T28" s="880"/>
      <c r="U28" s="880"/>
      <c r="V28" s="879">
        <f>(V27/78.2658)</f>
        <v>1464.5094025743044</v>
      </c>
      <c r="W28" s="880"/>
      <c r="X28" s="745"/>
    </row>
    <row r="29" spans="1:24" s="310" customFormat="1" ht="9.6" customHeight="1">
      <c r="A29" s="283" t="s">
        <v>1178</v>
      </c>
      <c r="B29" s="533">
        <v>1975817</v>
      </c>
      <c r="C29" s="533">
        <v>2060718</v>
      </c>
      <c r="D29" s="533">
        <v>353</v>
      </c>
      <c r="E29" s="533">
        <v>2061069</v>
      </c>
      <c r="F29" s="533">
        <v>1475356</v>
      </c>
      <c r="G29" s="256">
        <f>(F29/B29)*100</f>
        <v>74.670680533672908</v>
      </c>
      <c r="H29" s="533">
        <v>500460</v>
      </c>
      <c r="I29" s="533">
        <v>585714</v>
      </c>
      <c r="J29" s="256">
        <f>(I29/B29)*100</f>
        <v>29.644142144743164</v>
      </c>
      <c r="K29" s="533">
        <v>602830</v>
      </c>
      <c r="L29" s="256">
        <f>(K29/B29)*100</f>
        <v>30.510416703571231</v>
      </c>
      <c r="M29" s="533">
        <v>947899</v>
      </c>
      <c r="N29" s="533">
        <v>988630</v>
      </c>
      <c r="O29" s="533">
        <v>14.02</v>
      </c>
      <c r="P29" s="533">
        <v>7.28</v>
      </c>
      <c r="Q29" s="876">
        <f>(B29/M29)*100</f>
        <v>208.44172216660212</v>
      </c>
      <c r="R29" s="256">
        <v>16.175000000000001</v>
      </c>
      <c r="S29" s="533">
        <v>122152</v>
      </c>
      <c r="T29" s="533"/>
      <c r="U29" s="257">
        <f>M29/R29</f>
        <v>58602.720247295205</v>
      </c>
      <c r="V29" s="257">
        <f>C29/R29</f>
        <v>127401.42194744977</v>
      </c>
      <c r="W29" s="257">
        <f>N29/R29</f>
        <v>61120.865533230288</v>
      </c>
      <c r="X29" s="743"/>
    </row>
    <row r="30" spans="1:24" s="229" customFormat="1" ht="9.6" customHeight="1">
      <c r="B30" s="879">
        <f>(B29/79.119175)*10</f>
        <v>249726.69393986985</v>
      </c>
      <c r="C30" s="879">
        <f>(C29/79.119175)*10</f>
        <v>260457.46811692615</v>
      </c>
      <c r="D30" s="879">
        <f>(D29/79.119175)*10</f>
        <v>44.616238731002944</v>
      </c>
      <c r="E30" s="879">
        <f>(E29/79.119175)*10</f>
        <v>260501.83157243489</v>
      </c>
      <c r="F30" s="879">
        <f>(F29/79.119175)*10</f>
        <v>186472.62183914328</v>
      </c>
      <c r="G30" s="879"/>
      <c r="H30" s="879">
        <f>(H29/79.119175)*10</f>
        <v>63253.945709115396</v>
      </c>
      <c r="I30" s="879">
        <f>(I29/79.119175)*10</f>
        <v>74029.336124902722</v>
      </c>
      <c r="J30" s="879"/>
      <c r="K30" s="879">
        <f>(K29/79.119175)*10</f>
        <v>76192.654941106244</v>
      </c>
      <c r="L30" s="880"/>
      <c r="M30" s="880"/>
      <c r="N30" s="880"/>
      <c r="O30" s="880"/>
      <c r="P30" s="880"/>
      <c r="Q30" s="880"/>
      <c r="R30" s="880"/>
      <c r="S30" s="879">
        <f>(S29/79.119175)</f>
        <v>1543.8988083482923</v>
      </c>
      <c r="T30" s="880"/>
      <c r="U30" s="880"/>
      <c r="V30" s="879">
        <f>(V29/79.119175)</f>
        <v>1610.2470980953703</v>
      </c>
      <c r="W30" s="880"/>
      <c r="X30" s="745"/>
    </row>
    <row r="31" spans="1:24" s="310" customFormat="1" ht="9.6" customHeight="1">
      <c r="A31" s="283" t="s">
        <v>1298</v>
      </c>
      <c r="B31" s="533">
        <v>2250481</v>
      </c>
      <c r="C31" s="533">
        <v>2353109</v>
      </c>
      <c r="D31" s="533">
        <v>495</v>
      </c>
      <c r="E31" s="533">
        <v>2353603</v>
      </c>
      <c r="F31" s="533">
        <v>1736587</v>
      </c>
      <c r="G31" s="256">
        <f>(F31/B31)*100</f>
        <v>77.165148250529555</v>
      </c>
      <c r="H31" s="533">
        <v>513892</v>
      </c>
      <c r="I31" s="533">
        <v>617016</v>
      </c>
      <c r="J31" s="256">
        <f>(I31/B31)*100</f>
        <v>27.41707217257111</v>
      </c>
      <c r="K31" s="533">
        <v>702936</v>
      </c>
      <c r="L31" s="256">
        <f>(K31/B31)*100</f>
        <v>31.234922667643051</v>
      </c>
      <c r="M31" s="533">
        <v>1022438</v>
      </c>
      <c r="N31" s="533">
        <v>1069064</v>
      </c>
      <c r="O31" s="256">
        <v>13.9</v>
      </c>
      <c r="P31" s="533">
        <v>7.86</v>
      </c>
      <c r="Q31" s="876">
        <f>(B31/M31)*100</f>
        <v>220.10928780033606</v>
      </c>
      <c r="R31" s="256">
        <v>16.364999999999998</v>
      </c>
      <c r="S31" s="257">
        <f>B31/R31</f>
        <v>137517.93461655974</v>
      </c>
      <c r="T31" s="533"/>
      <c r="U31" s="257">
        <f>M31/R31</f>
        <v>62477.115795905906</v>
      </c>
      <c r="V31" s="533">
        <f>ROUND((C31/R31),0)</f>
        <v>143789</v>
      </c>
      <c r="W31" s="257">
        <f>N31/R31</f>
        <v>65326.245035135966</v>
      </c>
      <c r="X31" s="743"/>
    </row>
    <row r="32" spans="1:24" s="229" customFormat="1" ht="9.6" customHeight="1">
      <c r="B32" s="879">
        <f>(B31/82.100874)*10</f>
        <v>274111.69825061789</v>
      </c>
      <c r="C32" s="879">
        <f>(C31/82.100874)*10</f>
        <v>286611.93058675597</v>
      </c>
      <c r="D32" s="879">
        <f>(D31/82.100874)*10</f>
        <v>60.291684592785217</v>
      </c>
      <c r="E32" s="879">
        <f>(E31/82.100874)*10</f>
        <v>286672.10046996572</v>
      </c>
      <c r="F32" s="879">
        <f>(F31/82.100874)*10</f>
        <v>211518.69832713349</v>
      </c>
      <c r="G32" s="879"/>
      <c r="H32" s="879">
        <f>(H31/82.100874)*10</f>
        <v>62592.756320718334</v>
      </c>
      <c r="I32" s="879">
        <f>(I31/82.100874)*10</f>
        <v>75153.40214283223</v>
      </c>
      <c r="J32" s="879"/>
      <c r="K32" s="879">
        <f>(K31/82.100874)*10</f>
        <v>85618.576971543574</v>
      </c>
      <c r="L32" s="880"/>
      <c r="M32" s="880"/>
      <c r="N32" s="880"/>
      <c r="O32" s="880"/>
      <c r="P32" s="880"/>
      <c r="Q32" s="880"/>
      <c r="R32" s="880"/>
      <c r="S32" s="879">
        <f>(S31/82.100874)</f>
        <v>1674.9874625763391</v>
      </c>
      <c r="T32" s="880"/>
      <c r="U32" s="880"/>
      <c r="V32" s="879">
        <f>(V31/82.100874)</f>
        <v>1751.369906244847</v>
      </c>
      <c r="W32" s="880"/>
      <c r="X32" s="745"/>
    </row>
    <row r="33" spans="1:24" s="310" customFormat="1" ht="9.6" customHeight="1">
      <c r="A33" s="354" t="s">
        <v>1407</v>
      </c>
      <c r="B33" s="533">
        <v>2542484</v>
      </c>
      <c r="C33" s="533">
        <v>2656094</v>
      </c>
      <c r="D33" s="533">
        <v>215</v>
      </c>
      <c r="E33" s="533">
        <v>2656307</v>
      </c>
      <c r="F33" s="533">
        <v>1906266</v>
      </c>
      <c r="G33" s="256">
        <f>(F33/B33)*100</f>
        <v>74.976519026275085</v>
      </c>
      <c r="H33" s="533">
        <v>636217</v>
      </c>
      <c r="I33" s="533">
        <v>750041</v>
      </c>
      <c r="J33" s="256">
        <f>(I33/B33)*100</f>
        <v>29.500323305869379</v>
      </c>
      <c r="K33" s="533">
        <v>802670</v>
      </c>
      <c r="L33" s="256">
        <f>(K33/B33)*100</f>
        <v>31.570306833789317</v>
      </c>
      <c r="M33" s="533">
        <v>1105794</v>
      </c>
      <c r="N33" s="533">
        <v>1155206</v>
      </c>
      <c r="O33" s="533">
        <v>12.98</v>
      </c>
      <c r="P33" s="533">
        <v>8.15</v>
      </c>
      <c r="Q33" s="876">
        <f>(B33/M33)*100</f>
        <v>229.92383753212624</v>
      </c>
      <c r="R33" s="256">
        <v>16.555</v>
      </c>
      <c r="S33" s="257">
        <f>B33/R33</f>
        <v>153578.01268498943</v>
      </c>
      <c r="T33" s="533"/>
      <c r="U33" s="257">
        <f>M33/R33</f>
        <v>66795.167623074594</v>
      </c>
      <c r="V33" s="533">
        <f>ROUND((C33/R33),0)</f>
        <v>160441</v>
      </c>
      <c r="W33" s="257">
        <f>N33/R33</f>
        <v>69779.885231048029</v>
      </c>
      <c r="X33" s="743"/>
    </row>
    <row r="34" spans="1:24" s="229" customFormat="1" ht="9.6" customHeight="1">
      <c r="B34" s="879">
        <f>(B33/84.03)*10</f>
        <v>302568.60645007738</v>
      </c>
      <c r="C34" s="879">
        <f>(C33/84.03)*10</f>
        <v>316088.77781744616</v>
      </c>
      <c r="D34" s="879">
        <f>(D33/84.03)*10</f>
        <v>25.586100202308696</v>
      </c>
      <c r="E34" s="879">
        <f>(E33/84.03)*10</f>
        <v>316114.12590741401</v>
      </c>
      <c r="F34" s="879">
        <f>(F33/84.03)*10</f>
        <v>226855.40878257767</v>
      </c>
      <c r="G34" s="879"/>
      <c r="H34" s="879">
        <f>(H33/84.03)*10</f>
        <v>75713.078662382482</v>
      </c>
      <c r="I34" s="879">
        <f>(I33/84.03)*10</f>
        <v>89258.717124836374</v>
      </c>
      <c r="J34" s="879"/>
      <c r="K34" s="879">
        <f>(K33/84.03)*10</f>
        <v>95521.837439009862</v>
      </c>
      <c r="L34" s="880"/>
      <c r="M34" s="880"/>
      <c r="N34" s="880"/>
      <c r="O34" s="880"/>
      <c r="P34" s="880"/>
      <c r="Q34" s="880"/>
      <c r="R34" s="880"/>
      <c r="S34" s="879">
        <f>(S33/84.03)</f>
        <v>1827.6569401998029</v>
      </c>
      <c r="T34" s="880"/>
      <c r="U34" s="880"/>
      <c r="V34" s="879">
        <f>(V33/84.03)</f>
        <v>1909.3300011900512</v>
      </c>
      <c r="W34" s="880"/>
      <c r="X34" s="745"/>
    </row>
    <row r="35" spans="1:24" s="310" customFormat="1" ht="9.6" customHeight="1">
      <c r="A35" s="283" t="s">
        <v>1487</v>
      </c>
      <c r="B35" s="533">
        <v>2739332</v>
      </c>
      <c r="C35" s="533">
        <v>2873230</v>
      </c>
      <c r="D35" s="533">
        <v>205</v>
      </c>
      <c r="E35" s="533">
        <v>2873435</v>
      </c>
      <c r="F35" s="533">
        <v>2088081</v>
      </c>
      <c r="G35" s="256">
        <f>(F35/B35)*100</f>
        <v>76.225919311715401</v>
      </c>
      <c r="H35" s="533">
        <v>651252</v>
      </c>
      <c r="I35" s="533">
        <v>785354</v>
      </c>
      <c r="J35" s="256">
        <f>(I35/B35)*100</f>
        <v>28.669544253854589</v>
      </c>
      <c r="K35" s="533">
        <v>834631</v>
      </c>
      <c r="L35" s="256">
        <f>(K35/B35)*100</f>
        <v>30.46841346722486</v>
      </c>
      <c r="M35" s="533">
        <v>1144597</v>
      </c>
      <c r="N35" s="533">
        <v>1200545</v>
      </c>
      <c r="O35" s="533">
        <v>7.74</v>
      </c>
      <c r="P35" s="533">
        <v>3.51</v>
      </c>
      <c r="Q35" s="876">
        <f>(B35/M35)*100</f>
        <v>239.32720424743383</v>
      </c>
      <c r="R35" s="256">
        <v>16.742999999999999</v>
      </c>
      <c r="S35" s="257">
        <f>B35/R35</f>
        <v>163610.58352744431</v>
      </c>
      <c r="T35" s="533"/>
      <c r="U35" s="257">
        <f>M35/R35</f>
        <v>68362.718748133557</v>
      </c>
      <c r="V35" s="533">
        <f>ROUND((C35/R35),0)</f>
        <v>171608</v>
      </c>
      <c r="W35" s="257">
        <f>N35/R35</f>
        <v>71704.294331959638</v>
      </c>
      <c r="X35" s="743"/>
    </row>
    <row r="36" spans="1:24" s="229" customFormat="1" ht="9.6" customHeight="1">
      <c r="B36" s="879">
        <f>(B35/84.78)*10</f>
        <v>323110.63930172211</v>
      </c>
      <c r="C36" s="879">
        <f>(C35/84.78)*10</f>
        <v>338904.22269403166</v>
      </c>
      <c r="D36" s="879">
        <f>(D35/84.78)*10</f>
        <v>24.180231186600611</v>
      </c>
      <c r="E36" s="879">
        <f>(E35/84.78)*10</f>
        <v>338928.40292521816</v>
      </c>
      <c r="F36" s="879">
        <f>(F35/84.78)*10</f>
        <v>246294.0552016985</v>
      </c>
      <c r="G36" s="879"/>
      <c r="H36" s="879">
        <f>(H35/84.78)*10</f>
        <v>76816.702052370834</v>
      </c>
      <c r="I36" s="879">
        <f>(I35/84.78)*10</f>
        <v>92634.347723519691</v>
      </c>
      <c r="J36" s="879"/>
      <c r="K36" s="879">
        <f>(K35/84.78)*10</f>
        <v>98446.685539042228</v>
      </c>
      <c r="L36" s="880"/>
      <c r="M36" s="880"/>
      <c r="N36" s="880"/>
      <c r="O36" s="880"/>
      <c r="P36" s="880"/>
      <c r="Q36" s="880"/>
      <c r="R36" s="880"/>
      <c r="S36" s="879">
        <f>(S35/84.78)</f>
        <v>1929.8252362284065</v>
      </c>
      <c r="T36" s="880"/>
      <c r="U36" s="880"/>
      <c r="V36" s="879">
        <f>(V35/84.78)</f>
        <v>2024.1566407171501</v>
      </c>
      <c r="W36" s="880"/>
      <c r="X36" s="745"/>
    </row>
    <row r="37" spans="1:24" s="310" customFormat="1" ht="9.6" customHeight="1">
      <c r="A37" s="283" t="s">
        <v>1539</v>
      </c>
      <c r="B37" s="533">
        <v>3011065</v>
      </c>
      <c r="C37" s="533">
        <v>3197811</v>
      </c>
      <c r="D37" s="533">
        <v>411</v>
      </c>
      <c r="E37" s="533">
        <v>3198222</v>
      </c>
      <c r="F37" s="533">
        <v>2283288</v>
      </c>
      <c r="G37" s="256">
        <f>(F37/B37)*100</f>
        <v>75.829914000528049</v>
      </c>
      <c r="H37" s="533">
        <v>727777</v>
      </c>
      <c r="I37" s="533">
        <v>914934</v>
      </c>
      <c r="J37" s="256">
        <f>(I37/B37)*100</f>
        <v>30.38572730910824</v>
      </c>
      <c r="K37" s="533">
        <v>901003</v>
      </c>
      <c r="L37" s="256">
        <f>(K37/B37)*100</f>
        <v>29.923067087558721</v>
      </c>
      <c r="M37" s="533">
        <v>1207246</v>
      </c>
      <c r="N37" s="533">
        <v>1282119</v>
      </c>
      <c r="O37" s="533">
        <v>9.92</v>
      </c>
      <c r="P37" s="533">
        <v>5.47</v>
      </c>
      <c r="Q37" s="876">
        <f>(B37/M37)*100</f>
        <v>249.41602622829149</v>
      </c>
      <c r="R37" s="256">
        <v>16.931000000000001</v>
      </c>
      <c r="S37" s="257">
        <f>B37/R37</f>
        <v>177843.30517984761</v>
      </c>
      <c r="T37" s="533"/>
      <c r="U37" s="257">
        <f>M37/R37</f>
        <v>71303.880455968334</v>
      </c>
      <c r="V37" s="533">
        <f>ROUND((C37/R37),0)</f>
        <v>188873</v>
      </c>
      <c r="W37" s="257">
        <f>N37/R37</f>
        <v>75726.123678459626</v>
      </c>
      <c r="X37" s="743"/>
    </row>
    <row r="38" spans="1:24" s="229" customFormat="1" ht="9.6" customHeight="1">
      <c r="B38" s="879">
        <f>(B37/84.81)*10</f>
        <v>355036.55229336163</v>
      </c>
      <c r="C38" s="879">
        <f>(C37/84.81)*10</f>
        <v>377055.88963565615</v>
      </c>
      <c r="D38" s="879">
        <f>(D37/84.81)*10</f>
        <v>48.461266360099046</v>
      </c>
      <c r="E38" s="879">
        <f>(E37/84.81)*10</f>
        <v>377104.35090201622</v>
      </c>
      <c r="F38" s="879">
        <f>(F37/84.81)*10</f>
        <v>269223.91227449593</v>
      </c>
      <c r="G38" s="879"/>
      <c r="H38" s="879">
        <f>(H37/84.81)*10</f>
        <v>85812.640018865699</v>
      </c>
      <c r="I38" s="879">
        <f>(I37/84.81)*10</f>
        <v>107880.43862752034</v>
      </c>
      <c r="J38" s="879"/>
      <c r="K38" s="879">
        <f>(K37/84.81)*10</f>
        <v>106237.82572809811</v>
      </c>
      <c r="L38" s="880"/>
      <c r="M38" s="880"/>
      <c r="N38" s="880"/>
      <c r="O38" s="880"/>
      <c r="P38" s="880"/>
      <c r="Q38" s="880"/>
      <c r="R38" s="880"/>
      <c r="S38" s="879">
        <f>(S37/84.81)</f>
        <v>2096.9615043019407</v>
      </c>
      <c r="T38" s="880"/>
      <c r="U38" s="880"/>
      <c r="V38" s="879">
        <f>(V37/84.81)</f>
        <v>2227.0133239004836</v>
      </c>
      <c r="W38" s="880"/>
      <c r="X38" s="745"/>
    </row>
    <row r="39" spans="1:24" s="310" customFormat="1" ht="9.6" customHeight="1">
      <c r="A39" s="317" t="s">
        <v>1913</v>
      </c>
      <c r="B39" s="534"/>
      <c r="C39" s="534"/>
      <c r="D39" s="534"/>
      <c r="E39" s="534"/>
      <c r="F39" s="534"/>
      <c r="G39" s="534"/>
      <c r="H39" s="534"/>
      <c r="I39" s="534"/>
      <c r="J39" s="534"/>
      <c r="K39" s="534"/>
      <c r="L39" s="532"/>
      <c r="M39" s="532"/>
      <c r="N39" s="532"/>
      <c r="O39" s="532"/>
      <c r="P39" s="532"/>
      <c r="Q39" s="532"/>
      <c r="R39" s="532"/>
      <c r="S39" s="534"/>
      <c r="T39" s="532"/>
      <c r="U39" s="532"/>
      <c r="V39" s="534"/>
      <c r="W39" s="532"/>
      <c r="X39" s="743"/>
    </row>
    <row r="40" spans="1:24" s="365" customFormat="1" ht="9.6" customHeight="1">
      <c r="A40" s="484" t="s">
        <v>1154</v>
      </c>
      <c r="B40" s="530">
        <v>2075821</v>
      </c>
      <c r="C40" s="530">
        <v>2173075</v>
      </c>
      <c r="D40" s="530">
        <v>3249</v>
      </c>
      <c r="E40" s="530">
        <v>2176324</v>
      </c>
      <c r="F40" s="530">
        <v>1509739</v>
      </c>
      <c r="G40" s="231">
        <f>(F40/B40)*100</f>
        <v>72.729729586510601</v>
      </c>
      <c r="H40" s="530">
        <v>566082</v>
      </c>
      <c r="I40" s="530">
        <v>666585</v>
      </c>
      <c r="J40" s="231">
        <f>(I40/B40)*100</f>
        <v>32.111872844527539</v>
      </c>
      <c r="K40" s="530">
        <v>627723</v>
      </c>
      <c r="L40" s="231">
        <f>(K40/B40)*100</f>
        <v>30.239746105275938</v>
      </c>
      <c r="M40" s="880" t="s">
        <v>1914</v>
      </c>
      <c r="N40" s="880" t="s">
        <v>1915</v>
      </c>
      <c r="O40" s="880" t="s">
        <v>292</v>
      </c>
      <c r="P40" s="880" t="s">
        <v>292</v>
      </c>
      <c r="Q40" s="338">
        <f>(B40/M40)*100</f>
        <v>100</v>
      </c>
      <c r="R40" s="880" t="s">
        <v>1916</v>
      </c>
      <c r="S40" s="530">
        <v>129828</v>
      </c>
      <c r="T40" s="880"/>
      <c r="U40" s="338">
        <f>M40/R40</f>
        <v>129819.94996873045</v>
      </c>
      <c r="V40" s="530">
        <v>135911</v>
      </c>
      <c r="W40" s="338">
        <f>N40/R40</f>
        <v>135902.12632895561</v>
      </c>
      <c r="X40" s="884"/>
    </row>
    <row r="41" spans="1:24" s="886" customFormat="1" ht="9.6" customHeight="1">
      <c r="A41" s="283"/>
      <c r="B41" s="534">
        <f>(B40/78.27)*10</f>
        <v>265212.85294493422</v>
      </c>
      <c r="C41" s="534">
        <f>(C40/78.27)*10</f>
        <v>277638.30330905842</v>
      </c>
      <c r="D41" s="534">
        <f>(D40/78.27)*10</f>
        <v>415.10157148332695</v>
      </c>
      <c r="E41" s="534">
        <f>(E40/78.27)*10</f>
        <v>278053.40488054173</v>
      </c>
      <c r="F41" s="534">
        <f>(F40/78.27)*10</f>
        <v>192888.59077552066</v>
      </c>
      <c r="G41" s="534"/>
      <c r="H41" s="534">
        <f>(H40/78.27)*10</f>
        <v>72324.262169413574</v>
      </c>
      <c r="I41" s="534">
        <f>(I40/78.27)*10</f>
        <v>85164.814105021083</v>
      </c>
      <c r="J41" s="534"/>
      <c r="K41" s="534">
        <f>(K40/79.1)*10</f>
        <v>79358.154235145397</v>
      </c>
      <c r="L41" s="532"/>
      <c r="M41" s="532"/>
      <c r="N41" s="532"/>
      <c r="O41" s="532"/>
      <c r="P41" s="532"/>
      <c r="Q41" s="532"/>
      <c r="R41" s="532"/>
      <c r="S41" s="534">
        <f>S40/78.27</f>
        <v>1658.7198160214643</v>
      </c>
      <c r="T41" s="532"/>
      <c r="U41" s="532"/>
      <c r="V41" s="534">
        <f>V40/78.27</f>
        <v>1736.437971125591</v>
      </c>
      <c r="W41" s="532"/>
      <c r="X41" s="885"/>
    </row>
    <row r="42" spans="1:24" s="365" customFormat="1" ht="9.6" customHeight="1">
      <c r="A42" s="229" t="s">
        <v>1178</v>
      </c>
      <c r="B42" s="530">
        <v>2324307</v>
      </c>
      <c r="C42" s="530">
        <v>2404557</v>
      </c>
      <c r="D42" s="530">
        <v>4416</v>
      </c>
      <c r="E42" s="530">
        <v>2408974</v>
      </c>
      <c r="F42" s="530">
        <v>1695216</v>
      </c>
      <c r="G42" s="231">
        <f>(F42/B42)*100</f>
        <v>72.934255242530355</v>
      </c>
      <c r="H42" s="530">
        <v>629091</v>
      </c>
      <c r="I42" s="530">
        <v>713758</v>
      </c>
      <c r="J42" s="231">
        <f>(I42/B42)*100</f>
        <v>30.70842190812143</v>
      </c>
      <c r="K42" s="530">
        <v>719300</v>
      </c>
      <c r="L42" s="231">
        <f>(K42/B42)*100</f>
        <v>30.946858569027242</v>
      </c>
      <c r="M42" s="880" t="s">
        <v>1917</v>
      </c>
      <c r="N42" s="880" t="s">
        <v>1918</v>
      </c>
      <c r="O42" s="880" t="s">
        <v>1919</v>
      </c>
      <c r="P42" s="880" t="s">
        <v>1920</v>
      </c>
      <c r="Q42" s="338">
        <f>(B42/M42)*100</f>
        <v>105.04758379534154</v>
      </c>
      <c r="R42" s="880" t="s">
        <v>1921</v>
      </c>
      <c r="S42" s="530">
        <v>143698</v>
      </c>
      <c r="T42" s="880"/>
      <c r="U42" s="338">
        <f>M42/R42</f>
        <v>136750.49443757726</v>
      </c>
      <c r="V42" s="530">
        <v>148659</v>
      </c>
      <c r="W42" s="338">
        <f>N42/R42</f>
        <v>141472.00247218789</v>
      </c>
      <c r="X42" s="884"/>
    </row>
    <row r="43" spans="1:24" s="886" customFormat="1" ht="9.6" customHeight="1">
      <c r="A43" s="283"/>
      <c r="B43" s="534">
        <f>(B42/79.12)*10</f>
        <v>293769.84327603638</v>
      </c>
      <c r="C43" s="534">
        <f>(C42/79.12)*10</f>
        <v>303912.66430738114</v>
      </c>
      <c r="D43" s="534">
        <f>(D42/79.12)*10</f>
        <v>558.1395348837209</v>
      </c>
      <c r="E43" s="534">
        <f>(E42/79.12)*10</f>
        <v>304470.93023255811</v>
      </c>
      <c r="F43" s="534">
        <f>(F42/79.12)*10</f>
        <v>214258.84732052579</v>
      </c>
      <c r="G43" s="534"/>
      <c r="H43" s="534">
        <f>(H42/79.12)*10</f>
        <v>79510.995955510618</v>
      </c>
      <c r="I43" s="534">
        <f>(I42/79.12)*10</f>
        <v>90212.082912032347</v>
      </c>
      <c r="J43" s="534"/>
      <c r="K43" s="534">
        <f>(K42/79.12)*10</f>
        <v>90912.537917087961</v>
      </c>
      <c r="L43" s="532"/>
      <c r="M43" s="532"/>
      <c r="N43" s="532"/>
      <c r="O43" s="532"/>
      <c r="P43" s="532"/>
      <c r="Q43" s="532"/>
      <c r="R43" s="532"/>
      <c r="S43" s="534">
        <f>S42/79.12</f>
        <v>1816.2032355915064</v>
      </c>
      <c r="T43" s="532"/>
      <c r="U43" s="532"/>
      <c r="V43" s="534">
        <f>V42/79.12</f>
        <v>1878.9054600606673</v>
      </c>
      <c r="W43" s="532"/>
      <c r="X43" s="885"/>
    </row>
    <row r="44" spans="1:24" s="365" customFormat="1" ht="9.6" customHeight="1">
      <c r="A44" s="229" t="s">
        <v>1298</v>
      </c>
      <c r="B44" s="530">
        <v>2639248</v>
      </c>
      <c r="C44" s="530">
        <v>2744791</v>
      </c>
      <c r="D44" s="530">
        <v>4213</v>
      </c>
      <c r="E44" s="530">
        <v>2749004</v>
      </c>
      <c r="F44" s="530">
        <v>1941136</v>
      </c>
      <c r="G44" s="231">
        <f>(F44/B44)*100</f>
        <v>73.548829060399029</v>
      </c>
      <c r="H44" s="530">
        <v>698112</v>
      </c>
      <c r="I44" s="530">
        <v>807868</v>
      </c>
      <c r="J44" s="231">
        <f>(I44/B44)*100</f>
        <v>30.609779755445494</v>
      </c>
      <c r="K44" s="530">
        <v>839877</v>
      </c>
      <c r="L44" s="231">
        <f>(K44/B44)*100</f>
        <v>31.822587343061358</v>
      </c>
      <c r="M44" s="880" t="s">
        <v>1922</v>
      </c>
      <c r="N44" s="880" t="s">
        <v>1923</v>
      </c>
      <c r="O44" s="880" t="s">
        <v>1924</v>
      </c>
      <c r="P44" s="880" t="s">
        <v>1925</v>
      </c>
      <c r="Q44" s="338">
        <f>(B44/M44)*100</f>
        <v>111.14616769155225</v>
      </c>
      <c r="R44" s="880" t="s">
        <v>1926</v>
      </c>
      <c r="S44" s="530">
        <v>161274</v>
      </c>
      <c r="T44" s="880"/>
      <c r="U44" s="338">
        <f>M44/R44</f>
        <v>145056.4447159438</v>
      </c>
      <c r="V44" s="530">
        <v>167723</v>
      </c>
      <c r="W44" s="338">
        <f>N44/R44</f>
        <v>150857.23885155772</v>
      </c>
      <c r="X44" s="884"/>
    </row>
    <row r="45" spans="1:24" s="886" customFormat="1" ht="9.6" customHeight="1">
      <c r="A45" s="283"/>
      <c r="B45" s="534">
        <f>(B44/82.1)*10</f>
        <v>321467.47868453106</v>
      </c>
      <c r="C45" s="534">
        <f>(C44/82.1)*10</f>
        <v>334322.89890377596</v>
      </c>
      <c r="D45" s="534">
        <f>(D44/82.1)*10</f>
        <v>513.15468940316691</v>
      </c>
      <c r="E45" s="534">
        <f>(E44/82.1)*10</f>
        <v>334836.05359317909</v>
      </c>
      <c r="F45" s="534">
        <f>(F44/82.1)*10</f>
        <v>236435.56638246041</v>
      </c>
      <c r="G45" s="534"/>
      <c r="H45" s="534">
        <f>(H44/82.1)*10</f>
        <v>85031.912302070647</v>
      </c>
      <c r="I45" s="534">
        <f>(I44/82.1)*10</f>
        <v>98400.487210718638</v>
      </c>
      <c r="J45" s="534"/>
      <c r="K45" s="534">
        <f>(K44/82.1)*10</f>
        <v>102299.26918392206</v>
      </c>
      <c r="L45" s="532"/>
      <c r="M45" s="532"/>
      <c r="N45" s="532"/>
      <c r="O45" s="532"/>
      <c r="P45" s="532"/>
      <c r="Q45" s="532"/>
      <c r="R45" s="532"/>
      <c r="S45" s="534">
        <f>S44/82.1</f>
        <v>1964.3605359317905</v>
      </c>
      <c r="T45" s="532"/>
      <c r="U45" s="532"/>
      <c r="V45" s="534">
        <f>V44/82.1</f>
        <v>2042.9110840438491</v>
      </c>
      <c r="W45" s="532"/>
      <c r="X45" s="885"/>
    </row>
    <row r="46" spans="1:24" s="365" customFormat="1" ht="9.6" customHeight="1">
      <c r="A46" s="340" t="s">
        <v>1407</v>
      </c>
      <c r="B46" s="530">
        <v>2951429</v>
      </c>
      <c r="C46" s="530">
        <v>3072324</v>
      </c>
      <c r="D46" s="530">
        <v>4655</v>
      </c>
      <c r="E46" s="530">
        <v>3076979</v>
      </c>
      <c r="F46" s="530">
        <v>2157955</v>
      </c>
      <c r="G46" s="231">
        <f>(F46/B46)*100</f>
        <v>73.115599257173386</v>
      </c>
      <c r="H46" s="530">
        <v>793474</v>
      </c>
      <c r="I46" s="530">
        <v>919023</v>
      </c>
      <c r="J46" s="231">
        <f>(I46/B46)*100</f>
        <v>31.138238460081542</v>
      </c>
      <c r="K46" s="530">
        <v>950765</v>
      </c>
      <c r="L46" s="231">
        <f>(K46/B46)*100</f>
        <v>32.213717490747698</v>
      </c>
      <c r="M46" s="880" t="s">
        <v>1927</v>
      </c>
      <c r="N46" s="880" t="s">
        <v>1928</v>
      </c>
      <c r="O46" s="880" t="s">
        <v>1929</v>
      </c>
      <c r="P46" s="880" t="s">
        <v>1930</v>
      </c>
      <c r="Q46" s="338">
        <f>(B46/M46)*100</f>
        <v>115.21206712947783</v>
      </c>
      <c r="R46" s="880" t="s">
        <v>1931</v>
      </c>
      <c r="S46" s="530">
        <v>178280</v>
      </c>
      <c r="T46" s="880"/>
      <c r="U46" s="338">
        <f>M46/R46</f>
        <v>154694.20289855075</v>
      </c>
      <c r="V46" s="530">
        <v>185583</v>
      </c>
      <c r="W46" s="338">
        <f>N46/R46</f>
        <v>161030.67632850242</v>
      </c>
      <c r="X46" s="884"/>
    </row>
    <row r="47" spans="1:24" s="886" customFormat="1" ht="9.6" customHeight="1">
      <c r="A47" s="283"/>
      <c r="B47" s="534">
        <f>(B46/84.03)*10</f>
        <v>351235.15411162679</v>
      </c>
      <c r="C47" s="534">
        <f>(C46/84.03)*10</f>
        <v>365622.27775794361</v>
      </c>
      <c r="D47" s="534">
        <f>(D46/84.03)*10</f>
        <v>553.96882065928833</v>
      </c>
      <c r="E47" s="534">
        <f>(E46/84.03)*10</f>
        <v>366176.24657860288</v>
      </c>
      <c r="F47" s="534">
        <f>(F46/84.03)*10</f>
        <v>256807.68773057239</v>
      </c>
      <c r="G47" s="534"/>
      <c r="H47" s="534">
        <f>(H46/84.03)*10</f>
        <v>94427.466381054386</v>
      </c>
      <c r="I47" s="534">
        <f>(I46/84.03)*10</f>
        <v>109368.43984291324</v>
      </c>
      <c r="J47" s="534"/>
      <c r="K47" s="534">
        <f>(K46/84.03)*10</f>
        <v>113145.90027371177</v>
      </c>
      <c r="L47" s="532"/>
      <c r="M47" s="532"/>
      <c r="N47" s="532"/>
      <c r="O47" s="532"/>
      <c r="P47" s="532"/>
      <c r="Q47" s="532"/>
      <c r="R47" s="532"/>
      <c r="S47" s="534">
        <f>S46/84.03</f>
        <v>2121.6232297988813</v>
      </c>
      <c r="T47" s="532"/>
      <c r="U47" s="532"/>
      <c r="V47" s="534">
        <f>V46/84.03</f>
        <v>2208.5326669046767</v>
      </c>
      <c r="W47" s="532"/>
      <c r="X47" s="885"/>
    </row>
    <row r="48" spans="1:24" s="365" customFormat="1" ht="9.6" customHeight="1">
      <c r="A48" s="229" t="s">
        <v>1487</v>
      </c>
      <c r="B48" s="530">
        <v>3170469</v>
      </c>
      <c r="C48" s="530">
        <v>3301701</v>
      </c>
      <c r="D48" s="530">
        <v>6369</v>
      </c>
      <c r="E48" s="530">
        <v>3308071</v>
      </c>
      <c r="F48" s="530">
        <v>2311982</v>
      </c>
      <c r="G48" s="231">
        <f>(F48/B48)*100</f>
        <v>72.922397285701265</v>
      </c>
      <c r="H48" s="530">
        <v>858487</v>
      </c>
      <c r="I48" s="530">
        <v>996088</v>
      </c>
      <c r="J48" s="231">
        <f>(I48/B48)*100</f>
        <v>31.41768615305811</v>
      </c>
      <c r="K48" s="530">
        <v>992609</v>
      </c>
      <c r="L48" s="231">
        <f>(K48/B48)*100</f>
        <v>31.307954753697327</v>
      </c>
      <c r="M48" s="530">
        <v>2650065</v>
      </c>
      <c r="N48" s="530">
        <v>2759756</v>
      </c>
      <c r="O48" s="231">
        <v>7.42</v>
      </c>
      <c r="P48" s="530">
        <v>3.45</v>
      </c>
      <c r="Q48" s="338">
        <f>(B48/M48)*100</f>
        <v>119.63740512025176</v>
      </c>
      <c r="R48" s="530">
        <v>16.739999999999998</v>
      </c>
      <c r="S48" s="530">
        <v>189361</v>
      </c>
      <c r="T48" s="530"/>
      <c r="U48" s="338">
        <f>M48/R48</f>
        <v>158307.34767025092</v>
      </c>
      <c r="V48" s="530">
        <v>197199</v>
      </c>
      <c r="W48" s="338">
        <f>N48/R48</f>
        <v>164859.97610513741</v>
      </c>
      <c r="X48" s="884"/>
    </row>
    <row r="49" spans="1:24" s="886" customFormat="1" ht="9.6" customHeight="1">
      <c r="A49" s="283"/>
      <c r="B49" s="534">
        <f>(B48/84.78)*10</f>
        <v>373964.26043878275</v>
      </c>
      <c r="C49" s="534">
        <f>(C48/84.78)*10</f>
        <v>389443.38287331921</v>
      </c>
      <c r="D49" s="534">
        <f>(D48/84.78)*10</f>
        <v>751.23849964614294</v>
      </c>
      <c r="E49" s="534">
        <f>(E48/84.78)*10</f>
        <v>390194.73932531255</v>
      </c>
      <c r="F49" s="534">
        <f>(F48/84.78)*10</f>
        <v>272703.70370370371</v>
      </c>
      <c r="G49" s="534"/>
      <c r="H49" s="534">
        <f>(H48/84.78)*10</f>
        <v>101260.55673507902</v>
      </c>
      <c r="I49" s="534">
        <f>(I48/84.78)*10</f>
        <v>117490.91766926162</v>
      </c>
      <c r="J49" s="534"/>
      <c r="K49" s="534">
        <f>(K48/84.78)*10</f>
        <v>117080.56145317292</v>
      </c>
      <c r="L49" s="532"/>
      <c r="M49" s="532"/>
      <c r="N49" s="532"/>
      <c r="O49" s="532"/>
      <c r="P49" s="532"/>
      <c r="Q49" s="532"/>
      <c r="R49" s="532"/>
      <c r="S49" s="534">
        <f>(S48/84.78)</f>
        <v>2233.5574427931115</v>
      </c>
      <c r="T49" s="532"/>
      <c r="U49" s="532"/>
      <c r="V49" s="534">
        <f>(V48/84.78)</f>
        <v>2326.0084925690021</v>
      </c>
      <c r="W49" s="532"/>
      <c r="X49" s="885"/>
    </row>
    <row r="50" spans="1:24" s="365" customFormat="1" ht="9.6" customHeight="1">
      <c r="A50" s="229" t="s">
        <v>1539</v>
      </c>
      <c r="B50" s="530">
        <v>3530185</v>
      </c>
      <c r="C50" s="530">
        <v>3715997</v>
      </c>
      <c r="D50" s="530">
        <v>6654</v>
      </c>
      <c r="E50" s="530">
        <v>3722650</v>
      </c>
      <c r="F50" s="530">
        <v>2635572</v>
      </c>
      <c r="G50" s="231">
        <f>(F50/B50)*100</f>
        <v>74.658183636268348</v>
      </c>
      <c r="H50" s="530">
        <v>894613</v>
      </c>
      <c r="I50" s="530">
        <v>1087078</v>
      </c>
      <c r="J50" s="231">
        <f>(I50/B50)*100</f>
        <v>30.793796925656871</v>
      </c>
      <c r="K50" s="530">
        <v>1095019</v>
      </c>
      <c r="L50" s="231">
        <f>(K50/B50)*100</f>
        <v>31.018742643799118</v>
      </c>
      <c r="M50" s="530">
        <v>2833944</v>
      </c>
      <c r="N50" s="530">
        <v>2983109</v>
      </c>
      <c r="O50" s="530">
        <v>11.35</v>
      </c>
      <c r="P50" s="530">
        <v>6.94</v>
      </c>
      <c r="Q50" s="338">
        <f>(B50/M50)*100</f>
        <v>124.56791665608071</v>
      </c>
      <c r="R50" s="231">
        <v>16.911000000000001</v>
      </c>
      <c r="S50" s="530">
        <v>208751</v>
      </c>
      <c r="T50" s="530"/>
      <c r="U50" s="338">
        <f>M50/R50</f>
        <v>167579.91839631009</v>
      </c>
      <c r="V50" s="338">
        <v>219738</v>
      </c>
      <c r="W50" s="338">
        <f>N50/R50</f>
        <v>176400.50854473418</v>
      </c>
      <c r="X50" s="884"/>
    </row>
    <row r="51" spans="1:24" s="886" customFormat="1" ht="9.6" customHeight="1">
      <c r="A51" s="283"/>
      <c r="B51" s="534">
        <f>(B50/84.81)*10</f>
        <v>416246.31529300788</v>
      </c>
      <c r="C51" s="534">
        <f t="shared" ref="C51:K55" si="0">(C50/84.81)*10</f>
        <v>438155.52411272255</v>
      </c>
      <c r="D51" s="534">
        <f t="shared" si="0"/>
        <v>784.57729041386631</v>
      </c>
      <c r="E51" s="534">
        <f t="shared" si="0"/>
        <v>438939.98349251272</v>
      </c>
      <c r="F51" s="534">
        <f t="shared" si="0"/>
        <v>310761.93845065439</v>
      </c>
      <c r="G51" s="534"/>
      <c r="H51" s="534">
        <f t="shared" si="0"/>
        <v>105484.37684235349</v>
      </c>
      <c r="I51" s="534">
        <f t="shared" si="0"/>
        <v>128178.04504185828</v>
      </c>
      <c r="J51" s="534"/>
      <c r="K51" s="534">
        <f t="shared" si="0"/>
        <v>129114.37330503479</v>
      </c>
      <c r="L51" s="532"/>
      <c r="M51" s="532"/>
      <c r="N51" s="532"/>
      <c r="O51" s="532"/>
      <c r="P51" s="532"/>
      <c r="Q51" s="532"/>
      <c r="R51" s="532"/>
      <c r="S51" s="534">
        <v>2462</v>
      </c>
      <c r="T51" s="532"/>
      <c r="U51" s="532"/>
      <c r="V51" s="534">
        <f>(V50/84.81)</f>
        <v>2590.9444640962151</v>
      </c>
      <c r="W51" s="532"/>
      <c r="X51" s="885"/>
    </row>
    <row r="52" spans="1:24" s="886" customFormat="1" ht="9.6" customHeight="1">
      <c r="A52" s="229" t="s">
        <v>1810</v>
      </c>
      <c r="B52" s="530">
        <v>3971716</v>
      </c>
      <c r="C52" s="530">
        <v>4129062</v>
      </c>
      <c r="D52" s="530">
        <v>6505</v>
      </c>
      <c r="E52" s="530">
        <v>4135567</v>
      </c>
      <c r="F52" s="530">
        <v>2969875</v>
      </c>
      <c r="G52" s="231">
        <f>(F52/B52)*100</f>
        <v>74.775613362083291</v>
      </c>
      <c r="H52" s="530">
        <v>1001841</v>
      </c>
      <c r="I52" s="530">
        <v>1165692</v>
      </c>
      <c r="J52" s="231">
        <f>(I52/B52)*100</f>
        <v>29.349832666786853</v>
      </c>
      <c r="K52" s="530">
        <v>1272827</v>
      </c>
      <c r="L52" s="231">
        <f>(K52/B52)*100</f>
        <v>32.047281326257973</v>
      </c>
      <c r="M52" s="530">
        <v>3035150</v>
      </c>
      <c r="N52" s="530">
        <v>3155392</v>
      </c>
      <c r="O52" s="530">
        <v>12.51</v>
      </c>
      <c r="P52" s="231">
        <v>7.1</v>
      </c>
      <c r="Q52" s="338">
        <f>(B52/M52)*100</f>
        <v>130.85732171391859</v>
      </c>
      <c r="R52" s="231">
        <v>17.13</v>
      </c>
      <c r="S52" s="530">
        <v>231861</v>
      </c>
      <c r="T52" s="530"/>
      <c r="U52" s="338">
        <f>M52/R52</f>
        <v>177183.30414477526</v>
      </c>
      <c r="V52" s="530">
        <v>241047</v>
      </c>
      <c r="W52" s="338">
        <f>N52/R52</f>
        <v>184202.68534734385</v>
      </c>
      <c r="X52" s="885"/>
    </row>
    <row r="53" spans="1:24" s="886" customFormat="1" ht="9.6" customHeight="1">
      <c r="A53" s="283"/>
      <c r="B53" s="534">
        <f>(B52/86.3)*10</f>
        <v>460222.01622247975</v>
      </c>
      <c r="C53" s="534">
        <f t="shared" ref="C53:I53" si="1">(C52/86.3)*10</f>
        <v>478454.46118192351</v>
      </c>
      <c r="D53" s="534">
        <f t="shared" si="1"/>
        <v>753.76593279258395</v>
      </c>
      <c r="E53" s="534">
        <f t="shared" si="1"/>
        <v>479208.22711471614</v>
      </c>
      <c r="F53" s="534">
        <f t="shared" si="1"/>
        <v>344133.83545770572</v>
      </c>
      <c r="G53" s="534"/>
      <c r="H53" s="534">
        <f t="shared" si="1"/>
        <v>116088.18076477404</v>
      </c>
      <c r="I53" s="534">
        <f t="shared" si="1"/>
        <v>135074.39165701045</v>
      </c>
      <c r="J53" s="534"/>
      <c r="K53" s="534">
        <f t="shared" si="0"/>
        <v>150079.82549227684</v>
      </c>
      <c r="L53" s="532"/>
      <c r="M53" s="532"/>
      <c r="N53" s="532"/>
      <c r="O53" s="532"/>
      <c r="P53" s="532"/>
      <c r="Q53" s="532"/>
      <c r="R53" s="532"/>
      <c r="S53" s="534">
        <v>2687</v>
      </c>
      <c r="T53" s="532"/>
      <c r="U53" s="532"/>
      <c r="V53" s="534">
        <f>(V52/86.3)</f>
        <v>2793.1286210892235</v>
      </c>
      <c r="W53" s="532"/>
      <c r="X53" s="885"/>
    </row>
    <row r="54" spans="1:24" s="886" customFormat="1" ht="9.6" customHeight="1">
      <c r="A54" s="229" t="s">
        <v>2056</v>
      </c>
      <c r="B54" s="530">
        <v>4490842</v>
      </c>
      <c r="C54" s="530">
        <v>4670080</v>
      </c>
      <c r="D54" s="530">
        <v>8743</v>
      </c>
      <c r="E54" s="530">
        <v>4678823</v>
      </c>
      <c r="F54" s="530">
        <v>3334023</v>
      </c>
      <c r="G54" s="231">
        <f>(F54/B54)*100</f>
        <v>74.2404876412931</v>
      </c>
      <c r="H54" s="530">
        <v>1156819</v>
      </c>
      <c r="I54" s="530">
        <v>1344801</v>
      </c>
      <c r="J54" s="231">
        <f>(I54/B54)*100</f>
        <v>29.945408901047955</v>
      </c>
      <c r="K54" s="530">
        <v>1389969</v>
      </c>
      <c r="L54" s="231">
        <f>(K54/B54)*100</f>
        <v>30.951189108857534</v>
      </c>
      <c r="M54" s="530">
        <v>3210433</v>
      </c>
      <c r="N54" s="530">
        <v>3338568</v>
      </c>
      <c r="O54" s="530">
        <v>13.07</v>
      </c>
      <c r="P54" s="231">
        <v>5.78</v>
      </c>
      <c r="Q54" s="338">
        <f>(B54/M54)*100</f>
        <v>139.88275101832056</v>
      </c>
      <c r="R54" s="231">
        <v>17.079999999999998</v>
      </c>
      <c r="S54" s="530">
        <v>262868</v>
      </c>
      <c r="T54" s="530"/>
      <c r="U54" s="338">
        <f>M54/R54</f>
        <v>187964.46135831383</v>
      </c>
      <c r="V54" s="530">
        <v>273360</v>
      </c>
      <c r="W54" s="338">
        <f>N54/R54</f>
        <v>195466.51053864171</v>
      </c>
      <c r="X54" s="885"/>
    </row>
    <row r="55" spans="1:24" s="886" customFormat="1" ht="9.6" customHeight="1">
      <c r="A55" s="283"/>
      <c r="B55" s="534">
        <f>(B54/99.46)*10</f>
        <v>451522.42107379856</v>
      </c>
      <c r="C55" s="534">
        <f t="shared" ref="C55:I55" si="2">(C54/99.46)*10</f>
        <v>469543.53508948325</v>
      </c>
      <c r="D55" s="534">
        <f t="shared" si="2"/>
        <v>879.04685300623373</v>
      </c>
      <c r="E55" s="534">
        <f t="shared" si="2"/>
        <v>470422.58194248949</v>
      </c>
      <c r="F55" s="534">
        <f t="shared" si="2"/>
        <v>335212.44721496076</v>
      </c>
      <c r="G55" s="534"/>
      <c r="H55" s="534">
        <f t="shared" si="2"/>
        <v>116309.97385883774</v>
      </c>
      <c r="I55" s="534">
        <f t="shared" si="2"/>
        <v>135210.23527046049</v>
      </c>
      <c r="J55" s="534"/>
      <c r="K55" s="534">
        <f t="shared" si="0"/>
        <v>163892.11177927128</v>
      </c>
      <c r="L55" s="532"/>
      <c r="M55" s="532"/>
      <c r="N55" s="532"/>
      <c r="O55" s="532"/>
      <c r="P55" s="532"/>
      <c r="Q55" s="532"/>
      <c r="R55" s="532"/>
      <c r="S55" s="534">
        <v>2643</v>
      </c>
      <c r="T55" s="532"/>
      <c r="U55" s="532"/>
      <c r="V55" s="534">
        <v>2749</v>
      </c>
      <c r="W55" s="532"/>
      <c r="X55" s="885"/>
    </row>
    <row r="56" spans="1:24" s="886" customFormat="1" ht="9.6" customHeight="1">
      <c r="A56" s="229" t="s">
        <v>2188</v>
      </c>
      <c r="B56" s="530">
        <v>5002654</v>
      </c>
      <c r="C56" s="530">
        <v>5218081</v>
      </c>
      <c r="D56" s="530">
        <v>7632</v>
      </c>
      <c r="E56" s="530">
        <v>5225713</v>
      </c>
      <c r="F56" s="530">
        <v>3804159</v>
      </c>
      <c r="G56" s="231">
        <f>(F56/B56)*100</f>
        <v>76.042816473016131</v>
      </c>
      <c r="H56" s="530">
        <v>1198495</v>
      </c>
      <c r="I56" s="530">
        <v>1421554</v>
      </c>
      <c r="J56" s="231">
        <f>(I56/B56)*100</f>
        <v>28.415996788904451</v>
      </c>
      <c r="K56" s="530">
        <v>1535839</v>
      </c>
      <c r="L56" s="231">
        <f>(K56/B56)*100</f>
        <v>30.700484182995663</v>
      </c>
      <c r="M56" s="530">
        <v>3346018</v>
      </c>
      <c r="N56" s="530">
        <v>3490106</v>
      </c>
      <c r="O56" s="231">
        <v>11.4</v>
      </c>
      <c r="P56" s="231">
        <v>4.22</v>
      </c>
      <c r="Q56" s="338">
        <f>(B56/M56)*100</f>
        <v>149.51067208843466</v>
      </c>
      <c r="R56" s="231">
        <v>17.158999999999999</v>
      </c>
      <c r="S56" s="530">
        <v>291547</v>
      </c>
      <c r="T56" s="530"/>
      <c r="U56" s="338">
        <f>M56/R56</f>
        <v>195000.75761990793</v>
      </c>
      <c r="V56" s="530">
        <v>304102</v>
      </c>
      <c r="W56" s="338">
        <f>N56/R56</f>
        <v>203397.98356547585</v>
      </c>
      <c r="X56" s="885"/>
    </row>
    <row r="57" spans="1:24" s="886" customFormat="1" ht="9.6" customHeight="1">
      <c r="A57" s="283"/>
      <c r="B57" s="534">
        <f>(B56/111.06)*10</f>
        <v>450446.06518998742</v>
      </c>
      <c r="C57" s="534">
        <f t="shared" ref="C57:K57" si="3">(C56/111.06)*10</f>
        <v>469843.4179722672</v>
      </c>
      <c r="D57" s="534">
        <f t="shared" si="3"/>
        <v>687.19611021069693</v>
      </c>
      <c r="E57" s="534">
        <f t="shared" si="3"/>
        <v>470530.61408247793</v>
      </c>
      <c r="F57" s="534">
        <f t="shared" si="3"/>
        <v>342531.87466234469</v>
      </c>
      <c r="G57" s="534"/>
      <c r="H57" s="534">
        <f t="shared" si="3"/>
        <v>107914.19052764271</v>
      </c>
      <c r="I57" s="534">
        <f t="shared" si="3"/>
        <v>127998.73942013326</v>
      </c>
      <c r="J57" s="534"/>
      <c r="K57" s="534">
        <f t="shared" si="3"/>
        <v>138289.12299657843</v>
      </c>
      <c r="L57" s="532"/>
      <c r="M57" s="532"/>
      <c r="N57" s="532"/>
      <c r="O57" s="532"/>
      <c r="P57" s="532"/>
      <c r="Q57" s="532"/>
      <c r="R57" s="532"/>
      <c r="S57" s="534">
        <v>2675</v>
      </c>
      <c r="T57" s="532"/>
      <c r="U57" s="532"/>
      <c r="V57" s="534">
        <v>2738</v>
      </c>
      <c r="W57" s="532"/>
      <c r="X57" s="885"/>
    </row>
    <row r="58" spans="1:24" s="886" customFormat="1" ht="9.6" customHeight="1">
      <c r="A58" s="229" t="s">
        <v>2439</v>
      </c>
      <c r="B58" s="530">
        <v>5515026</v>
      </c>
      <c r="C58" s="530">
        <v>5817835</v>
      </c>
      <c r="D58" s="530">
        <v>11049</v>
      </c>
      <c r="E58" s="530">
        <v>5828884</v>
      </c>
      <c r="F58" s="530">
        <v>4302924</v>
      </c>
      <c r="G58" s="231">
        <f>(F58/B58)*100</f>
        <v>78.021826189033376</v>
      </c>
      <c r="H58" s="530">
        <v>1212102</v>
      </c>
      <c r="I58" s="530">
        <v>1525960</v>
      </c>
      <c r="J58" s="231">
        <f>(I58/B58)*100</f>
        <v>27.669135195373514</v>
      </c>
      <c r="K58" s="530">
        <v>1574049</v>
      </c>
      <c r="L58" s="231">
        <f>(K58/B58)*100</f>
        <v>28.541098446317388</v>
      </c>
      <c r="M58" s="530">
        <v>3462791</v>
      </c>
      <c r="N58" s="530">
        <v>3652919</v>
      </c>
      <c r="O58" s="231">
        <v>10.24</v>
      </c>
      <c r="P58" s="231">
        <v>3.49</v>
      </c>
      <c r="Q58" s="338">
        <f>(B58/M58)*100</f>
        <v>159.26534405339507</v>
      </c>
      <c r="R58" s="231">
        <v>17.391999999999999</v>
      </c>
      <c r="S58" s="530">
        <v>317100</v>
      </c>
      <c r="T58" s="530"/>
      <c r="U58" s="338">
        <f>M58/R58</f>
        <v>199102.51839926402</v>
      </c>
      <c r="V58" s="530">
        <v>334511</v>
      </c>
      <c r="W58" s="338">
        <f>N58/R58</f>
        <v>210034.44112235511</v>
      </c>
      <c r="X58" s="885"/>
    </row>
    <row r="59" spans="1:24" s="886" customFormat="1" ht="9.6" customHeight="1">
      <c r="A59" s="283"/>
      <c r="B59" s="534">
        <f>(B58/120.29)*10</f>
        <v>458477.51267769554</v>
      </c>
      <c r="C59" s="534">
        <f t="shared" ref="C59:F61" si="4">(C58/120.29)*10</f>
        <v>483650.76066173409</v>
      </c>
      <c r="D59" s="534">
        <f t="shared" si="4"/>
        <v>918.53021863829076</v>
      </c>
      <c r="E59" s="534">
        <f t="shared" si="4"/>
        <v>484569.2908803724</v>
      </c>
      <c r="F59" s="534">
        <f t="shared" si="4"/>
        <v>357712.52805719507</v>
      </c>
      <c r="G59" s="534"/>
      <c r="H59" s="534">
        <f t="shared" ref="H59:I61" si="5">(H58/120.29)*10</f>
        <v>100764.98462050046</v>
      </c>
      <c r="I59" s="534">
        <f t="shared" si="5"/>
        <v>126856.76282317733</v>
      </c>
      <c r="J59" s="534"/>
      <c r="K59" s="534">
        <f t="shared" ref="K59:K61" si="6">(K58/120.29)*10</f>
        <v>130854.51824756837</v>
      </c>
      <c r="L59" s="532"/>
      <c r="M59" s="532"/>
      <c r="N59" s="532"/>
      <c r="O59" s="532"/>
      <c r="P59" s="532"/>
      <c r="Q59" s="532"/>
      <c r="R59" s="532"/>
      <c r="S59" s="534">
        <v>2625</v>
      </c>
      <c r="T59" s="532"/>
      <c r="U59" s="532"/>
      <c r="V59" s="534">
        <v>2769</v>
      </c>
      <c r="W59" s="532"/>
      <c r="X59" s="885"/>
    </row>
    <row r="60" spans="1:24" ht="9.6" customHeight="1">
      <c r="A60" s="1666" t="s">
        <v>2927</v>
      </c>
      <c r="B60" s="530">
        <v>6120209</v>
      </c>
      <c r="C60" s="530">
        <v>6448424</v>
      </c>
      <c r="D60" s="530">
        <v>11577</v>
      </c>
      <c r="E60" s="530">
        <v>6460001</v>
      </c>
      <c r="F60" s="530">
        <v>4811639</v>
      </c>
      <c r="G60" s="231">
        <f>(F60/B60)*100</f>
        <v>78.618867427566613</v>
      </c>
      <c r="H60" s="530">
        <v>1308570</v>
      </c>
      <c r="I60" s="530">
        <v>1648361</v>
      </c>
      <c r="J60" s="231">
        <f>(I60/B60)*100</f>
        <v>26.933083494370862</v>
      </c>
      <c r="K60" s="530">
        <v>1709360</v>
      </c>
      <c r="L60" s="231">
        <f>(K60/B60)*100</f>
        <v>27.92976514364134</v>
      </c>
      <c r="M60" s="530">
        <v>3606010</v>
      </c>
      <c r="N60" s="530">
        <v>3799393</v>
      </c>
      <c r="O60" s="231">
        <v>10.973351702356027</v>
      </c>
      <c r="P60" s="231">
        <v>4.1399999999999997</v>
      </c>
      <c r="Q60" s="338">
        <f>(B60/M60)*100</f>
        <v>169.72246333204845</v>
      </c>
      <c r="R60" s="231">
        <v>17.48</v>
      </c>
      <c r="S60" s="530">
        <v>350098</v>
      </c>
      <c r="T60" s="530"/>
      <c r="U60" s="338">
        <f>M60/R60</f>
        <v>206293.47826086957</v>
      </c>
      <c r="V60" s="530">
        <v>368873</v>
      </c>
      <c r="W60" s="338">
        <f>N60/R60</f>
        <v>217356.57894736843</v>
      </c>
      <c r="X60" s="48"/>
    </row>
    <row r="61" spans="1:24" ht="9.6" customHeight="1" thickBot="1">
      <c r="A61" s="746"/>
      <c r="B61" s="535">
        <f>(B60/120.29)*10</f>
        <v>508787.84603873966</v>
      </c>
      <c r="C61" s="535">
        <f t="shared" si="4"/>
        <v>536073.15653836564</v>
      </c>
      <c r="D61" s="535">
        <f t="shared" si="4"/>
        <v>962.42414165766058</v>
      </c>
      <c r="E61" s="535">
        <f t="shared" si="4"/>
        <v>537035.5806800233</v>
      </c>
      <c r="F61" s="535">
        <f t="shared" si="4"/>
        <v>400003.24216476845</v>
      </c>
      <c r="G61" s="535"/>
      <c r="H61" s="535">
        <f t="shared" si="5"/>
        <v>108784.60387397122</v>
      </c>
      <c r="I61" s="535">
        <f t="shared" si="5"/>
        <v>137032.25538282483</v>
      </c>
      <c r="J61" s="535"/>
      <c r="K61" s="535">
        <f t="shared" si="6"/>
        <v>142103.25047801147</v>
      </c>
      <c r="L61" s="536"/>
      <c r="M61" s="536"/>
      <c r="N61" s="536"/>
      <c r="O61" s="536"/>
      <c r="P61" s="536"/>
      <c r="Q61" s="536"/>
      <c r="R61" s="536"/>
      <c r="S61" s="535">
        <v>2625</v>
      </c>
      <c r="T61" s="536"/>
      <c r="U61" s="536"/>
      <c r="V61" s="535">
        <v>2769</v>
      </c>
      <c r="W61" s="536"/>
      <c r="X61" s="48"/>
    </row>
    <row r="62" spans="1:24">
      <c r="A62" s="2452" t="s">
        <v>1283</v>
      </c>
      <c r="B62" s="2452"/>
      <c r="C62" s="2452"/>
      <c r="D62" s="2452"/>
      <c r="E62" s="2452"/>
      <c r="F62" s="2452"/>
      <c r="G62" s="9"/>
      <c r="I62" s="46" t="s">
        <v>1543</v>
      </c>
      <c r="J62" s="46"/>
      <c r="K62" s="46"/>
      <c r="L62" s="2453" t="s">
        <v>1213</v>
      </c>
      <c r="M62" s="2453"/>
      <c r="N62" s="2453"/>
      <c r="O62" s="2453"/>
      <c r="P62" s="1197"/>
      <c r="Q62" s="2454" t="s">
        <v>1537</v>
      </c>
      <c r="R62" s="2454"/>
      <c r="S62" s="1197"/>
      <c r="T62" s="46"/>
      <c r="U62" s="29"/>
      <c r="V62" s="12"/>
      <c r="W62" s="46"/>
    </row>
    <row r="63" spans="1:24" ht="12.75">
      <c r="A63" s="2455"/>
      <c r="B63" s="2455"/>
      <c r="C63" s="2455"/>
      <c r="D63" s="2455"/>
      <c r="E63" s="2456"/>
      <c r="F63" s="2422"/>
      <c r="G63" s="2422"/>
      <c r="H63" s="687"/>
      <c r="I63" s="46"/>
      <c r="J63" s="46"/>
      <c r="K63" s="46"/>
      <c r="L63" s="2457"/>
      <c r="M63" s="2457"/>
      <c r="N63" s="2457"/>
      <c r="O63" s="46"/>
      <c r="P63" s="46"/>
      <c r="Q63" s="46"/>
      <c r="R63" s="46"/>
      <c r="S63" s="27"/>
      <c r="T63" s="46"/>
      <c r="U63" s="46"/>
      <c r="V63" s="46"/>
      <c r="W63" s="46"/>
    </row>
    <row r="66" spans="13:18">
      <c r="M66" s="48"/>
    </row>
    <row r="67" spans="13:18">
      <c r="M67" s="48"/>
      <c r="P67" s="48"/>
      <c r="Q67" s="48"/>
      <c r="R67" s="48"/>
    </row>
    <row r="68" spans="13:18">
      <c r="M68" s="48"/>
      <c r="N68" s="48"/>
    </row>
    <row r="69" spans="13:18">
      <c r="M69" s="48"/>
    </row>
    <row r="70" spans="13:18">
      <c r="M70" s="48"/>
      <c r="N70" s="48"/>
    </row>
    <row r="71" spans="13:18">
      <c r="M71" s="48"/>
    </row>
    <row r="72" spans="13:18">
      <c r="M72" s="48"/>
      <c r="N72" s="48"/>
    </row>
    <row r="73" spans="13:18">
      <c r="M73" s="48"/>
      <c r="N73" s="48"/>
    </row>
    <row r="74" spans="13:18">
      <c r="M74" s="48"/>
      <c r="N74" s="48"/>
    </row>
    <row r="75" spans="13:18">
      <c r="M75" s="48"/>
      <c r="N75" s="48"/>
    </row>
    <row r="76" spans="13:18">
      <c r="M76" s="48"/>
      <c r="N76" s="48"/>
    </row>
    <row r="77" spans="13:18">
      <c r="N77" s="48"/>
    </row>
    <row r="78" spans="13:18">
      <c r="N78" s="48"/>
    </row>
  </sheetData>
  <customSheetViews>
    <customSheetView guid="{A374FC54-96E3-45F0-9C12-8450400C12DF}" scale="160" hiddenColumns="1">
      <pane xSplit="1" ySplit="5" topLeftCell="P39" activePane="bottomRight" state="frozen"/>
      <selection pane="bottomRight" activeCell="B1" sqref="B1:K1"/>
      <pageMargins left="0.47244094488188998" right="0.47244094488188998" top="0.511811023622047" bottom="0" header="0" footer="0"/>
      <pageSetup paperSize="132" firstPageNumber="50" orientation="portrait" useFirstPageNumber="1" r:id="rId1"/>
      <headerFooter>
        <oddFooter>&amp;C&amp;"Times New Roman,Regular"&amp;8&amp;P</oddFooter>
      </headerFooter>
    </customSheetView>
  </customSheetViews>
  <mergeCells count="35">
    <mergeCell ref="M3:M4"/>
    <mergeCell ref="B3:B4"/>
    <mergeCell ref="E3:E4"/>
    <mergeCell ref="F3:F4"/>
    <mergeCell ref="G3:G4"/>
    <mergeCell ref="U1:W1"/>
    <mergeCell ref="D2:E2"/>
    <mergeCell ref="J2:K2"/>
    <mergeCell ref="V2:W2"/>
    <mergeCell ref="B1:K1"/>
    <mergeCell ref="L1:O1"/>
    <mergeCell ref="L2:P2"/>
    <mergeCell ref="A3:A5"/>
    <mergeCell ref="S3:W3"/>
    <mergeCell ref="S4:T4"/>
    <mergeCell ref="S5:T5"/>
    <mergeCell ref="Q3:Q4"/>
    <mergeCell ref="C3:C4"/>
    <mergeCell ref="D3:D4"/>
    <mergeCell ref="H3:H4"/>
    <mergeCell ref="I3:I4"/>
    <mergeCell ref="L3:L4"/>
    <mergeCell ref="J3:J4"/>
    <mergeCell ref="P3:P4"/>
    <mergeCell ref="N3:N4"/>
    <mergeCell ref="O3:O4"/>
    <mergeCell ref="R3:R4"/>
    <mergeCell ref="K3:K4"/>
    <mergeCell ref="A6:C6"/>
    <mergeCell ref="A62:F62"/>
    <mergeCell ref="L62:O62"/>
    <mergeCell ref="Q62:R62"/>
    <mergeCell ref="A63:E63"/>
    <mergeCell ref="F63:G63"/>
    <mergeCell ref="L63:N63"/>
  </mergeCells>
  <phoneticPr fontId="44" type="noConversion"/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 codeName="Sheet23"/>
  <dimension ref="A1:U142"/>
  <sheetViews>
    <sheetView zoomScale="140" zoomScaleNormal="140" workbookViewId="0">
      <pane xSplit="1" ySplit="3" topLeftCell="B31" activePane="bottomRight" state="frozen"/>
      <selection activeCell="X47" sqref="X47:X50"/>
      <selection pane="topRight" activeCell="X47" sqref="X47:X50"/>
      <selection pane="bottomLeft" activeCell="X47" sqref="X47:X50"/>
      <selection pane="bottomRight" activeCell="C16" sqref="C16"/>
    </sheetView>
  </sheetViews>
  <sheetFormatPr defaultColWidth="9.140625" defaultRowHeight="12.75"/>
  <cols>
    <col min="1" max="1" width="10.140625" style="2" customWidth="1"/>
    <col min="2" max="3" width="15.7109375" style="90" customWidth="1"/>
    <col min="4" max="4" width="17.42578125" style="90" customWidth="1"/>
    <col min="5" max="5" width="15.42578125" style="90" customWidth="1"/>
    <col min="6" max="6" width="13.28515625" style="1229" customWidth="1"/>
    <col min="7" max="7" width="14.140625" style="2" customWidth="1"/>
    <col min="8" max="8" width="14.28515625" style="2" customWidth="1"/>
    <col min="9" max="9" width="19" style="2" customWidth="1"/>
    <col min="10" max="10" width="11.28515625" style="2" customWidth="1"/>
    <col min="11" max="14" width="9.140625" style="1684"/>
    <col min="15" max="15" width="8.85546875" style="1684" bestFit="1" customWidth="1"/>
    <col min="16" max="16" width="4" style="1684" bestFit="1" customWidth="1"/>
    <col min="17" max="17" width="8.140625" style="1684" bestFit="1" customWidth="1"/>
    <col min="18" max="18" width="11.7109375" style="1684" bestFit="1" customWidth="1"/>
    <col min="19" max="21" width="9.140625" style="1684"/>
    <col min="22" max="16384" width="9.140625" style="2"/>
  </cols>
  <sheetData>
    <row r="1" spans="1:21" s="5" customFormat="1" ht="15.75" customHeight="1">
      <c r="A1" s="2473" t="s">
        <v>2399</v>
      </c>
      <c r="B1" s="2474"/>
      <c r="C1" s="2474"/>
      <c r="D1" s="2474"/>
      <c r="E1" s="2474"/>
      <c r="F1" s="2475" t="s">
        <v>1324</v>
      </c>
      <c r="G1" s="2476"/>
      <c r="H1" s="2476"/>
      <c r="I1" s="2476"/>
      <c r="J1" s="1692" t="s">
        <v>269</v>
      </c>
      <c r="K1" s="1684"/>
      <c r="L1" s="1684"/>
      <c r="M1" s="1684"/>
      <c r="N1" s="1684"/>
      <c r="O1" s="1684"/>
      <c r="P1" s="1684"/>
      <c r="Q1" s="1684"/>
      <c r="R1" s="1684"/>
      <c r="S1" s="1684"/>
      <c r="T1" s="1684"/>
      <c r="U1" s="1684"/>
    </row>
    <row r="2" spans="1:21" s="5" customFormat="1" ht="11.1" customHeight="1">
      <c r="A2" s="1342"/>
      <c r="B2" s="1342"/>
      <c r="C2" s="1342"/>
      <c r="D2" s="1342"/>
      <c r="F2" s="1225"/>
      <c r="G2" s="65"/>
      <c r="H2" s="85"/>
      <c r="I2" s="85"/>
      <c r="J2" s="91"/>
      <c r="K2" s="1684"/>
      <c r="L2" s="1684"/>
      <c r="M2" s="1684"/>
      <c r="N2" s="1684"/>
      <c r="O2" s="1684"/>
      <c r="P2" s="1684"/>
      <c r="Q2" s="1684"/>
      <c r="R2" s="1684"/>
      <c r="S2" s="1684"/>
      <c r="T2" s="1684"/>
      <c r="U2" s="1684"/>
    </row>
    <row r="3" spans="1:21" s="102" customFormat="1" ht="26.45" customHeight="1">
      <c r="A3" s="1101" t="s">
        <v>917</v>
      </c>
      <c r="B3" s="615" t="s">
        <v>1309</v>
      </c>
      <c r="C3" s="1685" t="s">
        <v>1346</v>
      </c>
      <c r="D3" s="1685" t="s">
        <v>1310</v>
      </c>
      <c r="E3" s="1685" t="s">
        <v>1312</v>
      </c>
      <c r="F3" s="1226" t="s">
        <v>918</v>
      </c>
      <c r="G3" s="1685" t="s">
        <v>987</v>
      </c>
      <c r="H3" s="1685" t="s">
        <v>1311</v>
      </c>
      <c r="I3" s="1101" t="s">
        <v>1310</v>
      </c>
      <c r="J3" s="1101" t="s">
        <v>1313</v>
      </c>
      <c r="K3" s="1684"/>
      <c r="L3" s="1684"/>
      <c r="M3" s="1684"/>
      <c r="N3" s="1684"/>
      <c r="O3" s="1684"/>
      <c r="P3" s="1684"/>
      <c r="Q3" s="1684"/>
      <c r="R3" s="1684"/>
      <c r="S3" s="1684"/>
      <c r="T3" s="1684"/>
      <c r="U3" s="1684"/>
    </row>
    <row r="4" spans="1:21" s="502" customFormat="1" ht="11.1" customHeight="1">
      <c r="A4" s="354" t="s">
        <v>701</v>
      </c>
      <c r="B4" s="256">
        <v>4572.88</v>
      </c>
      <c r="C4" s="256">
        <v>117145.07</v>
      </c>
      <c r="D4" s="256">
        <v>38410.899999999994</v>
      </c>
      <c r="E4" s="255">
        <v>279</v>
      </c>
      <c r="F4" s="714">
        <v>46236</v>
      </c>
      <c r="G4" s="261">
        <v>5895.78</v>
      </c>
      <c r="H4" s="785">
        <v>1257.623</v>
      </c>
      <c r="I4" s="261">
        <v>106128.09999999999</v>
      </c>
      <c r="J4" s="255">
        <v>411</v>
      </c>
      <c r="K4" s="1684"/>
      <c r="L4" s="1711"/>
      <c r="M4" s="1684"/>
      <c r="N4" s="1684"/>
      <c r="O4" s="1684"/>
      <c r="P4" s="1684"/>
      <c r="Q4" s="1684"/>
      <c r="R4" s="1684"/>
      <c r="S4" s="1684"/>
      <c r="T4" s="1684"/>
      <c r="U4" s="1684"/>
    </row>
    <row r="5" spans="1:21" s="575" customFormat="1" ht="11.1" customHeight="1">
      <c r="A5" s="1688" t="s">
        <v>809</v>
      </c>
      <c r="B5" s="231">
        <v>4385.7700000000004</v>
      </c>
      <c r="C5" s="231">
        <v>85716.56</v>
      </c>
      <c r="D5" s="231">
        <v>43407.3</v>
      </c>
      <c r="E5" s="230">
        <v>296</v>
      </c>
      <c r="F5" s="1236">
        <v>46237</v>
      </c>
      <c r="G5" s="293">
        <v>5885.69</v>
      </c>
      <c r="H5" s="320">
        <v>1210.519</v>
      </c>
      <c r="I5" s="293">
        <v>106128.09999999999</v>
      </c>
      <c r="J5" s="230">
        <v>411</v>
      </c>
      <c r="K5" s="1684"/>
      <c r="L5" s="1684"/>
      <c r="M5" s="1684"/>
      <c r="N5" s="1684"/>
      <c r="O5" s="1684"/>
      <c r="P5" s="1684"/>
      <c r="Q5" s="1684"/>
      <c r="R5" s="1684"/>
      <c r="S5" s="1684"/>
      <c r="T5" s="1684"/>
      <c r="U5" s="1684"/>
    </row>
    <row r="6" spans="1:21" s="69" customFormat="1" ht="11.1" customHeight="1">
      <c r="A6" s="273" t="s">
        <v>982</v>
      </c>
      <c r="B6" s="261">
        <v>4480.5200000000004</v>
      </c>
      <c r="C6" s="261">
        <v>112539.85800000001</v>
      </c>
      <c r="D6" s="261">
        <v>48255.5</v>
      </c>
      <c r="E6" s="259">
        <v>307</v>
      </c>
      <c r="F6" s="714">
        <v>46238</v>
      </c>
      <c r="G6" s="1281">
        <v>5894.13</v>
      </c>
      <c r="H6" s="334">
        <v>1111.4929999999999</v>
      </c>
      <c r="I6" s="1281">
        <v>106128.09999999999</v>
      </c>
      <c r="J6" s="255">
        <v>411</v>
      </c>
      <c r="K6" s="1684"/>
      <c r="L6" s="1684"/>
      <c r="M6" s="1684"/>
      <c r="N6" s="1684"/>
      <c r="O6" s="1684"/>
      <c r="P6" s="1684"/>
      <c r="Q6" s="1684"/>
      <c r="R6" s="1684"/>
      <c r="S6" s="1684"/>
      <c r="T6" s="1684"/>
      <c r="U6" s="1684"/>
    </row>
    <row r="7" spans="1:21" s="430" customFormat="1" ht="11.1" customHeight="1">
      <c r="A7" s="1688" t="s">
        <v>1033</v>
      </c>
      <c r="B7" s="231">
        <v>4583.1099999999997</v>
      </c>
      <c r="C7" s="231">
        <v>112351.91100000001</v>
      </c>
      <c r="D7" s="231">
        <v>54300.800000000003</v>
      </c>
      <c r="E7" s="230">
        <v>326</v>
      </c>
      <c r="F7" s="1236">
        <v>46240</v>
      </c>
      <c r="G7" s="293">
        <v>5860.96</v>
      </c>
      <c r="H7" s="320">
        <v>1147.741</v>
      </c>
      <c r="I7" s="293">
        <v>106128.09999999999</v>
      </c>
      <c r="J7" s="230">
        <v>411</v>
      </c>
      <c r="K7" s="1684"/>
      <c r="L7" s="1684"/>
      <c r="M7" s="1684"/>
      <c r="N7" s="1684"/>
      <c r="O7" s="1684"/>
      <c r="P7" s="1684"/>
      <c r="Q7" s="1684"/>
      <c r="R7" s="1684"/>
      <c r="S7" s="1684"/>
      <c r="T7" s="1684"/>
      <c r="U7" s="1684"/>
    </row>
    <row r="8" spans="1:21" s="69" customFormat="1" ht="11.1" customHeight="1">
      <c r="A8" s="354" t="s">
        <v>1154</v>
      </c>
      <c r="B8" s="256">
        <v>4507.58</v>
      </c>
      <c r="C8" s="256">
        <v>107246.07099999998</v>
      </c>
      <c r="D8" s="256">
        <v>57846.400000000001</v>
      </c>
      <c r="E8" s="255">
        <v>330</v>
      </c>
      <c r="F8" s="714">
        <v>46243</v>
      </c>
      <c r="G8" s="1281">
        <v>5822.32</v>
      </c>
      <c r="H8" s="334">
        <v>964.59199999999998</v>
      </c>
      <c r="I8" s="1281">
        <v>106128.09999999999</v>
      </c>
      <c r="J8" s="255">
        <v>411</v>
      </c>
      <c r="K8" s="1684"/>
      <c r="L8" s="1684"/>
      <c r="M8" s="1684"/>
      <c r="N8" s="1684"/>
      <c r="O8" s="1684"/>
      <c r="P8" s="1684"/>
      <c r="Q8" s="1684"/>
      <c r="R8" s="1684"/>
      <c r="S8" s="1684"/>
      <c r="T8" s="1684"/>
      <c r="U8" s="1684"/>
    </row>
    <row r="9" spans="1:21" s="430" customFormat="1" ht="11.1" customHeight="1">
      <c r="A9" s="1688" t="s">
        <v>1178</v>
      </c>
      <c r="B9" s="231">
        <v>5656.05</v>
      </c>
      <c r="C9" s="231">
        <v>180522.2</v>
      </c>
      <c r="D9" s="231">
        <v>61656.5</v>
      </c>
      <c r="E9" s="230">
        <v>334</v>
      </c>
      <c r="F9" s="1236">
        <v>46244</v>
      </c>
      <c r="G9" s="293">
        <v>5844.87</v>
      </c>
      <c r="H9" s="320">
        <v>908.40300000000002</v>
      </c>
      <c r="I9" s="293">
        <v>106128.09999999999</v>
      </c>
      <c r="J9" s="230">
        <v>411</v>
      </c>
      <c r="K9" s="1684"/>
      <c r="L9" s="1684"/>
      <c r="M9" s="1684"/>
      <c r="N9" s="1684"/>
      <c r="O9" s="1684"/>
      <c r="P9" s="1684"/>
      <c r="Q9" s="1684"/>
      <c r="R9" s="1684"/>
      <c r="S9" s="1684"/>
      <c r="T9" s="1684"/>
      <c r="U9" s="1684"/>
    </row>
    <row r="10" spans="1:21" s="430" customFormat="1" ht="11.1" customHeight="1">
      <c r="A10" s="354" t="s">
        <v>1298</v>
      </c>
      <c r="B10" s="256">
        <v>5405.46</v>
      </c>
      <c r="C10" s="256">
        <v>159085.19200000001</v>
      </c>
      <c r="D10" s="256">
        <v>67071.899999999994</v>
      </c>
      <c r="E10" s="255">
        <v>343</v>
      </c>
      <c r="F10" s="714">
        <v>46245</v>
      </c>
      <c r="G10" s="1281">
        <v>5903.53</v>
      </c>
      <c r="H10" s="334">
        <v>1115.4270000000001</v>
      </c>
      <c r="I10" s="1281">
        <v>106128.09999999999</v>
      </c>
      <c r="J10" s="255">
        <v>411</v>
      </c>
      <c r="K10" s="1684"/>
      <c r="L10" s="1684"/>
      <c r="M10" s="1684"/>
      <c r="N10" s="1684"/>
      <c r="O10" s="1684"/>
      <c r="P10" s="1684"/>
      <c r="Q10" s="1684"/>
      <c r="R10" s="1684"/>
      <c r="S10" s="1684"/>
      <c r="T10" s="1684"/>
      <c r="U10" s="1684"/>
    </row>
    <row r="11" spans="1:21" s="430" customFormat="1" ht="11.1" customHeight="1">
      <c r="A11" s="1688" t="s">
        <v>1407</v>
      </c>
      <c r="B11" s="231">
        <v>5421.62</v>
      </c>
      <c r="C11" s="231">
        <v>145965.53900000002</v>
      </c>
      <c r="D11" s="231">
        <v>71962.899999999994</v>
      </c>
      <c r="E11" s="230">
        <v>355</v>
      </c>
      <c r="F11" s="1236">
        <v>46246</v>
      </c>
      <c r="G11" s="293">
        <v>5897.27</v>
      </c>
      <c r="H11" s="320">
        <v>1073.731</v>
      </c>
      <c r="I11" s="293">
        <v>106128.09999999999</v>
      </c>
      <c r="J11" s="230">
        <v>411</v>
      </c>
      <c r="K11" s="1684"/>
      <c r="L11" s="1684"/>
      <c r="M11" s="1684"/>
      <c r="N11" s="1684"/>
      <c r="O11" s="1684"/>
      <c r="P11" s="1684"/>
      <c r="Q11" s="1684"/>
      <c r="R11" s="1684"/>
      <c r="S11" s="1684"/>
      <c r="T11" s="1684"/>
      <c r="U11" s="1684"/>
    </row>
    <row r="12" spans="1:21" s="430" customFormat="1" ht="11.1" customHeight="1">
      <c r="A12" s="520" t="s">
        <v>1487</v>
      </c>
      <c r="B12" s="256">
        <v>3989.09</v>
      </c>
      <c r="C12" s="256">
        <v>78042.763000000006</v>
      </c>
      <c r="D12" s="256">
        <v>75486.8</v>
      </c>
      <c r="E12" s="255">
        <v>362</v>
      </c>
      <c r="F12" s="714">
        <v>46247</v>
      </c>
      <c r="G12" s="1281">
        <v>5883.91</v>
      </c>
      <c r="H12" s="334">
        <v>925.6690000000001</v>
      </c>
      <c r="I12" s="1281">
        <v>106128.09999999999</v>
      </c>
      <c r="J12" s="255">
        <v>411</v>
      </c>
      <c r="K12" s="1684"/>
      <c r="L12" s="1684"/>
      <c r="M12" s="1684"/>
      <c r="N12" s="1684"/>
      <c r="O12" s="1684"/>
      <c r="P12" s="1684"/>
      <c r="Q12" s="1684"/>
      <c r="R12" s="1684"/>
      <c r="S12" s="1684"/>
      <c r="T12" s="1684"/>
      <c r="U12" s="1684"/>
    </row>
    <row r="13" spans="1:21" s="430" customFormat="1" ht="11.1" customHeight="1">
      <c r="A13" s="482" t="s">
        <v>1539</v>
      </c>
      <c r="B13" s="231">
        <v>6150.48</v>
      </c>
      <c r="C13" s="231">
        <v>254697.05800000005</v>
      </c>
      <c r="D13" s="231">
        <v>85204.7</v>
      </c>
      <c r="E13" s="230">
        <v>382</v>
      </c>
      <c r="F13" s="1236">
        <v>46250</v>
      </c>
      <c r="G13" s="293">
        <v>5859.98</v>
      </c>
      <c r="H13" s="320">
        <v>1130.7670000000001</v>
      </c>
      <c r="I13" s="293">
        <v>106128.09999999999</v>
      </c>
      <c r="J13" s="230">
        <v>411</v>
      </c>
      <c r="K13" s="1684"/>
      <c r="L13" s="1684"/>
      <c r="M13" s="1684"/>
      <c r="N13" s="1684"/>
      <c r="O13" s="1684"/>
      <c r="P13" s="1684"/>
      <c r="Q13" s="1684"/>
      <c r="R13" s="1684"/>
      <c r="S13" s="1684"/>
      <c r="T13" s="1684"/>
      <c r="U13" s="1684"/>
    </row>
    <row r="14" spans="1:21" s="430" customFormat="1" ht="11.1" customHeight="1">
      <c r="A14" s="520" t="s">
        <v>1810</v>
      </c>
      <c r="B14" s="256">
        <v>6376.94</v>
      </c>
      <c r="C14" s="256">
        <v>318607.01500000001</v>
      </c>
      <c r="D14" s="256">
        <v>92764.687000000005</v>
      </c>
      <c r="E14" s="255">
        <v>395</v>
      </c>
      <c r="F14" s="714">
        <v>46251</v>
      </c>
      <c r="G14" s="1281">
        <v>5814.27</v>
      </c>
      <c r="H14" s="785">
        <v>994.8549999999999</v>
      </c>
      <c r="I14" s="1281">
        <v>106128.09999999999</v>
      </c>
      <c r="J14" s="255">
        <v>411</v>
      </c>
      <c r="K14" s="1684"/>
      <c r="L14" s="1684"/>
      <c r="M14" s="1684"/>
      <c r="N14" s="1684"/>
      <c r="O14" s="1684"/>
      <c r="P14" s="1684"/>
      <c r="Q14" s="1684"/>
      <c r="R14" s="1684"/>
      <c r="S14" s="1684"/>
      <c r="T14" s="1684"/>
      <c r="U14" s="1684"/>
    </row>
    <row r="15" spans="1:21" s="430" customFormat="1" ht="11.1" customHeight="1">
      <c r="A15" s="507" t="s">
        <v>2056</v>
      </c>
      <c r="B15" s="302">
        <v>6344.09</v>
      </c>
      <c r="C15" s="302">
        <v>191087.26499999996</v>
      </c>
      <c r="D15" s="302">
        <v>96843.1</v>
      </c>
      <c r="E15" s="440">
        <v>403</v>
      </c>
      <c r="F15" s="1236">
        <v>46252</v>
      </c>
      <c r="G15" s="293">
        <v>5773.63</v>
      </c>
      <c r="H15" s="485">
        <v>998.10900000000004</v>
      </c>
      <c r="I15" s="293">
        <v>106128.09999999999</v>
      </c>
      <c r="J15" s="230">
        <v>411</v>
      </c>
      <c r="K15" s="1684"/>
      <c r="L15" s="1684"/>
      <c r="M15" s="1684"/>
      <c r="N15" s="1684"/>
      <c r="O15" s="1684"/>
      <c r="P15" s="1684"/>
      <c r="Q15" s="1684"/>
      <c r="R15" s="1684"/>
      <c r="S15" s="1684"/>
      <c r="T15" s="1684"/>
      <c r="U15" s="1684"/>
    </row>
    <row r="16" spans="1:21" s="430" customFormat="1" ht="11.1" customHeight="1">
      <c r="A16" s="554" t="s">
        <v>2188</v>
      </c>
      <c r="B16" s="295">
        <f>B28</f>
        <v>5328.4</v>
      </c>
      <c r="C16" s="295">
        <f>SUM(C17:C28)</f>
        <v>149992.62400000001</v>
      </c>
      <c r="D16" s="295">
        <f>D28</f>
        <v>106586.40000000001</v>
      </c>
      <c r="E16" s="481">
        <f>E28</f>
        <v>427</v>
      </c>
      <c r="F16" s="714">
        <v>46253</v>
      </c>
      <c r="G16" s="1281">
        <v>5769.71</v>
      </c>
      <c r="H16" s="785">
        <v>732.83199999999999</v>
      </c>
      <c r="I16" s="1281">
        <v>106128.09999999999</v>
      </c>
      <c r="J16" s="255">
        <v>411</v>
      </c>
      <c r="K16" s="1684"/>
      <c r="L16" s="1684"/>
      <c r="M16" s="1684"/>
      <c r="N16" s="1684"/>
      <c r="O16" s="1684"/>
      <c r="P16" s="1684"/>
      <c r="Q16" s="1684"/>
      <c r="R16" s="1684"/>
      <c r="S16" s="1684"/>
      <c r="T16" s="1684"/>
      <c r="U16" s="1684"/>
    </row>
    <row r="17" spans="1:21" s="430" customFormat="1" ht="11.1" customHeight="1">
      <c r="A17" s="482" t="s">
        <v>559</v>
      </c>
      <c r="B17" s="231">
        <v>6324.81</v>
      </c>
      <c r="C17" s="231">
        <v>17127.598000000002</v>
      </c>
      <c r="D17" s="231">
        <v>97106</v>
      </c>
      <c r="E17" s="230">
        <f>392+11</f>
        <v>403</v>
      </c>
      <c r="F17" s="1236">
        <v>46254</v>
      </c>
      <c r="G17" s="26">
        <v>5786.08</v>
      </c>
      <c r="H17" s="192">
        <v>671.98900000000003</v>
      </c>
      <c r="I17" s="26">
        <v>106128.09999999999</v>
      </c>
      <c r="J17" s="230">
        <v>411</v>
      </c>
      <c r="K17" s="1684"/>
      <c r="L17" s="1684"/>
      <c r="M17" s="1684"/>
      <c r="N17" s="1684"/>
      <c r="O17" s="1684"/>
      <c r="P17" s="1684"/>
      <c r="Q17" s="1684"/>
      <c r="R17" s="1684"/>
      <c r="S17" s="1684"/>
      <c r="T17" s="1684"/>
      <c r="U17" s="1684"/>
    </row>
    <row r="18" spans="1:21" s="430" customFormat="1" ht="11.1" customHeight="1">
      <c r="A18" s="520" t="s">
        <v>560</v>
      </c>
      <c r="B18" s="256">
        <v>6299.5</v>
      </c>
      <c r="C18" s="256">
        <v>9652.4330000000009</v>
      </c>
      <c r="D18" s="256">
        <f>97241.5+4471</f>
        <v>101712.5</v>
      </c>
      <c r="E18" s="255">
        <f>403+11</f>
        <v>414</v>
      </c>
      <c r="F18" s="714">
        <v>46257</v>
      </c>
      <c r="G18" s="1281">
        <v>5722.21</v>
      </c>
      <c r="H18" s="785">
        <v>711.15</v>
      </c>
      <c r="I18" s="1281">
        <v>106128.09999999999</v>
      </c>
      <c r="J18" s="255">
        <v>411</v>
      </c>
      <c r="K18" s="1684"/>
      <c r="L18" s="1684"/>
      <c r="M18" s="1684"/>
      <c r="N18" s="1684"/>
      <c r="O18" s="1684"/>
      <c r="P18" s="1684"/>
      <c r="Q18" s="1684"/>
      <c r="R18" s="1684"/>
      <c r="S18" s="1684"/>
      <c r="T18" s="1684"/>
      <c r="U18" s="1684"/>
    </row>
    <row r="19" spans="1:21" s="430" customFormat="1" ht="11.1" customHeight="1">
      <c r="A19" s="482" t="s">
        <v>554</v>
      </c>
      <c r="B19" s="231">
        <v>6284.63</v>
      </c>
      <c r="C19" s="231">
        <v>11306.359</v>
      </c>
      <c r="D19" s="231">
        <f>97277.5+4471</f>
        <v>101748.5</v>
      </c>
      <c r="E19" s="230">
        <f>403+11</f>
        <v>414</v>
      </c>
      <c r="F19" s="1236">
        <v>46258</v>
      </c>
      <c r="G19" s="26">
        <v>5643.57</v>
      </c>
      <c r="H19" s="192">
        <v>601.97299999999996</v>
      </c>
      <c r="I19" s="26">
        <v>106128.09999999999</v>
      </c>
      <c r="J19" s="230">
        <v>411</v>
      </c>
      <c r="K19" s="1684"/>
      <c r="L19" s="1684"/>
      <c r="M19" s="1684"/>
      <c r="N19" s="1684"/>
      <c r="O19" s="1684"/>
      <c r="P19" s="1684"/>
      <c r="Q19" s="1684"/>
      <c r="R19" s="1684"/>
      <c r="S19" s="1684"/>
      <c r="T19" s="1684"/>
      <c r="U19" s="1684"/>
    </row>
    <row r="20" spans="1:21" s="430" customFormat="1" ht="11.1" customHeight="1">
      <c r="A20" s="520" t="s">
        <v>561</v>
      </c>
      <c r="B20" s="256">
        <v>6278.66</v>
      </c>
      <c r="C20" s="256">
        <v>10068.748</v>
      </c>
      <c r="D20" s="256">
        <f>92875.5+4471</f>
        <v>97346.5</v>
      </c>
      <c r="E20" s="255">
        <f>392+11</f>
        <v>403</v>
      </c>
      <c r="F20" s="714">
        <v>46259</v>
      </c>
      <c r="G20" s="1281">
        <v>5640.09</v>
      </c>
      <c r="H20" s="785">
        <v>506.71800000000002</v>
      </c>
      <c r="I20" s="1281">
        <v>106128.09999999999</v>
      </c>
      <c r="J20" s="255">
        <v>411</v>
      </c>
      <c r="K20" s="1684"/>
      <c r="L20" s="1684"/>
      <c r="M20" s="1684"/>
      <c r="N20" s="1684"/>
      <c r="O20" s="1684"/>
      <c r="P20" s="1684"/>
      <c r="Q20" s="1684"/>
      <c r="R20" s="1684"/>
      <c r="S20" s="1684"/>
      <c r="T20" s="1684"/>
      <c r="U20" s="1684"/>
    </row>
    <row r="21" spans="1:21" s="430" customFormat="1" ht="11.1" customHeight="1">
      <c r="A21" s="482" t="s">
        <v>562</v>
      </c>
      <c r="B21" s="231">
        <v>6223.03</v>
      </c>
      <c r="C21" s="231">
        <v>9498.1970000000001</v>
      </c>
      <c r="D21" s="231">
        <f>92876.4+4521</f>
        <v>97397.4</v>
      </c>
      <c r="E21" s="230">
        <f>392+12</f>
        <v>404</v>
      </c>
      <c r="F21" s="1236">
        <v>46261</v>
      </c>
      <c r="G21" s="26">
        <v>5655.68</v>
      </c>
      <c r="H21" s="192">
        <v>467.01499999999999</v>
      </c>
      <c r="I21" s="192">
        <v>106128.09999999999</v>
      </c>
      <c r="J21" s="230">
        <v>411</v>
      </c>
      <c r="K21" s="1684"/>
      <c r="L21" s="1684"/>
      <c r="M21" s="1684"/>
      <c r="N21" s="1684"/>
      <c r="O21" s="1684"/>
      <c r="P21" s="1684"/>
      <c r="Q21" s="1684"/>
      <c r="R21" s="1684"/>
      <c r="S21" s="1684"/>
      <c r="T21" s="1684"/>
      <c r="U21" s="1684"/>
    </row>
    <row r="22" spans="1:21" s="430" customFormat="1" ht="11.1" customHeight="1">
      <c r="A22" s="520" t="s">
        <v>555</v>
      </c>
      <c r="B22" s="256">
        <v>6246.5</v>
      </c>
      <c r="C22" s="256">
        <v>10206.054</v>
      </c>
      <c r="D22" s="256">
        <f>92814.8+4900.6</f>
        <v>97715.400000000009</v>
      </c>
      <c r="E22" s="255">
        <f>392+13</f>
        <v>405</v>
      </c>
      <c r="F22" s="714">
        <v>46264</v>
      </c>
      <c r="G22" s="1281">
        <v>5614.29</v>
      </c>
      <c r="H22" s="1281">
        <v>518.03100000000006</v>
      </c>
      <c r="I22" s="1281">
        <v>106128.09999999999</v>
      </c>
      <c r="J22" s="255">
        <v>411</v>
      </c>
      <c r="K22" s="1684"/>
      <c r="L22" s="1684"/>
      <c r="M22" s="1684"/>
      <c r="N22" s="1684"/>
      <c r="O22" s="1684"/>
      <c r="P22" s="1684"/>
      <c r="Q22" s="1684"/>
      <c r="R22" s="1684"/>
      <c r="S22" s="1684"/>
      <c r="T22" s="1684"/>
      <c r="U22" s="1684"/>
    </row>
    <row r="23" spans="1:21" s="430" customFormat="1" ht="11.1" customHeight="1" thickBot="1">
      <c r="A23" s="482" t="s">
        <v>563</v>
      </c>
      <c r="B23" s="231">
        <v>6153.34</v>
      </c>
      <c r="C23" s="231">
        <v>15747.22</v>
      </c>
      <c r="D23" s="231">
        <v>98895.8</v>
      </c>
      <c r="E23" s="230">
        <v>408</v>
      </c>
      <c r="F23" s="1890">
        <v>46265</v>
      </c>
      <c r="G23" s="1891">
        <v>5598.08</v>
      </c>
      <c r="H23" s="1892">
        <v>477.24599999999998</v>
      </c>
      <c r="I23" s="1892">
        <v>106128.09999999999</v>
      </c>
      <c r="J23" s="1876">
        <v>411</v>
      </c>
      <c r="K23" s="1684"/>
      <c r="L23" s="1684"/>
      <c r="M23" s="1684"/>
      <c r="N23" s="1684"/>
      <c r="O23" s="1684"/>
      <c r="P23" s="1684"/>
      <c r="Q23" s="1684"/>
      <c r="R23" s="1684"/>
      <c r="S23" s="1684"/>
      <c r="T23" s="1684"/>
      <c r="U23" s="1684"/>
    </row>
    <row r="24" spans="1:21" s="430" customFormat="1" ht="11.1" customHeight="1">
      <c r="A24" s="520" t="s">
        <v>564</v>
      </c>
      <c r="B24" s="256">
        <v>6254.54</v>
      </c>
      <c r="C24" s="256">
        <v>23916.23</v>
      </c>
      <c r="D24" s="256">
        <v>99658.5</v>
      </c>
      <c r="E24" s="255">
        <v>410</v>
      </c>
      <c r="F24" s="1684"/>
      <c r="G24" s="1684"/>
      <c r="H24" s="1684"/>
      <c r="I24" s="1684"/>
      <c r="J24" s="1684"/>
      <c r="K24" s="1684"/>
      <c r="L24" s="1684"/>
      <c r="M24" s="1684"/>
      <c r="N24" s="1684"/>
      <c r="O24" s="1684"/>
      <c r="P24" s="1684"/>
    </row>
    <row r="25" spans="1:21" s="430" customFormat="1" ht="11.1" customHeight="1">
      <c r="A25" s="482" t="s">
        <v>556</v>
      </c>
      <c r="B25" s="231">
        <v>5829.7</v>
      </c>
      <c r="C25" s="231">
        <v>11402.554</v>
      </c>
      <c r="D25" s="231">
        <f>5014.6+99870.3</f>
        <v>104884.90000000001</v>
      </c>
      <c r="E25" s="230">
        <f>412+15</f>
        <v>427</v>
      </c>
      <c r="F25" s="1684"/>
      <c r="G25" s="1684"/>
      <c r="H25" s="1684"/>
      <c r="I25" s="1684"/>
      <c r="J25" s="1684"/>
      <c r="K25" s="1684"/>
      <c r="L25" s="1684"/>
      <c r="M25" s="1684"/>
      <c r="N25" s="1684"/>
      <c r="O25" s="1684"/>
      <c r="P25" s="1684"/>
      <c r="Q25" s="1684"/>
      <c r="R25" s="1684"/>
      <c r="S25" s="1684"/>
      <c r="T25" s="1684"/>
      <c r="U25" s="1684"/>
    </row>
    <row r="26" spans="1:21" s="430" customFormat="1" ht="11.1" customHeight="1">
      <c r="A26" s="520" t="s">
        <v>565</v>
      </c>
      <c r="B26" s="256">
        <v>5584.65</v>
      </c>
      <c r="C26" s="256">
        <v>9357.1859999999997</v>
      </c>
      <c r="D26" s="256">
        <f>108005.2+5014.6</f>
        <v>113019.8</v>
      </c>
      <c r="E26" s="255">
        <f>412+15</f>
        <v>427</v>
      </c>
      <c r="F26" s="1684"/>
      <c r="G26" s="1684"/>
      <c r="H26" s="1684"/>
      <c r="I26" s="1684"/>
      <c r="J26" s="1684"/>
      <c r="K26" s="1684"/>
      <c r="L26" s="1684"/>
      <c r="M26" s="1684"/>
      <c r="N26" s="1684"/>
      <c r="O26" s="1684"/>
      <c r="P26" s="1684"/>
      <c r="Q26" s="1684"/>
      <c r="R26" s="1684"/>
      <c r="S26" s="1684"/>
      <c r="T26" s="1684"/>
      <c r="U26" s="1684"/>
    </row>
    <row r="27" spans="1:21" s="430" customFormat="1" ht="11.1" customHeight="1">
      <c r="A27" s="482" t="s">
        <v>566</v>
      </c>
      <c r="B27" s="231">
        <v>5251.96</v>
      </c>
      <c r="C27" s="231">
        <v>13355.540999999999</v>
      </c>
      <c r="D27" s="231">
        <f>101272.3+5014.6</f>
        <v>106286.90000000001</v>
      </c>
      <c r="E27" s="230">
        <f>412+15</f>
        <v>427</v>
      </c>
      <c r="F27" s="1684"/>
      <c r="G27" s="1684"/>
      <c r="H27" s="1684"/>
      <c r="I27" s="1684"/>
      <c r="J27" s="1684"/>
      <c r="K27" s="1684"/>
      <c r="L27" s="1684"/>
      <c r="M27" s="1684"/>
      <c r="N27" s="1684"/>
      <c r="O27" s="1684"/>
      <c r="P27" s="1684"/>
      <c r="Q27" s="1684"/>
      <c r="R27" s="1684"/>
      <c r="S27" s="1684"/>
      <c r="T27" s="1684"/>
      <c r="U27" s="1684"/>
    </row>
    <row r="28" spans="1:21" s="430" customFormat="1" ht="11.1" customHeight="1">
      <c r="A28" s="520" t="s">
        <v>557</v>
      </c>
      <c r="B28" s="256">
        <v>5328.4</v>
      </c>
      <c r="C28" s="256">
        <v>8354.5040000000008</v>
      </c>
      <c r="D28" s="256">
        <f>101571.8+5014.6</f>
        <v>106586.40000000001</v>
      </c>
      <c r="E28" s="255">
        <f>412+15</f>
        <v>427</v>
      </c>
      <c r="F28" s="1684"/>
      <c r="G28" s="1684"/>
      <c r="H28" s="1684"/>
      <c r="I28" s="1684"/>
      <c r="J28" s="1684"/>
      <c r="K28" s="1684"/>
      <c r="L28" s="1684"/>
      <c r="M28" s="1684"/>
      <c r="N28" s="1684"/>
      <c r="O28" s="1684"/>
      <c r="P28" s="1684"/>
      <c r="Q28" s="1684"/>
      <c r="R28" s="1684"/>
      <c r="S28" s="1684"/>
      <c r="T28" s="1684"/>
      <c r="U28" s="1684"/>
    </row>
    <row r="29" spans="1:21" s="430" customFormat="1" ht="11.1" customHeight="1">
      <c r="A29" s="507" t="s">
        <v>2439</v>
      </c>
      <c r="B29" s="302">
        <f>B41</f>
        <v>4838.3900000000003</v>
      </c>
      <c r="C29" s="302">
        <f>SUM(C30:C41)</f>
        <v>111035.72</v>
      </c>
      <c r="D29" s="302">
        <f>D41</f>
        <v>103245.09999999999</v>
      </c>
      <c r="E29" s="440">
        <f>E41</f>
        <v>413</v>
      </c>
      <c r="F29" s="1684"/>
      <c r="G29" s="1684"/>
      <c r="H29" s="1684"/>
      <c r="I29" s="1684"/>
      <c r="J29" s="1684"/>
      <c r="K29" s="1684"/>
      <c r="L29" s="1684"/>
      <c r="M29" s="1684"/>
      <c r="N29" s="1684"/>
      <c r="O29" s="1684"/>
      <c r="P29" s="1684"/>
      <c r="Q29" s="1684"/>
      <c r="R29" s="1684"/>
      <c r="S29" s="1684"/>
      <c r="T29" s="1684"/>
      <c r="U29" s="1684"/>
    </row>
    <row r="30" spans="1:21" s="430" customFormat="1" ht="11.1" customHeight="1">
      <c r="A30" s="520" t="s">
        <v>559</v>
      </c>
      <c r="B30" s="256">
        <v>5280.47</v>
      </c>
      <c r="C30" s="256">
        <v>10917.593999999999</v>
      </c>
      <c r="D30" s="256">
        <f>101703.8+5014.6</f>
        <v>106718.40000000001</v>
      </c>
      <c r="E30" s="255">
        <f>413+15</f>
        <v>428</v>
      </c>
      <c r="F30" s="1684"/>
      <c r="G30" s="1684"/>
      <c r="H30" s="1684"/>
      <c r="I30" s="1684"/>
      <c r="J30" s="1684"/>
      <c r="K30" s="1684"/>
      <c r="L30" s="1684"/>
      <c r="M30" s="1684"/>
      <c r="N30" s="1684"/>
      <c r="O30" s="1684"/>
      <c r="P30" s="1684"/>
      <c r="Q30" s="1684"/>
      <c r="R30" s="1684"/>
      <c r="S30" s="1684"/>
      <c r="T30" s="1684"/>
      <c r="U30" s="1684"/>
    </row>
    <row r="31" spans="1:21" s="430" customFormat="1" ht="11.1" customHeight="1">
      <c r="A31" s="482" t="s">
        <v>560</v>
      </c>
      <c r="B31" s="231">
        <v>5804.42</v>
      </c>
      <c r="C31" s="231">
        <v>16595.981</v>
      </c>
      <c r="D31" s="231">
        <f>96689.2+5014.6</f>
        <v>101703.8</v>
      </c>
      <c r="E31" s="230">
        <f>397+16</f>
        <v>413</v>
      </c>
      <c r="F31" s="1684"/>
      <c r="G31" s="1684"/>
      <c r="H31" s="1684"/>
      <c r="I31" s="1684"/>
      <c r="J31" s="1684"/>
      <c r="K31" s="1684"/>
      <c r="L31" s="1684"/>
      <c r="M31" s="1684"/>
      <c r="N31" s="1684"/>
      <c r="O31" s="1684"/>
      <c r="P31" s="1684"/>
      <c r="Q31" s="1684"/>
      <c r="R31" s="1684"/>
      <c r="S31" s="1684"/>
      <c r="T31" s="1684"/>
      <c r="U31" s="1684"/>
    </row>
    <row r="32" spans="1:21" s="430" customFormat="1" ht="11.1" customHeight="1">
      <c r="A32" s="520" t="s">
        <v>554</v>
      </c>
      <c r="B32" s="256">
        <v>5624.5</v>
      </c>
      <c r="C32" s="256">
        <v>14049.625</v>
      </c>
      <c r="D32" s="256">
        <f>101725+5014.6</f>
        <v>106739.6</v>
      </c>
      <c r="E32" s="255">
        <f>413+16</f>
        <v>429</v>
      </c>
      <c r="F32" s="1684"/>
      <c r="G32" s="1684"/>
      <c r="H32" s="1684"/>
      <c r="I32" s="1684"/>
      <c r="J32" s="1684"/>
      <c r="K32" s="1684"/>
      <c r="L32" s="1684"/>
      <c r="M32" s="1684"/>
      <c r="N32" s="1684"/>
      <c r="O32" s="1684"/>
      <c r="P32" s="1684"/>
      <c r="Q32" s="1684"/>
      <c r="R32" s="1684"/>
      <c r="S32" s="1684"/>
      <c r="T32" s="1684"/>
      <c r="U32" s="1684"/>
    </row>
    <row r="33" spans="1:21" s="430" customFormat="1" ht="11.1" customHeight="1">
      <c r="A33" s="482" t="s">
        <v>561</v>
      </c>
      <c r="B33" s="231">
        <v>5199.3999999999996</v>
      </c>
      <c r="C33" s="231">
        <v>7661.3140000000003</v>
      </c>
      <c r="D33" s="231">
        <f>101731.8+5014.6</f>
        <v>106746.40000000001</v>
      </c>
      <c r="E33" s="230">
        <f>413+16</f>
        <v>429</v>
      </c>
      <c r="F33" s="1684"/>
      <c r="G33" s="1684"/>
      <c r="H33" s="1684"/>
      <c r="I33" s="1684"/>
      <c r="J33" s="1684"/>
      <c r="K33" s="1684"/>
      <c r="L33" s="1684"/>
      <c r="M33" s="1684"/>
      <c r="N33" s="1684"/>
      <c r="O33" s="1684"/>
      <c r="P33" s="1684"/>
      <c r="Q33" s="1684"/>
      <c r="R33" s="1684"/>
      <c r="S33" s="1684"/>
      <c r="T33" s="1684"/>
      <c r="U33" s="1684"/>
    </row>
    <row r="34" spans="1:21" s="430" customFormat="1" ht="11.1" customHeight="1">
      <c r="A34" s="520" t="s">
        <v>562</v>
      </c>
      <c r="B34" s="256">
        <v>5192.59</v>
      </c>
      <c r="C34" s="256">
        <v>10034.755999999999</v>
      </c>
      <c r="D34" s="256">
        <f>96818+5014.6</f>
        <v>101832.6</v>
      </c>
      <c r="E34" s="255">
        <f>397+16</f>
        <v>413</v>
      </c>
      <c r="F34" s="1684"/>
      <c r="G34" s="1684"/>
      <c r="H34" s="1684"/>
      <c r="I34" s="1684"/>
      <c r="J34" s="1684"/>
      <c r="K34" s="1684"/>
      <c r="L34" s="1684"/>
      <c r="M34" s="1684"/>
      <c r="N34" s="1684"/>
      <c r="O34" s="1684"/>
      <c r="P34" s="1684"/>
      <c r="Q34" s="1684"/>
      <c r="R34" s="1684"/>
      <c r="S34" s="1684"/>
      <c r="T34" s="1684"/>
      <c r="U34" s="1684"/>
    </row>
    <row r="35" spans="1:21" s="430" customFormat="1" ht="11.1" customHeight="1">
      <c r="A35" s="482" t="s">
        <v>555</v>
      </c>
      <c r="B35" s="231">
        <v>5216.4399999999996</v>
      </c>
      <c r="C35" s="231">
        <v>7247.3490000000002</v>
      </c>
      <c r="D35" s="231">
        <f>96821.7+5014.4</f>
        <v>101836.09999999999</v>
      </c>
      <c r="E35" s="230">
        <f>397+15</f>
        <v>412</v>
      </c>
      <c r="F35" s="1227"/>
      <c r="G35" s="1684"/>
      <c r="H35" s="1684"/>
      <c r="I35" s="1684"/>
      <c r="J35" s="1684"/>
      <c r="K35" s="1684"/>
      <c r="L35" s="1684"/>
      <c r="M35" s="1684"/>
      <c r="N35" s="1684"/>
      <c r="O35" s="1684"/>
      <c r="P35" s="1684"/>
      <c r="Q35" s="1684"/>
      <c r="R35" s="1684"/>
      <c r="S35" s="1684"/>
      <c r="T35" s="1684"/>
      <c r="U35" s="1684"/>
    </row>
    <row r="36" spans="1:21" s="430" customFormat="1" ht="11.1" customHeight="1">
      <c r="A36" s="520" t="s">
        <v>563</v>
      </c>
      <c r="B36" s="256">
        <v>5112.8999999999996</v>
      </c>
      <c r="C36" s="256">
        <v>8025.8990000000003</v>
      </c>
      <c r="D36" s="256">
        <f>101786.8+4964.4</f>
        <v>106751.2</v>
      </c>
      <c r="E36" s="255">
        <f>413+16</f>
        <v>429</v>
      </c>
      <c r="F36" s="1227"/>
      <c r="G36" s="1684"/>
      <c r="H36" s="1684"/>
      <c r="I36" s="1684"/>
      <c r="J36" s="1684"/>
      <c r="K36" s="1684"/>
      <c r="L36" s="1684"/>
      <c r="M36" s="1684"/>
      <c r="N36" s="1684"/>
      <c r="O36" s="1684"/>
      <c r="P36" s="1684"/>
      <c r="Q36" s="1684"/>
      <c r="R36" s="1684"/>
      <c r="S36" s="1684"/>
      <c r="T36" s="1684"/>
      <c r="U36" s="1684"/>
    </row>
    <row r="37" spans="1:21" s="430" customFormat="1" ht="11.1" customHeight="1">
      <c r="A37" s="482" t="s">
        <v>564</v>
      </c>
      <c r="B37" s="231">
        <v>5247.3</v>
      </c>
      <c r="C37" s="231">
        <v>9182.25</v>
      </c>
      <c r="D37" s="231">
        <f>96827.7+4964.4</f>
        <v>101792.09999999999</v>
      </c>
      <c r="E37" s="230">
        <f>397+16</f>
        <v>413</v>
      </c>
      <c r="F37" s="1227"/>
      <c r="G37" s="1684"/>
      <c r="H37" s="1684"/>
      <c r="I37" s="1684"/>
      <c r="J37" s="1684"/>
      <c r="K37" s="1684"/>
      <c r="L37" s="1684"/>
      <c r="M37" s="1684"/>
      <c r="N37" s="1684"/>
      <c r="O37" s="1684"/>
      <c r="P37" s="1684"/>
      <c r="Q37" s="1684"/>
      <c r="R37" s="1684"/>
      <c r="S37" s="1684"/>
      <c r="T37" s="1684"/>
      <c r="U37" s="1684"/>
    </row>
    <row r="38" spans="1:21" s="430" customFormat="1" ht="11.1" customHeight="1">
      <c r="A38" s="520" t="s">
        <v>556</v>
      </c>
      <c r="B38" s="256">
        <v>5219.16</v>
      </c>
      <c r="C38" s="256">
        <v>7779.6329999999998</v>
      </c>
      <c r="D38" s="256">
        <f>96827.7+4964.4</f>
        <v>101792.09999999999</v>
      </c>
      <c r="E38" s="255">
        <f>397+16</f>
        <v>413</v>
      </c>
      <c r="F38" s="1227"/>
      <c r="G38" s="1684"/>
      <c r="H38" s="1684"/>
      <c r="I38" s="1684"/>
      <c r="J38" s="1684"/>
      <c r="K38" s="1684"/>
      <c r="L38" s="1684"/>
      <c r="M38" s="1684"/>
      <c r="N38" s="1684"/>
      <c r="O38" s="1684"/>
      <c r="P38" s="1684"/>
      <c r="Q38" s="1684"/>
      <c r="R38" s="1684"/>
      <c r="S38" s="1684"/>
      <c r="T38" s="1684"/>
      <c r="U38" s="1684"/>
    </row>
    <row r="39" spans="1:21" s="430" customFormat="1" ht="11.1" customHeight="1">
      <c r="A39" s="482" t="s">
        <v>565</v>
      </c>
      <c r="B39" s="231">
        <v>4917.99</v>
      </c>
      <c r="C39" s="231">
        <v>7160.8729999999996</v>
      </c>
      <c r="D39" s="231">
        <f>97238.2+4964.4</f>
        <v>102202.59999999999</v>
      </c>
      <c r="E39" s="230">
        <f>397+16</f>
        <v>413</v>
      </c>
      <c r="F39" s="1227"/>
      <c r="G39" s="1684"/>
      <c r="H39" s="1684"/>
      <c r="I39" s="1684"/>
      <c r="J39" s="1684"/>
      <c r="K39" s="1684"/>
      <c r="L39" s="1684"/>
      <c r="M39" s="1684"/>
      <c r="N39" s="1684"/>
      <c r="O39" s="1684"/>
      <c r="P39" s="1684"/>
      <c r="Q39" s="1684"/>
      <c r="R39" s="1684"/>
      <c r="S39" s="1684"/>
      <c r="T39" s="1684"/>
      <c r="U39" s="1684"/>
    </row>
    <row r="40" spans="1:21" s="430" customFormat="1" ht="11.1" customHeight="1">
      <c r="A40" s="520" t="s">
        <v>566</v>
      </c>
      <c r="B40" s="256">
        <v>4637.92</v>
      </c>
      <c r="C40" s="256">
        <v>7017.8130000000001</v>
      </c>
      <c r="D40" s="256">
        <f>98273.7+4964.4</f>
        <v>103238.09999999999</v>
      </c>
      <c r="E40" s="255">
        <f>397+16</f>
        <v>413</v>
      </c>
      <c r="F40" s="1227"/>
      <c r="G40" s="1684"/>
      <c r="H40" s="1684"/>
      <c r="I40" s="1684"/>
      <c r="J40" s="1684"/>
      <c r="K40" s="1684"/>
      <c r="L40" s="1684"/>
      <c r="M40" s="1684"/>
      <c r="N40" s="1684"/>
      <c r="O40" s="1684"/>
      <c r="P40" s="1684"/>
      <c r="Q40" s="1684"/>
      <c r="R40" s="1684"/>
      <c r="S40" s="1684"/>
      <c r="T40" s="1684"/>
      <c r="U40" s="1684"/>
    </row>
    <row r="41" spans="1:21" s="430" customFormat="1" ht="11.1" customHeight="1">
      <c r="A41" s="482" t="s">
        <v>557</v>
      </c>
      <c r="B41" s="231">
        <v>4838.3900000000003</v>
      </c>
      <c r="C41" s="231">
        <v>5362.6329999999998</v>
      </c>
      <c r="D41" s="231">
        <f>98280.7+4964.4</f>
        <v>103245.09999999999</v>
      </c>
      <c r="E41" s="230">
        <f>397+16</f>
        <v>413</v>
      </c>
      <c r="F41" s="1227"/>
      <c r="G41" s="1684"/>
      <c r="H41" s="1684"/>
      <c r="I41" s="1684"/>
      <c r="J41" s="1684"/>
      <c r="K41" s="1684"/>
      <c r="L41" s="1684"/>
      <c r="M41" s="1684"/>
      <c r="N41" s="1684"/>
      <c r="O41" s="1684"/>
      <c r="P41" s="1684"/>
      <c r="Q41" s="1684"/>
      <c r="R41" s="1684"/>
      <c r="S41" s="1684"/>
      <c r="T41" s="1684"/>
      <c r="U41" s="1684"/>
    </row>
    <row r="42" spans="1:21" s="430" customFormat="1" ht="11.1" customHeight="1">
      <c r="A42" s="554" t="s">
        <v>2664</v>
      </c>
      <c r="B42" s="295">
        <f>B54</f>
        <v>5762.83</v>
      </c>
      <c r="C42" s="295">
        <f>SUM(C43:C54)</f>
        <v>172701.071</v>
      </c>
      <c r="D42" s="295">
        <f>D54</f>
        <v>104946.3</v>
      </c>
      <c r="E42" s="481">
        <f>E54</f>
        <v>412</v>
      </c>
      <c r="F42" s="1227"/>
      <c r="G42" s="1684"/>
      <c r="H42" s="1684"/>
      <c r="I42" s="1684"/>
      <c r="J42" s="1684"/>
      <c r="K42" s="1684"/>
      <c r="L42" s="1684"/>
      <c r="M42" s="1684"/>
      <c r="N42" s="1684"/>
      <c r="O42" s="1684"/>
      <c r="P42" s="1684"/>
      <c r="Q42" s="1684"/>
      <c r="R42" s="1684"/>
      <c r="S42" s="1684"/>
      <c r="T42" s="1684"/>
      <c r="U42" s="1684"/>
    </row>
    <row r="43" spans="1:21" s="430" customFormat="1" ht="11.1" customHeight="1">
      <c r="A43" s="482" t="s">
        <v>559</v>
      </c>
      <c r="B43" s="231">
        <v>5443.42</v>
      </c>
      <c r="C43" s="231">
        <v>15430.24</v>
      </c>
      <c r="D43" s="231">
        <f>98332.9+4964.4</f>
        <v>103297.29999999999</v>
      </c>
      <c r="E43" s="230">
        <f>397+16</f>
        <v>413</v>
      </c>
      <c r="F43" s="1227"/>
      <c r="G43" s="1684"/>
      <c r="H43" s="1684"/>
      <c r="I43" s="1684"/>
      <c r="J43" s="1684"/>
      <c r="K43" s="1684"/>
      <c r="L43" s="1684"/>
      <c r="M43" s="1684"/>
      <c r="N43" s="1684"/>
      <c r="O43" s="1684"/>
      <c r="P43" s="1684"/>
      <c r="Q43" s="1684"/>
      <c r="R43" s="1684"/>
      <c r="S43" s="1684"/>
      <c r="T43" s="1684"/>
      <c r="U43" s="1684"/>
    </row>
    <row r="44" spans="1:21" s="430" customFormat="1" ht="11.1" customHeight="1">
      <c r="A44" s="520" t="s">
        <v>560</v>
      </c>
      <c r="B44" s="256">
        <v>5594.39</v>
      </c>
      <c r="C44" s="256">
        <v>18653.123</v>
      </c>
      <c r="D44" s="256">
        <f>98283.5+4964.4</f>
        <v>103247.9</v>
      </c>
      <c r="E44" s="255">
        <f>397+16</f>
        <v>413</v>
      </c>
      <c r="F44" s="1227"/>
      <c r="G44" s="1684"/>
      <c r="H44" s="1684"/>
      <c r="I44" s="1684"/>
      <c r="J44" s="1684"/>
      <c r="K44" s="1684"/>
      <c r="L44" s="1684"/>
      <c r="M44" s="1684"/>
      <c r="N44" s="1684"/>
      <c r="O44" s="1684"/>
      <c r="P44" s="1684"/>
      <c r="Q44" s="1684"/>
      <c r="R44" s="1684"/>
      <c r="S44" s="1684"/>
      <c r="T44" s="1684"/>
      <c r="U44" s="1684"/>
    </row>
    <row r="45" spans="1:21" s="430" customFormat="1" ht="11.1" customHeight="1">
      <c r="A45" s="482" t="s">
        <v>554</v>
      </c>
      <c r="B45" s="231">
        <v>5415.79</v>
      </c>
      <c r="C45" s="231">
        <v>19228.092000000001</v>
      </c>
      <c r="D45" s="231">
        <f>98325.5+4964.4</f>
        <v>103289.9</v>
      </c>
      <c r="E45" s="230">
        <f>397+16</f>
        <v>413</v>
      </c>
      <c r="F45" s="1227"/>
      <c r="G45" s="1684"/>
      <c r="H45" s="1684"/>
      <c r="I45" s="1684"/>
      <c r="J45" s="1684"/>
      <c r="K45" s="1684"/>
      <c r="L45" s="1684"/>
      <c r="M45" s="1684"/>
      <c r="N45" s="1684"/>
      <c r="O45" s="1684"/>
      <c r="P45" s="1684"/>
      <c r="Q45" s="1684"/>
      <c r="R45" s="1684"/>
      <c r="S45" s="1684"/>
      <c r="T45" s="1684"/>
      <c r="U45" s="1684"/>
    </row>
    <row r="46" spans="1:21" s="430" customFormat="1" ht="11.1" customHeight="1">
      <c r="A46" s="520" t="s">
        <v>561</v>
      </c>
      <c r="B46" s="256">
        <v>5122.22</v>
      </c>
      <c r="C46" s="256">
        <v>10322.328</v>
      </c>
      <c r="D46" s="256">
        <f>98348.2+4964.4</f>
        <v>103312.59999999999</v>
      </c>
      <c r="E46" s="255">
        <f>397+16</f>
        <v>413</v>
      </c>
      <c r="F46" s="1227"/>
      <c r="G46" s="1684"/>
      <c r="H46" s="1684"/>
      <c r="I46" s="1684"/>
      <c r="J46" s="1684"/>
      <c r="K46" s="1684"/>
      <c r="L46" s="1684"/>
      <c r="M46" s="1684"/>
      <c r="N46" s="1684"/>
      <c r="O46" s="1684"/>
      <c r="P46" s="1684"/>
      <c r="Q46" s="1684"/>
      <c r="R46" s="1684"/>
      <c r="S46" s="1684"/>
      <c r="T46" s="1684"/>
      <c r="U46" s="1684"/>
    </row>
    <row r="47" spans="1:21" s="430" customFormat="1" ht="11.1" customHeight="1">
      <c r="A47" s="482" t="s">
        <v>562</v>
      </c>
      <c r="B47" s="231">
        <v>4978.7700000000004</v>
      </c>
      <c r="C47" s="231">
        <v>9299.8050000000003</v>
      </c>
      <c r="D47" s="231">
        <f>98364+4964.4</f>
        <v>103328.4</v>
      </c>
      <c r="E47" s="230">
        <f>397+16</f>
        <v>413</v>
      </c>
      <c r="F47" s="1227"/>
      <c r="G47" s="1684"/>
      <c r="H47" s="1684"/>
      <c r="I47" s="1684"/>
      <c r="J47" s="1684"/>
      <c r="K47" s="1684"/>
      <c r="L47" s="1684"/>
      <c r="M47" s="1684"/>
      <c r="N47" s="1684"/>
      <c r="O47" s="1684"/>
      <c r="P47" s="1684"/>
      <c r="Q47" s="1684"/>
      <c r="R47" s="1684"/>
      <c r="S47" s="1684"/>
      <c r="T47" s="1684"/>
      <c r="U47" s="1684"/>
    </row>
    <row r="48" spans="1:21" s="430" customFormat="1" ht="11.1" customHeight="1">
      <c r="A48" s="520" t="s">
        <v>555</v>
      </c>
      <c r="B48" s="256">
        <v>4865.34</v>
      </c>
      <c r="C48" s="256">
        <v>7686.0720000000001</v>
      </c>
      <c r="D48" s="256">
        <v>148014.31</v>
      </c>
      <c r="E48" s="255">
        <v>413</v>
      </c>
      <c r="F48" s="1227"/>
      <c r="G48" s="1684"/>
      <c r="H48" s="1684"/>
      <c r="I48" s="1684"/>
      <c r="J48" s="1684"/>
      <c r="K48" s="1684"/>
      <c r="L48" s="1684"/>
      <c r="M48" s="1684"/>
      <c r="N48" s="1684"/>
      <c r="O48" s="1684"/>
      <c r="P48" s="1684"/>
      <c r="Q48" s="1684"/>
      <c r="R48" s="1684"/>
      <c r="S48" s="1684"/>
      <c r="T48" s="1684"/>
      <c r="U48" s="1684"/>
    </row>
    <row r="49" spans="1:21" s="430" customFormat="1" ht="11.1" customHeight="1">
      <c r="A49" s="482" t="s">
        <v>563</v>
      </c>
      <c r="B49" s="231">
        <v>5154.3100000000004</v>
      </c>
      <c r="C49" s="231">
        <v>10417.695</v>
      </c>
      <c r="D49" s="231">
        <v>103320</v>
      </c>
      <c r="E49" s="230">
        <v>413</v>
      </c>
      <c r="F49" s="1227"/>
      <c r="G49" s="1684"/>
      <c r="H49" s="1684"/>
      <c r="I49" s="1684"/>
      <c r="J49" s="1684"/>
      <c r="K49" s="1684"/>
      <c r="L49" s="1684"/>
      <c r="M49" s="1684"/>
      <c r="N49" s="1684"/>
      <c r="O49" s="1684"/>
      <c r="P49" s="1684"/>
      <c r="Q49" s="1684"/>
      <c r="R49" s="1684"/>
      <c r="S49" s="1684"/>
      <c r="T49" s="1684"/>
      <c r="U49" s="1684"/>
    </row>
    <row r="50" spans="1:21" s="430" customFormat="1" ht="11.1" customHeight="1">
      <c r="A50" s="520" t="s">
        <v>564</v>
      </c>
      <c r="B50" s="256">
        <v>5600.27</v>
      </c>
      <c r="C50" s="256">
        <v>13495.955</v>
      </c>
      <c r="D50" s="256">
        <v>103320</v>
      </c>
      <c r="E50" s="255">
        <v>413</v>
      </c>
      <c r="F50" s="1227"/>
      <c r="G50" s="1684"/>
      <c r="H50" s="1684"/>
      <c r="I50" s="1684"/>
      <c r="J50" s="1684"/>
      <c r="K50" s="1684"/>
      <c r="L50" s="1684"/>
      <c r="M50" s="1684"/>
      <c r="N50" s="1684"/>
      <c r="O50" s="1684"/>
      <c r="P50" s="1684"/>
      <c r="Q50" s="1684"/>
      <c r="R50" s="1684"/>
      <c r="S50" s="1684"/>
      <c r="T50" s="1684"/>
      <c r="U50" s="1684"/>
    </row>
    <row r="51" spans="1:21" s="430" customFormat="1" ht="11.1" customHeight="1">
      <c r="A51" s="482" t="s">
        <v>556</v>
      </c>
      <c r="B51" s="231">
        <v>5178.3100000000004</v>
      </c>
      <c r="C51" s="231">
        <v>10215.32</v>
      </c>
      <c r="D51" s="231">
        <v>103258.2</v>
      </c>
      <c r="E51" s="230">
        <v>412</v>
      </c>
      <c r="F51" s="1227"/>
      <c r="G51" s="25"/>
      <c r="H51" s="192"/>
      <c r="I51" s="26"/>
      <c r="J51" s="25"/>
      <c r="K51" s="1684"/>
      <c r="L51" s="1684"/>
      <c r="M51" s="1684"/>
      <c r="N51" s="1684"/>
      <c r="O51" s="1684"/>
      <c r="P51" s="1684"/>
      <c r="Q51" s="1684"/>
      <c r="R51" s="1684"/>
      <c r="S51" s="1684"/>
      <c r="T51" s="1684"/>
      <c r="U51" s="1684"/>
    </row>
    <row r="52" spans="1:21" s="430" customFormat="1" ht="11.1" customHeight="1">
      <c r="A52" s="520" t="s">
        <v>565</v>
      </c>
      <c r="B52" s="256">
        <v>5286.87</v>
      </c>
      <c r="C52" s="256">
        <v>17200.45</v>
      </c>
      <c r="D52" s="256">
        <v>100112</v>
      </c>
      <c r="E52" s="255">
        <f>396+15</f>
        <v>411</v>
      </c>
      <c r="F52" s="1227"/>
      <c r="G52" s="25"/>
      <c r="H52" s="192"/>
      <c r="I52" s="26"/>
      <c r="J52" s="25"/>
      <c r="K52" s="1684"/>
      <c r="L52" s="1684"/>
      <c r="M52" s="1684"/>
      <c r="N52" s="1684"/>
      <c r="O52" s="1684"/>
      <c r="P52" s="1684"/>
      <c r="Q52" s="1684"/>
      <c r="R52" s="1684"/>
      <c r="S52" s="1684"/>
      <c r="T52" s="1684"/>
      <c r="U52" s="1684"/>
    </row>
    <row r="53" spans="1:21" s="430" customFormat="1" ht="11.1" customHeight="1">
      <c r="A53" s="482" t="s">
        <v>566</v>
      </c>
      <c r="B53" s="231">
        <v>5335.87</v>
      </c>
      <c r="C53" s="231">
        <v>14217.12</v>
      </c>
      <c r="D53" s="231">
        <f>99620.5+4934.4</f>
        <v>104554.9</v>
      </c>
      <c r="E53" s="230">
        <v>412</v>
      </c>
      <c r="F53" s="1227"/>
      <c r="G53" s="25"/>
      <c r="H53" s="192"/>
      <c r="I53" s="26"/>
      <c r="J53" s="25"/>
      <c r="K53" s="1684"/>
      <c r="L53" s="1684"/>
      <c r="M53" s="1684"/>
      <c r="N53" s="1684"/>
      <c r="O53" s="1684"/>
      <c r="P53" s="1684"/>
      <c r="Q53" s="1684"/>
      <c r="R53" s="1684"/>
      <c r="S53" s="1684"/>
      <c r="T53" s="1684"/>
      <c r="U53" s="1684"/>
    </row>
    <row r="54" spans="1:21" s="430" customFormat="1" ht="11.1" customHeight="1">
      <c r="A54" s="520" t="s">
        <v>557</v>
      </c>
      <c r="B54" s="256">
        <v>5762.83</v>
      </c>
      <c r="C54" s="256">
        <v>26534.870999999999</v>
      </c>
      <c r="D54" s="256">
        <v>104946.3</v>
      </c>
      <c r="E54" s="255">
        <v>412</v>
      </c>
      <c r="F54" s="1227"/>
      <c r="G54" s="25"/>
      <c r="H54" s="192"/>
      <c r="I54" s="26"/>
      <c r="J54" s="25"/>
      <c r="K54" s="1684"/>
      <c r="L54" s="1684"/>
      <c r="M54" s="1684"/>
      <c r="N54" s="1684"/>
      <c r="O54" s="1684"/>
      <c r="P54" s="1684"/>
      <c r="Q54" s="1684"/>
      <c r="R54" s="1684"/>
      <c r="S54" s="1684"/>
      <c r="T54" s="1684"/>
      <c r="U54" s="1684"/>
    </row>
    <row r="55" spans="1:21" s="430" customFormat="1" ht="11.1" customHeight="1">
      <c r="A55" s="507" t="s">
        <v>2930</v>
      </c>
      <c r="B55" s="302"/>
      <c r="C55" s="302"/>
      <c r="D55" s="302"/>
      <c r="E55" s="440"/>
      <c r="F55" s="1227"/>
      <c r="G55" s="25"/>
      <c r="H55" s="192"/>
      <c r="I55" s="26"/>
      <c r="J55" s="25"/>
      <c r="K55" s="1684"/>
      <c r="L55" s="1684"/>
      <c r="M55" s="1684"/>
      <c r="N55" s="1684"/>
      <c r="O55" s="1684"/>
      <c r="P55" s="1684"/>
      <c r="Q55" s="1684"/>
      <c r="R55" s="1684"/>
      <c r="S55" s="1684"/>
      <c r="T55" s="1684"/>
      <c r="U55" s="1684"/>
    </row>
    <row r="56" spans="1:21" s="430" customFormat="1" ht="11.1" customHeight="1">
      <c r="A56" s="520" t="s">
        <v>559</v>
      </c>
      <c r="B56" s="256">
        <v>5895.58</v>
      </c>
      <c r="C56" s="256">
        <v>26349.040000000001</v>
      </c>
      <c r="D56" s="256">
        <v>104899.6</v>
      </c>
      <c r="E56" s="1866">
        <v>411</v>
      </c>
      <c r="F56" s="1227"/>
      <c r="G56" s="25"/>
      <c r="H56" s="192"/>
      <c r="I56" s="26"/>
      <c r="J56" s="25"/>
      <c r="K56" s="1684"/>
      <c r="L56" s="1684"/>
      <c r="M56" s="1684"/>
      <c r="N56" s="1684"/>
      <c r="O56" s="1684"/>
      <c r="P56" s="1684"/>
      <c r="Q56" s="1684"/>
      <c r="R56" s="1684"/>
      <c r="S56" s="1684"/>
      <c r="T56" s="1684"/>
      <c r="U56" s="1684"/>
    </row>
    <row r="57" spans="1:21" s="430" customFormat="1" ht="10.7" customHeight="1" thickBot="1">
      <c r="A57" s="1888" t="s">
        <v>560</v>
      </c>
      <c r="B57" s="633">
        <v>5598.08</v>
      </c>
      <c r="C57" s="633">
        <v>17525.88</v>
      </c>
      <c r="D57" s="633">
        <f>101188.7+4939.4</f>
        <v>106128.09999999999</v>
      </c>
      <c r="E57" s="1876">
        <f>395+16</f>
        <v>411</v>
      </c>
      <c r="F57" s="1227"/>
      <c r="G57" s="25"/>
      <c r="H57" s="192"/>
      <c r="I57" s="26"/>
      <c r="J57" s="25"/>
      <c r="K57" s="1684"/>
      <c r="L57" s="1684"/>
      <c r="M57" s="1684"/>
      <c r="N57" s="1684"/>
      <c r="O57" s="1684"/>
      <c r="P57" s="1684"/>
      <c r="Q57" s="1684"/>
      <c r="R57" s="1684"/>
      <c r="S57" s="1684"/>
      <c r="T57" s="1684"/>
      <c r="U57" s="1684"/>
    </row>
    <row r="58" spans="1:21" s="430" customFormat="1" ht="10.7" customHeight="1">
      <c r="A58" s="219" t="s">
        <v>1818</v>
      </c>
      <c r="B58" s="778"/>
      <c r="C58" s="778"/>
      <c r="D58" s="778"/>
      <c r="E58" s="778"/>
      <c r="F58" s="1227"/>
      <c r="G58" s="25"/>
      <c r="H58" s="192"/>
      <c r="I58" s="26"/>
      <c r="J58" s="25"/>
      <c r="K58" s="1684"/>
      <c r="L58" s="1684"/>
      <c r="M58" s="1684"/>
      <c r="N58" s="1684"/>
      <c r="O58" s="1684"/>
      <c r="P58" s="1684"/>
      <c r="Q58" s="1684"/>
      <c r="R58" s="1684"/>
      <c r="S58" s="1684"/>
      <c r="T58" s="1684"/>
      <c r="U58" s="1684"/>
    </row>
    <row r="59" spans="1:21" s="430" customFormat="1" ht="10.7" customHeight="1">
      <c r="A59" s="100" t="s">
        <v>1817</v>
      </c>
      <c r="B59" s="24"/>
      <c r="C59" s="26"/>
      <c r="D59" s="202" t="s">
        <v>1537</v>
      </c>
      <c r="E59" s="163"/>
      <c r="F59" s="1227"/>
      <c r="G59" s="25"/>
      <c r="H59" s="1638"/>
      <c r="I59" s="26"/>
      <c r="J59" s="25"/>
      <c r="K59" s="1684"/>
      <c r="L59" s="1684"/>
      <c r="M59" s="1684"/>
      <c r="N59" s="1684"/>
      <c r="O59" s="1684"/>
      <c r="P59" s="1684"/>
      <c r="Q59" s="1684"/>
      <c r="R59" s="1684"/>
      <c r="S59" s="1684"/>
      <c r="T59" s="1684"/>
      <c r="U59" s="1684"/>
    </row>
    <row r="60" spans="1:21" s="430" customFormat="1" ht="10.7" customHeight="1">
      <c r="F60" s="1227"/>
      <c r="G60" s="25"/>
      <c r="H60" s="192"/>
      <c r="I60" s="26"/>
      <c r="J60" s="25"/>
      <c r="K60" s="1684"/>
      <c r="L60" s="1684"/>
      <c r="M60" s="1684"/>
      <c r="N60" s="1684"/>
      <c r="O60" s="1684"/>
      <c r="P60" s="1684"/>
      <c r="Q60" s="1684"/>
      <c r="R60" s="1684"/>
      <c r="S60" s="1684"/>
      <c r="T60" s="1684"/>
      <c r="U60" s="1684"/>
    </row>
    <row r="61" spans="1:21" s="430" customFormat="1" ht="10.7" customHeight="1">
      <c r="D61" s="1608"/>
      <c r="F61" s="1227"/>
      <c r="G61" s="25"/>
      <c r="H61" s="192"/>
      <c r="I61" s="26"/>
      <c r="J61" s="25"/>
      <c r="K61" s="1684"/>
      <c r="L61" s="1684"/>
      <c r="M61" s="1684"/>
      <c r="N61" s="1684"/>
      <c r="O61" s="1684"/>
      <c r="P61" s="1684"/>
      <c r="Q61" s="1684"/>
      <c r="R61" s="1684"/>
      <c r="S61" s="1684"/>
      <c r="T61" s="1684"/>
      <c r="U61" s="1684"/>
    </row>
    <row r="62" spans="1:21" s="430" customFormat="1" ht="10.7" customHeight="1">
      <c r="F62" s="1227"/>
      <c r="G62" s="25"/>
      <c r="H62" s="192"/>
      <c r="I62" s="26"/>
      <c r="J62" s="25"/>
      <c r="K62" s="1684"/>
      <c r="L62" s="1684"/>
      <c r="M62" s="1684"/>
      <c r="N62" s="1684"/>
      <c r="O62" s="1684"/>
      <c r="P62" s="1684"/>
      <c r="Q62" s="1684"/>
      <c r="R62" s="1684"/>
      <c r="S62" s="1684"/>
      <c r="T62" s="1684"/>
      <c r="U62" s="1684"/>
    </row>
    <row r="63" spans="1:21" s="430" customFormat="1" ht="10.7" customHeight="1">
      <c r="F63" s="1227"/>
      <c r="G63" s="25"/>
      <c r="H63" s="192"/>
      <c r="I63" s="26"/>
      <c r="J63" s="25"/>
      <c r="K63" s="1684"/>
      <c r="L63" s="1684"/>
      <c r="M63" s="1684"/>
      <c r="N63" s="1684"/>
      <c r="O63" s="1684"/>
      <c r="P63" s="1684"/>
      <c r="Q63" s="1684"/>
      <c r="R63" s="1684"/>
      <c r="S63" s="1684"/>
      <c r="T63" s="1684"/>
      <c r="U63" s="1684"/>
    </row>
    <row r="64" spans="1:21" s="1684" customFormat="1" ht="10.7" customHeight="1">
      <c r="A64" s="430"/>
      <c r="B64" s="430"/>
      <c r="C64" s="430"/>
      <c r="D64" s="430"/>
      <c r="E64" s="430"/>
    </row>
    <row r="65" spans="1:21" s="1684" customFormat="1" ht="10.7" customHeight="1"/>
    <row r="66" spans="1:21" s="1684" customFormat="1" ht="11.25" customHeight="1"/>
    <row r="67" spans="1:21" s="1684" customFormat="1" ht="11.25" customHeight="1"/>
    <row r="68" spans="1:21" s="1684" customFormat="1" ht="11.1" customHeight="1"/>
    <row r="69" spans="1:21" s="1684" customFormat="1" ht="11.1" customHeight="1"/>
    <row r="70" spans="1:21" s="1684" customFormat="1" ht="11.1" customHeight="1"/>
    <row r="71" spans="1:21" s="1684" customFormat="1" ht="11.1" customHeight="1"/>
    <row r="72" spans="1:21" s="1684" customFormat="1" ht="11.1" customHeight="1"/>
    <row r="73" spans="1:21" s="1684" customFormat="1" ht="11.1" customHeight="1"/>
    <row r="74" spans="1:21" s="1684" customFormat="1" ht="11.1" customHeight="1"/>
    <row r="75" spans="1:21" s="430" customFormat="1" ht="11.1" customHeight="1">
      <c r="A75" s="1684"/>
      <c r="B75" s="1684"/>
      <c r="C75" s="1684"/>
      <c r="D75" s="1684"/>
      <c r="E75" s="1684"/>
      <c r="F75" s="1227"/>
      <c r="G75" s="25"/>
      <c r="H75" s="192"/>
      <c r="I75" s="26"/>
      <c r="J75" s="25"/>
      <c r="K75" s="1684"/>
      <c r="L75" s="1684"/>
      <c r="M75" s="1684"/>
      <c r="N75" s="1684"/>
      <c r="O75" s="1684"/>
      <c r="P75" s="1684"/>
      <c r="Q75" s="1684"/>
      <c r="R75" s="1684"/>
      <c r="S75" s="1684"/>
      <c r="T75" s="1684"/>
      <c r="U75" s="1684"/>
    </row>
    <row r="76" spans="1:21" s="430" customFormat="1" ht="11.1" customHeight="1">
      <c r="F76" s="1227"/>
      <c r="G76" s="25"/>
      <c r="H76" s="192"/>
      <c r="I76" s="26"/>
      <c r="J76" s="25"/>
      <c r="K76" s="1684"/>
      <c r="L76" s="1684"/>
      <c r="M76" s="1684"/>
      <c r="N76" s="1684"/>
      <c r="O76" s="1684"/>
      <c r="P76" s="1684"/>
      <c r="Q76" s="1684"/>
      <c r="R76" s="1684"/>
      <c r="S76" s="1684"/>
      <c r="T76" s="1684"/>
      <c r="U76" s="1684"/>
    </row>
    <row r="77" spans="1:21" s="430" customFormat="1" ht="11.1" customHeight="1">
      <c r="F77" s="1227"/>
      <c r="G77" s="25"/>
      <c r="H77" s="192"/>
      <c r="I77" s="26"/>
      <c r="J77" s="25"/>
      <c r="K77" s="1684"/>
      <c r="L77" s="1684"/>
      <c r="M77" s="1684"/>
      <c r="N77" s="1684"/>
      <c r="O77" s="1684"/>
      <c r="P77" s="1684"/>
      <c r="Q77" s="1684"/>
      <c r="R77" s="1684"/>
      <c r="S77" s="1684"/>
      <c r="T77" s="1684"/>
      <c r="U77" s="1684"/>
    </row>
    <row r="78" spans="1:21" s="430" customFormat="1" ht="11.1" customHeight="1">
      <c r="F78" s="1227"/>
      <c r="G78" s="25"/>
      <c r="H78" s="192"/>
      <c r="I78" s="26"/>
      <c r="J78" s="25"/>
      <c r="K78" s="1684"/>
      <c r="L78" s="1684"/>
      <c r="M78" s="1684"/>
      <c r="N78" s="1684"/>
      <c r="O78" s="1684"/>
      <c r="P78" s="1684"/>
      <c r="Q78" s="1684"/>
      <c r="R78" s="1684"/>
      <c r="S78" s="1684"/>
      <c r="T78" s="1684"/>
      <c r="U78" s="1684"/>
    </row>
    <row r="79" spans="1:21" s="430" customFormat="1" ht="11.1" customHeight="1">
      <c r="F79" s="1227"/>
      <c r="G79" s="25"/>
      <c r="H79" s="192"/>
      <c r="I79" s="26"/>
      <c r="J79" s="25"/>
      <c r="K79" s="1684"/>
      <c r="L79" s="1684"/>
      <c r="M79" s="1684"/>
      <c r="N79" s="1684"/>
      <c r="O79" s="1684"/>
      <c r="P79" s="1684"/>
      <c r="Q79" s="1684"/>
      <c r="R79" s="1684"/>
      <c r="S79" s="1684"/>
      <c r="T79" s="1684"/>
      <c r="U79" s="1684"/>
    </row>
    <row r="80" spans="1:21" s="430" customFormat="1" ht="11.1" customHeight="1">
      <c r="F80" s="1227"/>
      <c r="G80" s="25"/>
      <c r="H80" s="192"/>
      <c r="I80" s="26"/>
      <c r="J80" s="25"/>
      <c r="K80" s="1684"/>
      <c r="L80" s="1684"/>
      <c r="M80" s="1684"/>
      <c r="N80" s="1684"/>
      <c r="O80" s="1684"/>
      <c r="P80" s="1684"/>
      <c r="Q80" s="1684"/>
      <c r="R80" s="1684"/>
      <c r="S80" s="1684"/>
      <c r="T80" s="1684"/>
      <c r="U80" s="1684"/>
    </row>
    <row r="81" spans="1:21" s="430" customFormat="1" ht="11.1" customHeight="1">
      <c r="F81" s="1227"/>
      <c r="G81" s="25"/>
      <c r="H81" s="192"/>
      <c r="I81" s="26"/>
      <c r="J81" s="25"/>
      <c r="K81" s="1684"/>
      <c r="L81" s="1684"/>
      <c r="M81" s="1684"/>
      <c r="N81" s="1684"/>
      <c r="O81" s="1684"/>
      <c r="P81" s="1684"/>
      <c r="Q81" s="1684"/>
      <c r="R81" s="1684"/>
      <c r="S81" s="1684"/>
      <c r="T81" s="1684"/>
      <c r="U81" s="1684"/>
    </row>
    <row r="82" spans="1:21" s="430" customFormat="1" ht="11.1" customHeight="1">
      <c r="A82" s="69"/>
      <c r="B82" s="69"/>
      <c r="C82" s="69"/>
      <c r="D82" s="69"/>
      <c r="E82" s="69"/>
      <c r="F82" s="1227"/>
      <c r="G82" s="25"/>
      <c r="H82" s="192"/>
      <c r="I82" s="26"/>
      <c r="J82" s="25"/>
      <c r="K82" s="1684"/>
      <c r="L82" s="1684"/>
      <c r="M82" s="1684"/>
      <c r="N82" s="1684"/>
      <c r="O82" s="1684"/>
      <c r="P82" s="1684"/>
      <c r="Q82" s="1684"/>
      <c r="R82" s="1684"/>
      <c r="S82" s="1684"/>
      <c r="T82" s="1684"/>
      <c r="U82" s="1684"/>
    </row>
    <row r="83" spans="1:21" s="430" customFormat="1" ht="11.1" customHeight="1">
      <c r="A83" s="69"/>
      <c r="B83" s="69"/>
      <c r="C83" s="69"/>
      <c r="D83" s="69"/>
      <c r="E83" s="69"/>
      <c r="F83" s="1227"/>
      <c r="G83" s="25"/>
      <c r="H83" s="192"/>
      <c r="I83" s="26"/>
      <c r="J83" s="25"/>
      <c r="K83" s="1684"/>
      <c r="L83" s="1684"/>
      <c r="M83" s="1684"/>
      <c r="N83" s="1684"/>
      <c r="O83" s="1684"/>
      <c r="P83" s="1684"/>
      <c r="Q83" s="1684"/>
      <c r="R83" s="1684"/>
      <c r="S83" s="1684"/>
      <c r="T83" s="1684"/>
      <c r="U83" s="1684"/>
    </row>
    <row r="84" spans="1:21" s="430" customFormat="1" ht="11.1" customHeight="1">
      <c r="A84" s="69"/>
      <c r="B84" s="69"/>
      <c r="C84" s="69"/>
      <c r="D84" s="69"/>
      <c r="E84" s="69"/>
      <c r="F84" s="1227"/>
      <c r="G84" s="25"/>
      <c r="H84" s="192"/>
      <c r="I84" s="26"/>
      <c r="J84" s="25"/>
      <c r="K84" s="1684"/>
      <c r="L84" s="1684"/>
      <c r="M84" s="1684"/>
      <c r="N84" s="1684"/>
      <c r="O84" s="1684"/>
      <c r="P84" s="1684"/>
      <c r="Q84" s="1684"/>
      <c r="R84" s="1684"/>
      <c r="S84" s="1684"/>
      <c r="T84" s="1684"/>
      <c r="U84" s="1684"/>
    </row>
    <row r="85" spans="1:21" s="430" customFormat="1" ht="11.1" customHeight="1">
      <c r="A85" s="69"/>
      <c r="B85" s="69"/>
      <c r="C85" s="69"/>
      <c r="D85" s="69"/>
      <c r="E85" s="69"/>
      <c r="F85" s="1227"/>
      <c r="G85" s="25"/>
      <c r="H85" s="192"/>
      <c r="I85" s="26"/>
      <c r="J85" s="25"/>
      <c r="K85" s="1684"/>
      <c r="L85" s="1684"/>
      <c r="M85" s="1684"/>
      <c r="N85" s="1684"/>
      <c r="O85" s="1684"/>
      <c r="P85" s="1684"/>
      <c r="Q85" s="1684"/>
      <c r="R85" s="1684"/>
      <c r="S85" s="1684"/>
      <c r="T85" s="1684"/>
      <c r="U85" s="1684"/>
    </row>
    <row r="86" spans="1:21" s="430" customFormat="1" ht="11.1" customHeight="1">
      <c r="A86" s="69"/>
      <c r="B86" s="69"/>
      <c r="C86" s="69"/>
      <c r="D86" s="69"/>
      <c r="E86" s="69"/>
      <c r="F86" s="1227"/>
      <c r="G86" s="25"/>
      <c r="H86" s="192"/>
      <c r="I86" s="26"/>
      <c r="J86" s="25"/>
      <c r="K86" s="1684"/>
      <c r="L86" s="1684"/>
      <c r="M86" s="1684"/>
      <c r="N86" s="1684"/>
      <c r="O86" s="1684"/>
      <c r="P86" s="1684"/>
      <c r="Q86" s="1684"/>
      <c r="R86" s="1684"/>
      <c r="S86" s="1684"/>
      <c r="T86" s="1684"/>
      <c r="U86" s="1684"/>
    </row>
    <row r="87" spans="1:21" s="430" customFormat="1" ht="11.1" customHeight="1">
      <c r="A87" s="69"/>
      <c r="B87" s="69"/>
      <c r="C87" s="69"/>
      <c r="D87" s="69"/>
      <c r="E87" s="69"/>
      <c r="F87" s="1227"/>
      <c r="G87" s="25"/>
      <c r="H87" s="192"/>
      <c r="I87" s="26"/>
      <c r="J87" s="25"/>
      <c r="K87" s="1684"/>
      <c r="L87" s="1684"/>
      <c r="M87" s="1684"/>
      <c r="N87" s="1684"/>
      <c r="O87" s="1684"/>
      <c r="P87" s="1684"/>
      <c r="Q87" s="1684"/>
      <c r="R87" s="1684"/>
      <c r="S87" s="1684"/>
      <c r="T87" s="1684"/>
      <c r="U87" s="1684"/>
    </row>
    <row r="88" spans="1:21" s="430" customFormat="1" ht="11.1" customHeight="1">
      <c r="A88" s="69"/>
      <c r="B88" s="69"/>
      <c r="C88" s="69"/>
      <c r="D88" s="69"/>
      <c r="E88" s="69"/>
      <c r="F88" s="1227"/>
      <c r="G88" s="25"/>
      <c r="H88" s="192"/>
      <c r="I88" s="26"/>
      <c r="J88" s="25"/>
      <c r="K88" s="1684"/>
      <c r="L88" s="1684"/>
      <c r="M88" s="1684"/>
      <c r="N88" s="1684"/>
      <c r="O88" s="1684"/>
      <c r="P88" s="1684"/>
      <c r="Q88" s="1684"/>
      <c r="R88" s="1684"/>
      <c r="S88" s="1684"/>
      <c r="T88" s="1684"/>
      <c r="U88" s="1684"/>
    </row>
    <row r="89" spans="1:21" s="430" customFormat="1" ht="11.1" customHeight="1">
      <c r="A89" s="69"/>
      <c r="B89" s="69"/>
      <c r="C89" s="69"/>
      <c r="D89" s="69"/>
      <c r="E89" s="69"/>
      <c r="F89" s="1227"/>
      <c r="G89" s="25"/>
      <c r="H89" s="192"/>
      <c r="I89" s="26"/>
      <c r="J89" s="25"/>
      <c r="K89" s="1684"/>
      <c r="L89" s="1684"/>
      <c r="M89" s="1684"/>
      <c r="N89" s="1684"/>
      <c r="O89" s="1684"/>
      <c r="P89" s="1684"/>
      <c r="Q89" s="1684"/>
      <c r="R89" s="1684"/>
      <c r="S89" s="1684"/>
      <c r="T89" s="1684"/>
      <c r="U89" s="1684"/>
    </row>
    <row r="90" spans="1:21" s="430" customFormat="1" ht="11.1" customHeight="1">
      <c r="A90" s="69"/>
      <c r="B90" s="69"/>
      <c r="C90" s="69"/>
      <c r="D90" s="69"/>
      <c r="E90" s="69"/>
      <c r="F90" s="1227"/>
      <c r="G90" s="25"/>
      <c r="H90" s="192"/>
      <c r="I90" s="26"/>
      <c r="J90" s="25"/>
      <c r="K90" s="1684"/>
      <c r="L90" s="1684"/>
      <c r="M90" s="1684"/>
      <c r="N90" s="1684"/>
      <c r="O90" s="1684"/>
      <c r="P90" s="1684"/>
      <c r="Q90" s="1684"/>
      <c r="R90" s="1684"/>
      <c r="S90" s="1684"/>
      <c r="T90" s="1684"/>
      <c r="U90" s="1684"/>
    </row>
    <row r="91" spans="1:21" s="430" customFormat="1" ht="11.1" customHeight="1">
      <c r="A91" s="69"/>
      <c r="B91" s="69"/>
      <c r="C91" s="69"/>
      <c r="D91" s="69"/>
      <c r="E91" s="69"/>
      <c r="F91" s="1227"/>
      <c r="G91" s="25"/>
      <c r="H91" s="192"/>
      <c r="I91" s="26"/>
      <c r="J91" s="25"/>
      <c r="K91" s="1684"/>
      <c r="L91" s="1684"/>
      <c r="M91" s="1684"/>
      <c r="N91" s="1684"/>
      <c r="O91" s="1684"/>
      <c r="P91" s="1684"/>
      <c r="Q91" s="1684"/>
      <c r="R91" s="1684"/>
      <c r="S91" s="1684"/>
      <c r="T91" s="1684"/>
      <c r="U91" s="1684"/>
    </row>
    <row r="92" spans="1:21" s="430" customFormat="1" ht="11.1" customHeight="1">
      <c r="A92" s="69"/>
      <c r="B92" s="69"/>
      <c r="C92" s="69"/>
      <c r="D92" s="69"/>
      <c r="E92" s="69"/>
      <c r="F92" s="1227"/>
      <c r="G92" s="25"/>
      <c r="H92" s="192"/>
      <c r="I92" s="26"/>
      <c r="J92" s="25"/>
      <c r="K92" s="1684"/>
      <c r="L92" s="1684"/>
      <c r="M92" s="1684"/>
      <c r="N92" s="1684"/>
      <c r="O92" s="1684"/>
      <c r="P92" s="1684"/>
      <c r="Q92" s="1684"/>
      <c r="R92" s="1684"/>
      <c r="S92" s="1684"/>
      <c r="T92" s="1684"/>
      <c r="U92" s="1684"/>
    </row>
    <row r="93" spans="1:21" s="430" customFormat="1" ht="11.1" customHeight="1">
      <c r="A93" s="69"/>
      <c r="B93" s="69"/>
      <c r="C93" s="69"/>
      <c r="D93" s="69"/>
      <c r="E93" s="69"/>
      <c r="F93" s="1227"/>
      <c r="G93" s="25"/>
      <c r="H93" s="192"/>
      <c r="I93" s="26"/>
      <c r="J93" s="25"/>
      <c r="K93" s="1684"/>
      <c r="L93" s="1684"/>
      <c r="M93" s="1684"/>
      <c r="N93" s="1684"/>
      <c r="O93" s="1684"/>
      <c r="P93" s="1684"/>
      <c r="Q93" s="1684"/>
      <c r="R93" s="1684"/>
      <c r="S93" s="1684"/>
      <c r="T93" s="1684"/>
      <c r="U93" s="1684"/>
    </row>
    <row r="94" spans="1:21" s="430" customFormat="1" ht="11.1" customHeight="1">
      <c r="A94" s="69"/>
      <c r="B94" s="69"/>
      <c r="C94" s="69"/>
      <c r="D94" s="69"/>
      <c r="E94" s="69"/>
      <c r="F94" s="1227"/>
      <c r="G94" s="25"/>
      <c r="H94" s="192"/>
      <c r="I94" s="26"/>
      <c r="J94" s="25"/>
      <c r="K94" s="1684"/>
      <c r="L94" s="1684"/>
      <c r="M94" s="1684"/>
      <c r="N94" s="1684"/>
      <c r="O94" s="1684"/>
      <c r="P94" s="1684"/>
      <c r="Q94" s="1684"/>
      <c r="R94" s="1684"/>
      <c r="S94" s="1684"/>
      <c r="T94" s="1684"/>
      <c r="U94" s="1684"/>
    </row>
    <row r="95" spans="1:21" s="430" customFormat="1" ht="11.1" customHeight="1">
      <c r="A95" s="69"/>
      <c r="B95" s="69"/>
      <c r="C95" s="69"/>
      <c r="D95" s="69"/>
      <c r="E95" s="69"/>
      <c r="F95" s="1227"/>
      <c r="G95" s="25"/>
      <c r="H95" s="192"/>
      <c r="I95" s="26"/>
      <c r="J95" s="25"/>
      <c r="K95" s="1684"/>
      <c r="L95" s="1684"/>
      <c r="M95" s="1684"/>
      <c r="N95" s="1684"/>
      <c r="O95" s="1684"/>
      <c r="P95" s="1684"/>
      <c r="Q95" s="1684"/>
      <c r="R95" s="1684"/>
      <c r="S95" s="1684"/>
      <c r="T95" s="1684"/>
      <c r="U95" s="1684"/>
    </row>
    <row r="96" spans="1:21" s="430" customFormat="1" ht="11.1" customHeight="1">
      <c r="A96" s="69"/>
      <c r="B96" s="69"/>
      <c r="C96" s="69"/>
      <c r="D96" s="69"/>
      <c r="E96" s="69"/>
      <c r="F96" s="1227"/>
      <c r="G96" s="25"/>
      <c r="H96" s="192"/>
      <c r="I96" s="26"/>
      <c r="J96" s="25"/>
      <c r="K96" s="1684"/>
      <c r="L96" s="1684"/>
      <c r="M96" s="1684"/>
      <c r="N96" s="1684"/>
      <c r="O96" s="1684"/>
      <c r="P96" s="1684"/>
      <c r="Q96" s="1684"/>
      <c r="R96" s="1684"/>
      <c r="S96" s="1684"/>
      <c r="T96" s="1684"/>
      <c r="U96" s="1684"/>
    </row>
    <row r="97" spans="1:21" s="430" customFormat="1" ht="11.1" customHeight="1">
      <c r="A97" s="69"/>
      <c r="B97" s="69"/>
      <c r="C97" s="69"/>
      <c r="D97" s="69"/>
      <c r="E97" s="69"/>
      <c r="F97" s="1227"/>
      <c r="G97" s="25"/>
      <c r="H97" s="192"/>
      <c r="I97" s="26"/>
      <c r="J97" s="25"/>
      <c r="K97" s="1684"/>
      <c r="L97" s="1684"/>
      <c r="M97" s="1684"/>
      <c r="N97" s="1684"/>
      <c r="O97" s="1684"/>
      <c r="P97" s="1684"/>
      <c r="Q97" s="1684"/>
      <c r="R97" s="1684"/>
      <c r="S97" s="1684"/>
      <c r="T97" s="1684"/>
      <c r="U97" s="1684"/>
    </row>
    <row r="98" spans="1:21" s="430" customFormat="1" ht="11.1" customHeight="1">
      <c r="A98" s="69"/>
      <c r="B98" s="69"/>
      <c r="C98" s="69"/>
      <c r="D98" s="69"/>
      <c r="E98" s="69"/>
      <c r="F98" s="1227"/>
      <c r="G98" s="25"/>
      <c r="H98" s="192"/>
      <c r="I98" s="26"/>
      <c r="J98" s="25"/>
      <c r="K98" s="1684"/>
      <c r="L98" s="1684"/>
      <c r="M98" s="1684"/>
      <c r="N98" s="1684"/>
      <c r="O98" s="1684"/>
      <c r="P98" s="1684"/>
      <c r="Q98" s="1684"/>
      <c r="R98" s="1684"/>
      <c r="S98" s="1684"/>
      <c r="T98" s="1684"/>
      <c r="U98" s="1684"/>
    </row>
    <row r="99" spans="1:21" s="430" customFormat="1" ht="11.1" customHeight="1">
      <c r="F99" s="1227"/>
      <c r="G99" s="25"/>
      <c r="H99" s="192"/>
      <c r="I99" s="26"/>
      <c r="J99" s="25"/>
      <c r="K99" s="1684"/>
      <c r="L99" s="1684"/>
      <c r="M99" s="1684"/>
      <c r="N99" s="1684"/>
      <c r="O99" s="1684"/>
      <c r="P99" s="1684"/>
      <c r="Q99" s="1684"/>
      <c r="R99" s="1684"/>
      <c r="S99" s="1684"/>
      <c r="T99" s="1684"/>
      <c r="U99" s="1684"/>
    </row>
    <row r="100" spans="1:21" s="430" customFormat="1" ht="11.1" customHeight="1">
      <c r="A100" s="2"/>
      <c r="B100" s="2"/>
      <c r="C100" s="2"/>
      <c r="D100" s="2"/>
      <c r="E100" s="2"/>
      <c r="F100" s="1227"/>
      <c r="G100" s="25"/>
      <c r="H100" s="192"/>
      <c r="I100" s="26"/>
      <c r="J100" s="25"/>
      <c r="K100" s="1684"/>
      <c r="L100" s="1684"/>
      <c r="M100" s="1684"/>
      <c r="N100" s="1684"/>
      <c r="O100" s="1684"/>
      <c r="P100" s="1684"/>
      <c r="Q100" s="1684"/>
      <c r="R100" s="1684"/>
      <c r="S100" s="1684"/>
      <c r="T100" s="1684"/>
      <c r="U100" s="1684"/>
    </row>
    <row r="101" spans="1:21" s="430" customFormat="1" ht="11.1" customHeight="1">
      <c r="A101" s="2"/>
      <c r="B101" s="2"/>
      <c r="C101" s="2"/>
      <c r="D101" s="2"/>
      <c r="E101" s="2"/>
      <c r="F101" s="1227"/>
      <c r="G101" s="25"/>
      <c r="H101" s="192"/>
      <c r="I101" s="26"/>
      <c r="J101" s="25"/>
      <c r="K101" s="1684"/>
      <c r="L101" s="1684"/>
      <c r="M101" s="1684"/>
      <c r="N101" s="1684"/>
      <c r="O101" s="1684"/>
      <c r="P101" s="1684"/>
      <c r="Q101" s="1684"/>
      <c r="R101" s="1684"/>
      <c r="S101" s="1684"/>
      <c r="T101" s="1684"/>
      <c r="U101" s="1684"/>
    </row>
    <row r="102" spans="1:21" s="430" customFormat="1" ht="11.25" customHeight="1">
      <c r="A102" s="94"/>
      <c r="B102" s="95"/>
      <c r="C102" s="95"/>
      <c r="D102" s="99"/>
      <c r="E102" s="792"/>
      <c r="F102" s="1227"/>
      <c r="G102" s="25"/>
      <c r="H102" s="192"/>
      <c r="I102" s="26"/>
      <c r="J102" s="25"/>
      <c r="K102" s="1684"/>
      <c r="L102" s="1684"/>
      <c r="M102" s="1684"/>
      <c r="N102" s="1684"/>
      <c r="O102" s="1684"/>
      <c r="P102" s="1684"/>
      <c r="Q102" s="1684"/>
      <c r="R102" s="1684"/>
      <c r="S102" s="1684"/>
      <c r="T102" s="1684"/>
      <c r="U102" s="1684"/>
    </row>
    <row r="103" spans="1:21" s="69" customFormat="1" ht="9.9499999999999993" customHeight="1">
      <c r="A103" s="97"/>
      <c r="B103" s="98"/>
      <c r="C103" s="98"/>
      <c r="D103" s="99"/>
      <c r="E103" s="81"/>
      <c r="F103" s="1227"/>
      <c r="G103" s="25"/>
      <c r="H103" s="192"/>
      <c r="I103" s="26"/>
      <c r="J103" s="25"/>
      <c r="K103" s="1684"/>
      <c r="L103" s="1684"/>
      <c r="M103" s="1684"/>
      <c r="N103" s="1684"/>
      <c r="O103" s="1684"/>
      <c r="P103" s="1684"/>
      <c r="Q103" s="1684"/>
      <c r="R103" s="1684"/>
      <c r="S103" s="1684"/>
      <c r="T103" s="1684"/>
      <c r="U103" s="1684"/>
    </row>
    <row r="104" spans="1:21" s="69" customFormat="1" ht="10.5" customHeight="1">
      <c r="A104" s="97"/>
      <c r="B104" s="98"/>
      <c r="C104" s="98"/>
      <c r="D104" s="99"/>
      <c r="E104" s="81"/>
      <c r="F104" s="1227"/>
      <c r="G104" s="25"/>
      <c r="H104" s="192"/>
      <c r="I104" s="26"/>
      <c r="J104" s="25"/>
      <c r="K104" s="1684"/>
      <c r="L104" s="1684"/>
      <c r="M104" s="1684"/>
      <c r="N104" s="1684"/>
      <c r="O104" s="1684"/>
      <c r="P104" s="1684"/>
      <c r="Q104" s="1684"/>
      <c r="R104" s="1684"/>
      <c r="S104" s="1684"/>
      <c r="T104" s="1684"/>
      <c r="U104" s="1684"/>
    </row>
    <row r="105" spans="1:21" s="69" customFormat="1" ht="15.75" customHeight="1">
      <c r="A105" s="97"/>
      <c r="B105" s="98"/>
      <c r="C105" s="98"/>
      <c r="D105" s="99"/>
      <c r="E105" s="81"/>
      <c r="F105" s="1227"/>
      <c r="G105" s="293"/>
      <c r="H105" s="293"/>
      <c r="I105" s="26"/>
      <c r="J105" s="25"/>
      <c r="K105" s="1684"/>
      <c r="L105" s="1684"/>
      <c r="M105" s="1684"/>
      <c r="N105" s="1684"/>
      <c r="O105" s="1684"/>
      <c r="P105" s="1684"/>
      <c r="Q105" s="1684"/>
      <c r="R105" s="1684"/>
      <c r="S105" s="1684"/>
      <c r="T105" s="1684"/>
      <c r="U105" s="1684"/>
    </row>
    <row r="106" spans="1:21" s="69" customFormat="1" ht="13.5" customHeight="1">
      <c r="A106" s="97"/>
      <c r="B106" s="98"/>
      <c r="C106" s="98"/>
      <c r="D106" s="99"/>
      <c r="E106" s="81"/>
      <c r="F106" s="1227"/>
      <c r="G106" s="293"/>
      <c r="H106" s="293"/>
      <c r="I106" s="26"/>
      <c r="J106" s="25"/>
      <c r="K106" s="1684"/>
      <c r="L106" s="1684"/>
      <c r="M106" s="1684"/>
      <c r="N106" s="1684"/>
      <c r="O106" s="1684"/>
      <c r="P106" s="1684"/>
      <c r="Q106" s="1684"/>
      <c r="R106" s="1684"/>
      <c r="S106" s="1684"/>
      <c r="T106" s="1684"/>
      <c r="U106" s="1684"/>
    </row>
    <row r="107" spans="1:21" s="69" customFormat="1" ht="9" customHeight="1">
      <c r="A107" s="97"/>
      <c r="B107" s="98"/>
      <c r="C107" s="98"/>
      <c r="D107" s="99"/>
      <c r="E107" s="81"/>
      <c r="F107" s="1227"/>
      <c r="G107" s="293"/>
      <c r="H107" s="293"/>
      <c r="I107" s="26"/>
      <c r="J107" s="25"/>
      <c r="K107" s="1684"/>
      <c r="L107" s="1684"/>
      <c r="M107" s="1684"/>
      <c r="N107" s="1684"/>
      <c r="O107" s="1684"/>
      <c r="P107" s="1684"/>
      <c r="Q107" s="1684"/>
      <c r="R107" s="1684"/>
      <c r="S107" s="1684"/>
      <c r="T107" s="1684"/>
      <c r="U107" s="1684"/>
    </row>
    <row r="108" spans="1:21" s="69" customFormat="1" ht="8.85" customHeight="1">
      <c r="A108" s="97"/>
      <c r="B108" s="98"/>
      <c r="C108" s="98"/>
      <c r="D108" s="99"/>
      <c r="E108" s="81"/>
      <c r="F108" s="1227"/>
      <c r="G108" s="293"/>
      <c r="H108" s="293"/>
      <c r="I108" s="26"/>
      <c r="J108" s="25"/>
      <c r="K108" s="1684"/>
      <c r="L108" s="1684"/>
      <c r="M108" s="1684"/>
      <c r="N108" s="1684"/>
      <c r="O108" s="1684"/>
      <c r="P108" s="1684"/>
      <c r="Q108" s="1684"/>
      <c r="R108" s="1684"/>
      <c r="S108" s="1684"/>
      <c r="T108" s="1684"/>
      <c r="U108" s="1684"/>
    </row>
    <row r="109" spans="1:21" s="69" customFormat="1" ht="8.85" customHeight="1">
      <c r="A109" s="97"/>
      <c r="B109" s="98"/>
      <c r="C109" s="98"/>
      <c r="D109" s="99"/>
      <c r="E109" s="81"/>
      <c r="F109" s="1227"/>
      <c r="G109" s="293"/>
      <c r="H109" s="293"/>
      <c r="I109" s="26"/>
      <c r="J109" s="25"/>
      <c r="K109" s="1684"/>
      <c r="L109" s="1684"/>
      <c r="M109" s="1684"/>
      <c r="N109" s="1684"/>
      <c r="O109" s="1684"/>
      <c r="P109" s="1684"/>
      <c r="Q109" s="1684"/>
      <c r="R109" s="1684"/>
      <c r="S109" s="1684"/>
      <c r="T109" s="1684"/>
      <c r="U109" s="1684"/>
    </row>
    <row r="110" spans="1:21" s="69" customFormat="1" ht="8.85" customHeight="1">
      <c r="A110" s="97"/>
      <c r="B110" s="98"/>
      <c r="C110" s="98"/>
      <c r="D110" s="99"/>
      <c r="E110" s="81"/>
      <c r="F110" s="1227"/>
      <c r="G110" s="293"/>
      <c r="H110" s="293"/>
      <c r="I110" s="26"/>
      <c r="J110" s="25"/>
      <c r="K110" s="1684"/>
      <c r="L110" s="1684"/>
      <c r="M110" s="1684"/>
      <c r="N110" s="1684"/>
      <c r="O110" s="1684"/>
      <c r="P110" s="1684"/>
      <c r="Q110" s="1684"/>
      <c r="R110" s="1684"/>
      <c r="S110" s="1684"/>
      <c r="T110" s="1684"/>
      <c r="U110" s="1684"/>
    </row>
    <row r="111" spans="1:21" s="69" customFormat="1" ht="8.85" customHeight="1">
      <c r="A111" s="97"/>
      <c r="B111" s="98"/>
      <c r="C111" s="98"/>
      <c r="D111" s="99"/>
      <c r="E111" s="81"/>
      <c r="F111" s="1227"/>
      <c r="G111" s="293"/>
      <c r="H111" s="293"/>
      <c r="I111" s="26"/>
      <c r="J111" s="25"/>
      <c r="K111" s="1684"/>
      <c r="L111" s="1684"/>
      <c r="M111" s="1684"/>
      <c r="N111" s="1684"/>
      <c r="O111" s="1684"/>
      <c r="P111" s="1684"/>
      <c r="Q111" s="1684"/>
      <c r="R111" s="1684"/>
      <c r="S111" s="1684"/>
      <c r="T111" s="1684"/>
      <c r="U111" s="1684"/>
    </row>
    <row r="112" spans="1:21" s="69" customFormat="1" ht="8.85" customHeight="1">
      <c r="A112" s="97"/>
      <c r="B112" s="98"/>
      <c r="C112" s="98"/>
      <c r="D112" s="99"/>
      <c r="E112" s="81"/>
      <c r="F112" s="1227"/>
      <c r="G112" s="293"/>
      <c r="H112" s="293"/>
      <c r="I112" s="26"/>
      <c r="J112" s="25"/>
      <c r="K112" s="1684"/>
      <c r="L112" s="1684"/>
      <c r="M112" s="1684"/>
      <c r="N112" s="1684"/>
      <c r="O112" s="1684"/>
      <c r="P112" s="1684"/>
      <c r="Q112" s="1684"/>
      <c r="R112" s="1684"/>
      <c r="S112" s="1684"/>
      <c r="T112" s="1684"/>
      <c r="U112" s="1684"/>
    </row>
    <row r="113" spans="1:21" s="69" customFormat="1" ht="8.85" customHeight="1">
      <c r="A113" s="97"/>
      <c r="B113" s="98"/>
      <c r="C113" s="98"/>
      <c r="D113" s="99"/>
      <c r="E113" s="81"/>
      <c r="F113" s="1227"/>
      <c r="G113" s="293"/>
      <c r="H113" s="293"/>
      <c r="I113" s="26"/>
      <c r="J113" s="25"/>
      <c r="K113" s="1684"/>
      <c r="L113" s="1684"/>
      <c r="M113" s="1684"/>
      <c r="N113" s="1684"/>
      <c r="O113" s="1684"/>
      <c r="P113" s="1684"/>
      <c r="Q113" s="1684"/>
      <c r="R113" s="1684"/>
      <c r="S113" s="1684"/>
      <c r="T113" s="1684"/>
      <c r="U113" s="1684"/>
    </row>
    <row r="114" spans="1:21" s="69" customFormat="1" ht="9.9499999999999993" customHeight="1">
      <c r="A114" s="2"/>
      <c r="B114" s="90"/>
      <c r="C114" s="90"/>
      <c r="D114" s="90"/>
      <c r="E114" s="90"/>
      <c r="F114" s="1228"/>
      <c r="G114" s="430"/>
      <c r="H114" s="430"/>
      <c r="I114" s="430"/>
      <c r="J114" s="430"/>
      <c r="K114" s="1684"/>
      <c r="L114" s="1684"/>
      <c r="M114" s="1684"/>
      <c r="N114" s="1684"/>
      <c r="O114" s="1684"/>
      <c r="P114" s="1684"/>
      <c r="Q114" s="1684"/>
      <c r="R114" s="1684"/>
      <c r="S114" s="1684"/>
      <c r="T114" s="1684"/>
      <c r="U114" s="1684"/>
    </row>
    <row r="115" spans="1:21" s="69" customFormat="1" ht="9.9499999999999993" customHeight="1">
      <c r="A115" s="2"/>
      <c r="B115" s="90"/>
      <c r="C115" s="90"/>
      <c r="D115" s="90"/>
      <c r="E115" s="90"/>
      <c r="F115" s="1228"/>
      <c r="G115" s="430"/>
      <c r="H115" s="430"/>
      <c r="I115" s="430"/>
      <c r="J115" s="430"/>
      <c r="K115" s="1684"/>
      <c r="L115" s="1684"/>
      <c r="M115" s="1684"/>
      <c r="N115" s="1684"/>
      <c r="O115" s="1684"/>
      <c r="P115" s="1684"/>
      <c r="Q115" s="1684"/>
      <c r="R115" s="1684"/>
      <c r="S115" s="1684"/>
      <c r="T115" s="1684"/>
      <c r="U115" s="1684"/>
    </row>
    <row r="116" spans="1:21" s="69" customFormat="1" ht="9.9499999999999993" customHeight="1">
      <c r="A116" s="2"/>
      <c r="B116" s="90"/>
      <c r="C116" s="90"/>
      <c r="D116" s="90"/>
      <c r="E116" s="90"/>
      <c r="F116" s="1228"/>
      <c r="G116" s="430"/>
      <c r="H116" s="430"/>
      <c r="I116" s="430"/>
      <c r="J116" s="430"/>
      <c r="K116" s="1684"/>
      <c r="L116" s="1684"/>
      <c r="M116" s="1684"/>
      <c r="N116" s="1684"/>
      <c r="O116" s="1684"/>
      <c r="P116" s="1684"/>
      <c r="Q116" s="1684"/>
      <c r="R116" s="1684"/>
      <c r="S116" s="1684"/>
      <c r="T116" s="1684"/>
      <c r="U116" s="1684"/>
    </row>
    <row r="117" spans="1:21" s="69" customFormat="1" ht="11.1" customHeight="1">
      <c r="A117" s="2"/>
      <c r="B117" s="90"/>
      <c r="C117" s="90"/>
      <c r="D117" s="90"/>
      <c r="E117" s="90"/>
      <c r="F117" s="1228"/>
      <c r="G117" s="430"/>
      <c r="H117" s="430"/>
      <c r="I117" s="430"/>
      <c r="J117" s="430"/>
      <c r="K117" s="1684"/>
      <c r="L117" s="1684"/>
      <c r="M117" s="1684"/>
      <c r="N117" s="1684"/>
      <c r="O117" s="1684"/>
      <c r="P117" s="1684"/>
      <c r="Q117" s="1684"/>
      <c r="R117" s="1684"/>
      <c r="S117" s="1684"/>
      <c r="T117" s="1684"/>
      <c r="U117" s="1684"/>
    </row>
    <row r="118" spans="1:21" s="69" customFormat="1" ht="11.1" customHeight="1">
      <c r="A118" s="97"/>
      <c r="B118" s="95"/>
      <c r="C118" s="98"/>
      <c r="D118" s="99"/>
      <c r="E118" s="81"/>
      <c r="F118" s="1228"/>
      <c r="G118" s="430"/>
      <c r="H118" s="430"/>
      <c r="I118" s="430"/>
      <c r="J118" s="430"/>
      <c r="K118" s="1684"/>
      <c r="L118" s="1684"/>
      <c r="M118" s="1684"/>
      <c r="N118" s="1684"/>
      <c r="O118" s="1684"/>
      <c r="P118" s="1684"/>
      <c r="Q118" s="1684"/>
      <c r="R118" s="1684"/>
      <c r="S118" s="1684"/>
      <c r="T118" s="1684"/>
      <c r="U118" s="1684"/>
    </row>
    <row r="119" spans="1:21" s="69" customFormat="1" ht="11.1" customHeight="1">
      <c r="A119" s="97"/>
      <c r="B119" s="95"/>
      <c r="C119" s="98"/>
      <c r="D119" s="99"/>
      <c r="E119" s="81"/>
      <c r="F119" s="1228"/>
      <c r="G119" s="430"/>
      <c r="H119" s="430"/>
      <c r="I119" s="430"/>
      <c r="J119" s="430"/>
      <c r="K119" s="1684"/>
      <c r="L119" s="1684"/>
      <c r="M119" s="1684"/>
      <c r="N119" s="1684"/>
      <c r="O119" s="1684"/>
      <c r="P119" s="1684"/>
      <c r="Q119" s="1684"/>
      <c r="R119" s="1684"/>
      <c r="S119" s="1684"/>
      <c r="T119" s="1684"/>
      <c r="U119" s="1684"/>
    </row>
    <row r="120" spans="1:21" s="69" customFormat="1" ht="11.1" customHeight="1">
      <c r="A120" s="97"/>
      <c r="B120" s="98"/>
      <c r="C120" s="95"/>
      <c r="D120" s="99"/>
      <c r="E120" s="81"/>
      <c r="F120" s="1228"/>
      <c r="G120" s="430"/>
      <c r="H120" s="430"/>
      <c r="I120" s="430"/>
      <c r="J120" s="430"/>
      <c r="K120" s="1684"/>
      <c r="L120" s="1684"/>
      <c r="M120" s="1684"/>
      <c r="N120" s="1684"/>
      <c r="O120" s="1684"/>
      <c r="P120" s="1684"/>
      <c r="Q120" s="1684"/>
      <c r="R120" s="1684"/>
      <c r="S120" s="1684"/>
      <c r="T120" s="1684"/>
      <c r="U120" s="1684"/>
    </row>
    <row r="121" spans="1:21" s="430" customFormat="1" ht="11.1" customHeight="1">
      <c r="A121" s="97"/>
      <c r="B121" s="98"/>
      <c r="C121" s="98"/>
      <c r="D121" s="99"/>
      <c r="E121" s="81"/>
      <c r="F121" s="1228"/>
      <c r="K121" s="1684"/>
      <c r="L121" s="1684"/>
      <c r="M121" s="1684"/>
      <c r="N121" s="1684"/>
      <c r="O121" s="1684"/>
      <c r="P121" s="1684"/>
      <c r="Q121" s="1684"/>
      <c r="R121" s="1684"/>
      <c r="S121" s="1684"/>
      <c r="T121" s="1684"/>
      <c r="U121" s="1684"/>
    </row>
    <row r="122" spans="1:21" ht="11.1" customHeight="1">
      <c r="A122" s="97"/>
      <c r="B122" s="95"/>
      <c r="C122" s="98"/>
      <c r="D122" s="99"/>
      <c r="E122" s="81"/>
      <c r="F122" s="1228"/>
      <c r="G122" s="430"/>
      <c r="H122" s="430"/>
      <c r="I122" s="430"/>
      <c r="J122" s="430"/>
    </row>
    <row r="123" spans="1:21" ht="11.1" customHeight="1">
      <c r="A123" s="97"/>
      <c r="B123" s="81"/>
      <c r="C123" s="98"/>
      <c r="D123" s="99"/>
      <c r="E123" s="81"/>
      <c r="F123" s="1228"/>
      <c r="G123" s="430"/>
      <c r="H123" s="430"/>
      <c r="I123" s="430"/>
      <c r="J123" s="430"/>
    </row>
    <row r="124" spans="1:21">
      <c r="A124" s="97"/>
      <c r="B124" s="792"/>
      <c r="C124" s="95"/>
      <c r="D124" s="99"/>
      <c r="E124" s="81"/>
      <c r="F124" s="1228"/>
      <c r="G124" s="430"/>
      <c r="H124" s="430"/>
      <c r="I124" s="430"/>
      <c r="J124" s="430"/>
    </row>
    <row r="125" spans="1:21">
      <c r="F125" s="1228"/>
      <c r="G125" s="430"/>
      <c r="H125" s="430"/>
      <c r="I125" s="430"/>
      <c r="J125" s="430"/>
    </row>
    <row r="126" spans="1:21">
      <c r="A126" s="97"/>
      <c r="B126" s="99"/>
      <c r="C126" s="99"/>
      <c r="D126" s="99"/>
      <c r="E126" s="81"/>
      <c r="F126" s="1228"/>
      <c r="G126" s="430"/>
      <c r="H126" s="430"/>
      <c r="I126" s="430"/>
      <c r="J126" s="430"/>
    </row>
    <row r="127" spans="1:21">
      <c r="A127" s="97"/>
      <c r="B127" s="99"/>
      <c r="C127" s="99"/>
      <c r="D127" s="99"/>
      <c r="E127" s="81"/>
      <c r="G127" s="430"/>
      <c r="H127" s="430"/>
      <c r="I127" s="430"/>
      <c r="J127" s="430"/>
    </row>
    <row r="128" spans="1:21">
      <c r="G128" s="430"/>
      <c r="H128" s="430"/>
      <c r="I128" s="430"/>
      <c r="J128" s="430"/>
    </row>
    <row r="129" spans="1:10">
      <c r="A129" s="97"/>
      <c r="B129" s="2"/>
      <c r="C129" s="2"/>
      <c r="D129" s="99"/>
      <c r="E129" s="81"/>
      <c r="G129" s="430"/>
      <c r="H129" s="430"/>
      <c r="I129" s="430"/>
      <c r="J129" s="430"/>
    </row>
    <row r="130" spans="1:10">
      <c r="A130" s="97"/>
      <c r="B130" s="81"/>
      <c r="C130" s="81"/>
      <c r="D130" s="99"/>
      <c r="E130" s="81"/>
      <c r="G130" s="430"/>
      <c r="H130" s="430"/>
      <c r="I130" s="430"/>
      <c r="J130" s="430"/>
    </row>
    <row r="131" spans="1:10">
      <c r="G131" s="430"/>
      <c r="H131" s="430"/>
      <c r="I131" s="430"/>
      <c r="J131" s="430"/>
    </row>
    <row r="132" spans="1:10">
      <c r="A132" s="97"/>
      <c r="B132" s="81"/>
      <c r="C132" s="81"/>
      <c r="D132" s="99"/>
      <c r="E132" s="81"/>
      <c r="G132" s="430"/>
      <c r="H132" s="430"/>
      <c r="I132" s="430"/>
      <c r="J132" s="430"/>
    </row>
    <row r="133" spans="1:10">
      <c r="A133" s="97"/>
      <c r="B133" s="81"/>
      <c r="C133" s="81"/>
      <c r="D133" s="99"/>
      <c r="E133" s="81"/>
      <c r="G133" s="430"/>
      <c r="H133" s="430"/>
      <c r="I133" s="430"/>
      <c r="J133" s="430"/>
    </row>
    <row r="134" spans="1:10">
      <c r="G134" s="430"/>
      <c r="H134" s="430"/>
      <c r="I134" s="430"/>
      <c r="J134" s="430"/>
    </row>
    <row r="135" spans="1:10">
      <c r="A135" s="97"/>
      <c r="B135" s="81"/>
      <c r="C135" s="98"/>
      <c r="D135" s="99"/>
      <c r="E135" s="81"/>
      <c r="G135" s="430"/>
      <c r="H135" s="430"/>
      <c r="I135" s="430"/>
      <c r="J135" s="430"/>
    </row>
    <row r="136" spans="1:10">
      <c r="A136" s="97"/>
      <c r="B136" s="95"/>
      <c r="C136" s="792"/>
      <c r="D136" s="99"/>
      <c r="E136" s="81"/>
      <c r="G136" s="430"/>
      <c r="H136" s="430"/>
      <c r="I136" s="430"/>
      <c r="J136" s="430"/>
    </row>
    <row r="137" spans="1:10">
      <c r="A137" s="8"/>
      <c r="B137" s="24"/>
      <c r="C137" s="24"/>
      <c r="D137" s="24"/>
      <c r="E137" s="24"/>
      <c r="G137" s="430"/>
      <c r="H137" s="430"/>
      <c r="I137" s="430"/>
      <c r="J137" s="430"/>
    </row>
    <row r="138" spans="1:10">
      <c r="A138" s="8"/>
      <c r="B138" s="24"/>
      <c r="C138" s="24"/>
      <c r="D138" s="24"/>
      <c r="E138" s="24"/>
      <c r="G138" s="430"/>
      <c r="H138" s="430"/>
      <c r="I138" s="430"/>
      <c r="J138" s="430"/>
    </row>
    <row r="139" spans="1:10">
      <c r="C139" s="24"/>
      <c r="D139" s="24"/>
      <c r="E139" s="24"/>
      <c r="G139" s="430"/>
      <c r="H139" s="430"/>
      <c r="I139" s="430"/>
      <c r="J139" s="430"/>
    </row>
    <row r="140" spans="1:10">
      <c r="A140" s="8"/>
      <c r="B140" s="24"/>
      <c r="C140" s="24"/>
      <c r="D140" s="24"/>
      <c r="E140" s="24"/>
      <c r="G140" s="430"/>
      <c r="H140" s="430"/>
      <c r="I140" s="430"/>
      <c r="J140" s="430"/>
    </row>
    <row r="141" spans="1:10">
      <c r="A141" s="8"/>
      <c r="B141" s="24"/>
      <c r="C141" s="24"/>
      <c r="D141" s="24"/>
      <c r="E141" s="24"/>
      <c r="G141" s="430"/>
      <c r="H141" s="430"/>
      <c r="I141" s="430"/>
      <c r="J141" s="430"/>
    </row>
    <row r="142" spans="1:10">
      <c r="A142" s="8"/>
      <c r="B142" s="24"/>
      <c r="C142" s="24"/>
      <c r="D142" s="24"/>
      <c r="E142" s="24"/>
      <c r="G142" s="430"/>
      <c r="H142" s="430"/>
      <c r="I142" s="430"/>
      <c r="J142" s="430"/>
    </row>
  </sheetData>
  <customSheetViews>
    <customSheetView guid="{A374FC54-96E3-45F0-9C12-8450400C12DF}" scale="202">
      <pane xSplit="1" ySplit="3" topLeftCell="B37" activePane="bottomRight" state="frozen"/>
      <selection pane="bottomRight" activeCell="B42" sqref="B42:B44"/>
      <pageMargins left="0.629" right="0.89300000000000002" top="0.511811023622047" bottom="0.511811023622047" header="0" footer="0.51300000000000001"/>
      <pageSetup paperSize="132" firstPageNumber="52" orientation="portrait" useFirstPageNumber="1" r:id="rId1"/>
      <headerFooter>
        <oddFooter>&amp;C&amp;"Times New Roman,Regular"&amp;8&amp;P</oddFooter>
      </headerFooter>
    </customSheetView>
  </customSheetViews>
  <mergeCells count="2">
    <mergeCell ref="A1:E1"/>
    <mergeCell ref="F1:I1"/>
  </mergeCells>
  <phoneticPr fontId="44" type="noConversion"/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 codeName="Sheet24"/>
  <dimension ref="A1:AI78"/>
  <sheetViews>
    <sheetView zoomScale="130" zoomScaleNormal="130" workbookViewId="0">
      <pane xSplit="1" ySplit="4" topLeftCell="B17" activePane="bottomRight" state="frozen"/>
      <selection activeCell="X47" sqref="X47:X50"/>
      <selection pane="topRight" activeCell="X47" sqref="X47:X50"/>
      <selection pane="bottomLeft" activeCell="X47" sqref="X47:X50"/>
      <selection pane="bottomRight" activeCell="Q53" sqref="Q53"/>
    </sheetView>
  </sheetViews>
  <sheetFormatPr defaultColWidth="9.140625" defaultRowHeight="12.75"/>
  <cols>
    <col min="1" max="1" width="8.28515625" style="15" customWidth="1"/>
    <col min="2" max="2" width="8.28515625" style="8" customWidth="1"/>
    <col min="3" max="3" width="9.28515625" style="8" customWidth="1"/>
    <col min="4" max="4" width="7.140625" style="8" customWidth="1"/>
    <col min="5" max="5" width="9.7109375" style="8" customWidth="1"/>
    <col min="6" max="6" width="8.5703125" style="8" customWidth="1"/>
    <col min="7" max="7" width="8.140625" style="8" customWidth="1"/>
    <col min="8" max="8" width="7.85546875" style="8" customWidth="1"/>
    <col min="9" max="9" width="8.42578125" style="8" customWidth="1"/>
    <col min="10" max="10" width="9.5703125" style="8" customWidth="1"/>
    <col min="11" max="11" width="7.140625" style="8" customWidth="1"/>
    <col min="12" max="14" width="7.7109375" style="8" customWidth="1"/>
    <col min="15" max="15" width="9.7109375" style="8" customWidth="1"/>
    <col min="16" max="16" width="7.7109375" style="8" customWidth="1"/>
    <col min="17" max="17" width="10.42578125" style="8" customWidth="1"/>
    <col min="18" max="18" width="9" style="8" customWidth="1"/>
    <col min="19" max="20" width="9.140625" style="1684"/>
    <col min="21" max="22" width="10.42578125" style="1684" bestFit="1" customWidth="1"/>
    <col min="23" max="25" width="9.140625" style="1684"/>
    <col min="26" max="26" width="9.42578125" style="1684" bestFit="1" customWidth="1"/>
    <col min="27" max="28" width="9.140625" style="1684"/>
    <col min="29" max="31" width="10.42578125" style="1684" bestFit="1" customWidth="1"/>
    <col min="32" max="35" width="9.140625" style="1684"/>
    <col min="36" max="16384" width="9.140625" style="8"/>
  </cols>
  <sheetData>
    <row r="1" spans="1:35" s="101" customFormat="1" ht="12.75" customHeight="1">
      <c r="A1" s="2478" t="s">
        <v>631</v>
      </c>
      <c r="B1" s="2478"/>
      <c r="C1" s="2478"/>
      <c r="D1" s="2478"/>
      <c r="E1" s="2478"/>
      <c r="F1" s="2478"/>
      <c r="G1" s="2478"/>
      <c r="H1" s="2478"/>
      <c r="I1" s="2478"/>
      <c r="J1" s="2477" t="s">
        <v>1314</v>
      </c>
      <c r="K1" s="2477"/>
      <c r="L1" s="2477"/>
      <c r="M1" s="2477"/>
      <c r="N1" s="2477"/>
      <c r="O1" s="2477"/>
      <c r="P1" s="2477"/>
      <c r="Q1" s="2479" t="s">
        <v>1069</v>
      </c>
      <c r="R1" s="2479"/>
      <c r="S1" s="1684"/>
      <c r="T1" s="1684"/>
      <c r="U1" s="1684"/>
      <c r="V1" s="1684"/>
      <c r="W1" s="1684"/>
      <c r="X1" s="1684"/>
      <c r="Y1" s="1684"/>
      <c r="Z1" s="1684"/>
      <c r="AA1" s="1684"/>
      <c r="AB1" s="1684"/>
      <c r="AC1" s="1684"/>
      <c r="AD1" s="1684"/>
      <c r="AE1" s="1684"/>
      <c r="AF1" s="1684"/>
      <c r="AG1" s="1684"/>
      <c r="AH1" s="1684"/>
      <c r="AI1" s="1684"/>
    </row>
    <row r="2" spans="1:35" s="19" customFormat="1" ht="10.5" customHeight="1">
      <c r="B2" s="1343"/>
      <c r="C2" s="1343"/>
      <c r="D2" s="1343"/>
      <c r="E2" s="1343"/>
      <c r="F2" s="1343"/>
      <c r="G2" s="1343"/>
      <c r="J2" s="1343"/>
      <c r="K2" s="1343"/>
      <c r="L2" s="1343"/>
      <c r="M2" s="1343"/>
      <c r="N2" s="1343"/>
      <c r="O2" s="1343"/>
      <c r="P2" s="1343"/>
      <c r="Q2" s="2483" t="s">
        <v>24</v>
      </c>
      <c r="R2" s="2483"/>
      <c r="S2" s="1684"/>
      <c r="T2" s="1684"/>
      <c r="U2" s="1684"/>
      <c r="V2" s="1684"/>
      <c r="W2" s="1684"/>
      <c r="X2" s="1684"/>
      <c r="Y2" s="1684"/>
      <c r="Z2" s="1684"/>
      <c r="AA2" s="1684"/>
      <c r="AB2" s="1684"/>
      <c r="AC2" s="1684"/>
      <c r="AD2" s="1684"/>
      <c r="AE2" s="1684"/>
      <c r="AF2" s="1684"/>
      <c r="AG2" s="1684"/>
      <c r="AH2" s="1684"/>
      <c r="AI2" s="1684"/>
    </row>
    <row r="3" spans="1:35" s="103" customFormat="1" ht="12.75" customHeight="1">
      <c r="A3" s="2484" t="s">
        <v>475</v>
      </c>
      <c r="B3" s="2480" t="s">
        <v>1188</v>
      </c>
      <c r="C3" s="2481"/>
      <c r="D3" s="2481"/>
      <c r="E3" s="2481"/>
      <c r="F3" s="2481"/>
      <c r="G3" s="2481"/>
      <c r="H3" s="2481"/>
      <c r="I3" s="2481"/>
      <c r="J3" s="2481"/>
      <c r="K3" s="2481"/>
      <c r="L3" s="2481"/>
      <c r="M3" s="2481"/>
      <c r="N3" s="2481"/>
      <c r="O3" s="2481"/>
      <c r="P3" s="2481"/>
      <c r="Q3" s="2482"/>
      <c r="R3" s="2484" t="s">
        <v>916</v>
      </c>
      <c r="S3" s="1684"/>
      <c r="T3" s="1684"/>
      <c r="U3" s="1684"/>
      <c r="V3" s="1684"/>
      <c r="W3" s="1684"/>
      <c r="X3" s="1684"/>
      <c r="Y3" s="1684"/>
      <c r="Z3" s="1684"/>
      <c r="AA3" s="1684"/>
      <c r="AB3" s="1684"/>
      <c r="AC3" s="1684"/>
      <c r="AD3" s="1684"/>
      <c r="AE3" s="1684"/>
      <c r="AF3" s="1684"/>
      <c r="AG3" s="1684"/>
      <c r="AH3" s="1684"/>
      <c r="AI3" s="1684"/>
    </row>
    <row r="4" spans="1:35" s="70" customFormat="1" ht="39.75" customHeight="1">
      <c r="A4" s="2365"/>
      <c r="B4" s="1689" t="s">
        <v>476</v>
      </c>
      <c r="C4" s="1689" t="s">
        <v>225</v>
      </c>
      <c r="D4" s="1689" t="s">
        <v>226</v>
      </c>
      <c r="E4" s="1689" t="s">
        <v>86</v>
      </c>
      <c r="F4" s="1689" t="s">
        <v>1224</v>
      </c>
      <c r="G4" s="1689" t="s">
        <v>1223</v>
      </c>
      <c r="H4" s="1689" t="s">
        <v>87</v>
      </c>
      <c r="I4" s="1689" t="s">
        <v>504</v>
      </c>
      <c r="J4" s="1689" t="s">
        <v>1222</v>
      </c>
      <c r="K4" s="1689" t="s">
        <v>1225</v>
      </c>
      <c r="L4" s="1689" t="s">
        <v>1226</v>
      </c>
      <c r="M4" s="1689" t="s">
        <v>89</v>
      </c>
      <c r="N4" s="1689" t="s">
        <v>505</v>
      </c>
      <c r="O4" s="1689" t="s">
        <v>231</v>
      </c>
      <c r="P4" s="1689" t="s">
        <v>275</v>
      </c>
      <c r="Q4" s="1689" t="s">
        <v>90</v>
      </c>
      <c r="R4" s="2365"/>
      <c r="S4" s="1684"/>
      <c r="T4" s="1684"/>
      <c r="U4" s="1684"/>
      <c r="V4" s="1684"/>
      <c r="W4" s="1684"/>
      <c r="X4" s="1684"/>
      <c r="Y4" s="1684"/>
      <c r="Z4" s="1684"/>
      <c r="AA4" s="1684"/>
      <c r="AB4" s="1684"/>
      <c r="AC4" s="1684"/>
      <c r="AD4" s="1684"/>
      <c r="AE4" s="1684"/>
      <c r="AF4" s="1684"/>
      <c r="AG4" s="1684"/>
      <c r="AH4" s="1684"/>
      <c r="AI4" s="1684"/>
    </row>
    <row r="5" spans="1:35" s="227" customFormat="1" ht="11.1" customHeight="1">
      <c r="A5" s="516" t="s">
        <v>189</v>
      </c>
      <c r="B5" s="231">
        <v>68061.899999999994</v>
      </c>
      <c r="C5" s="517">
        <v>28715.5</v>
      </c>
      <c r="D5" s="231">
        <v>3595.5</v>
      </c>
      <c r="E5" s="231">
        <v>12054.8</v>
      </c>
      <c r="F5" s="231">
        <v>5342</v>
      </c>
      <c r="G5" s="231">
        <v>28931.4</v>
      </c>
      <c r="H5" s="231">
        <v>79</v>
      </c>
      <c r="I5" s="231">
        <v>8229.2000000000007</v>
      </c>
      <c r="J5" s="231">
        <v>18080.8</v>
      </c>
      <c r="K5" s="231">
        <v>90.6</v>
      </c>
      <c r="L5" s="231">
        <v>1871.8</v>
      </c>
      <c r="M5" s="231">
        <v>7703</v>
      </c>
      <c r="N5" s="231">
        <v>14010.4</v>
      </c>
      <c r="O5" s="231">
        <v>22131.4</v>
      </c>
      <c r="P5" s="231">
        <v>13804.3</v>
      </c>
      <c r="Q5" s="231">
        <v>232701.59999999998</v>
      </c>
      <c r="R5" s="518" t="s">
        <v>189</v>
      </c>
      <c r="S5" s="1684"/>
      <c r="T5" s="1684"/>
      <c r="U5" s="1684"/>
      <c r="V5" s="1684"/>
      <c r="W5" s="1684"/>
      <c r="X5" s="1684"/>
      <c r="Y5" s="1684"/>
      <c r="Z5" s="1684"/>
      <c r="AA5" s="1684"/>
      <c r="AB5" s="1684"/>
      <c r="AC5" s="1684"/>
      <c r="AD5" s="1684"/>
      <c r="AE5" s="1684"/>
      <c r="AF5" s="1684"/>
      <c r="AG5" s="1684"/>
      <c r="AH5" s="1684"/>
      <c r="AI5" s="1684"/>
    </row>
    <row r="6" spans="1:35" s="93" customFormat="1" ht="11.1" customHeight="1">
      <c r="A6" s="395" t="s">
        <v>701</v>
      </c>
      <c r="B6" s="256">
        <v>51238.6</v>
      </c>
      <c r="C6" s="396">
        <v>18987.8</v>
      </c>
      <c r="D6" s="256">
        <v>3588.1</v>
      </c>
      <c r="E6" s="256">
        <v>8631.4</v>
      </c>
      <c r="F6" s="256">
        <v>5117.6000000000004</v>
      </c>
      <c r="G6" s="256">
        <v>24813</v>
      </c>
      <c r="H6" s="256">
        <v>49.8</v>
      </c>
      <c r="I6" s="256">
        <v>4585</v>
      </c>
      <c r="J6" s="256">
        <v>16465.8</v>
      </c>
      <c r="K6" s="256">
        <v>48.8</v>
      </c>
      <c r="L6" s="256">
        <v>1187.3</v>
      </c>
      <c r="M6" s="256">
        <v>8386.2999999999993</v>
      </c>
      <c r="N6" s="256">
        <v>10716.9</v>
      </c>
      <c r="O6" s="256">
        <v>28924.3</v>
      </c>
      <c r="P6" s="256">
        <v>10503.380000000001</v>
      </c>
      <c r="Q6" s="256">
        <v>193244.07999999996</v>
      </c>
      <c r="R6" s="397" t="s">
        <v>701</v>
      </c>
      <c r="S6" s="1684"/>
      <c r="T6" s="1684"/>
      <c r="U6" s="1684"/>
      <c r="V6" s="1684"/>
      <c r="W6" s="1684"/>
      <c r="X6" s="1684"/>
      <c r="Y6" s="1684"/>
      <c r="Z6" s="1684"/>
      <c r="AA6" s="1684"/>
      <c r="AB6" s="1684"/>
      <c r="AC6" s="1684"/>
      <c r="AD6" s="1684"/>
      <c r="AE6" s="1684"/>
      <c r="AF6" s="1684"/>
      <c r="AG6" s="1684"/>
      <c r="AH6" s="1684"/>
      <c r="AI6" s="1684"/>
    </row>
    <row r="7" spans="1:35" s="227" customFormat="1" ht="11.1" customHeight="1">
      <c r="A7" s="516" t="s">
        <v>809</v>
      </c>
      <c r="B7" s="231">
        <v>41710.1</v>
      </c>
      <c r="C7" s="517">
        <v>16994.599999999999</v>
      </c>
      <c r="D7" s="231">
        <v>4130.8</v>
      </c>
      <c r="E7" s="231">
        <v>9567</v>
      </c>
      <c r="F7" s="231">
        <v>8581.6</v>
      </c>
      <c r="G7" s="231">
        <v>29036.7</v>
      </c>
      <c r="H7" s="231">
        <v>49.5</v>
      </c>
      <c r="I7" s="231">
        <v>6418.5</v>
      </c>
      <c r="J7" s="231">
        <v>19754.099999999999</v>
      </c>
      <c r="K7" s="231">
        <v>32.9</v>
      </c>
      <c r="L7" s="231">
        <v>954.1</v>
      </c>
      <c r="M7" s="231">
        <v>9156.1</v>
      </c>
      <c r="N7" s="231">
        <v>10675.2</v>
      </c>
      <c r="O7" s="231">
        <v>27168.2</v>
      </c>
      <c r="P7" s="231">
        <v>13513.613000000001</v>
      </c>
      <c r="Q7" s="231">
        <v>197743.01300000004</v>
      </c>
      <c r="R7" s="518" t="s">
        <v>809</v>
      </c>
      <c r="S7" s="1684"/>
      <c r="T7" s="1684"/>
      <c r="U7" s="1684"/>
      <c r="V7" s="1684"/>
      <c r="W7" s="1684"/>
      <c r="X7" s="1684"/>
      <c r="Y7" s="1684"/>
      <c r="Z7" s="1684"/>
      <c r="AA7" s="1684"/>
      <c r="AB7" s="1684"/>
      <c r="AC7" s="1684"/>
      <c r="AD7" s="1684"/>
      <c r="AE7" s="1684"/>
      <c r="AF7" s="1684"/>
      <c r="AG7" s="1684"/>
      <c r="AH7" s="1684"/>
      <c r="AI7" s="1684"/>
    </row>
    <row r="8" spans="1:35" s="152" customFormat="1" ht="11.1" customHeight="1">
      <c r="A8" s="585" t="s">
        <v>982</v>
      </c>
      <c r="B8" s="261">
        <v>39281.1</v>
      </c>
      <c r="C8" s="261">
        <v>15318.1</v>
      </c>
      <c r="D8" s="261">
        <v>3431.1</v>
      </c>
      <c r="E8" s="261">
        <v>9860.7000000000007</v>
      </c>
      <c r="F8" s="261">
        <v>18418.5</v>
      </c>
      <c r="G8" s="261">
        <v>29365.5</v>
      </c>
      <c r="H8" s="261">
        <v>66.900000000000006</v>
      </c>
      <c r="I8" s="261">
        <v>8245.7999999999993</v>
      </c>
      <c r="J8" s="261">
        <v>30676.799999999999</v>
      </c>
      <c r="K8" s="261">
        <v>50.9</v>
      </c>
      <c r="L8" s="261">
        <v>1002.3</v>
      </c>
      <c r="M8" s="261">
        <v>15672.4</v>
      </c>
      <c r="N8" s="261">
        <v>9972.4</v>
      </c>
      <c r="O8" s="261">
        <v>43364.9</v>
      </c>
      <c r="P8" s="261">
        <v>13898.900999999998</v>
      </c>
      <c r="Q8" s="261">
        <v>238626.30099999998</v>
      </c>
      <c r="R8" s="586" t="s">
        <v>982</v>
      </c>
      <c r="S8" s="1684"/>
      <c r="T8" s="1684"/>
      <c r="U8" s="1684"/>
      <c r="V8" s="1684"/>
      <c r="W8" s="1684"/>
      <c r="X8" s="1684"/>
      <c r="Y8" s="1684"/>
      <c r="Z8" s="1684"/>
      <c r="AA8" s="1684"/>
      <c r="AB8" s="1684"/>
      <c r="AC8" s="1684"/>
      <c r="AD8" s="1684"/>
      <c r="AE8" s="1684"/>
      <c r="AF8" s="1684"/>
      <c r="AG8" s="1684"/>
      <c r="AH8" s="1684"/>
      <c r="AI8" s="1684"/>
    </row>
    <row r="9" spans="1:35" s="152" customFormat="1" ht="11.1" customHeight="1">
      <c r="A9" s="486" t="s">
        <v>1033</v>
      </c>
      <c r="B9" s="231">
        <v>36607.300000000003</v>
      </c>
      <c r="C9" s="231">
        <v>15119.2</v>
      </c>
      <c r="D9" s="231">
        <v>2884.8</v>
      </c>
      <c r="E9" s="231">
        <v>13566.4</v>
      </c>
      <c r="F9" s="231">
        <v>23673.8</v>
      </c>
      <c r="G9" s="231">
        <v>38616.1</v>
      </c>
      <c r="H9" s="231">
        <v>71.099999999999994</v>
      </c>
      <c r="I9" s="231">
        <v>9181.1</v>
      </c>
      <c r="J9" s="231">
        <v>38646.1</v>
      </c>
      <c r="K9" s="231">
        <v>256.60000000000002</v>
      </c>
      <c r="L9" s="231">
        <v>2095.3000000000002</v>
      </c>
      <c r="M9" s="231">
        <v>19413.8</v>
      </c>
      <c r="N9" s="231">
        <v>7528.3</v>
      </c>
      <c r="O9" s="231">
        <v>46505.8</v>
      </c>
      <c r="P9" s="231">
        <v>16021.86</v>
      </c>
      <c r="Q9" s="231">
        <v>270187.56</v>
      </c>
      <c r="R9" s="483" t="s">
        <v>1033</v>
      </c>
      <c r="S9" s="1684"/>
      <c r="T9" s="1684"/>
      <c r="U9" s="1684"/>
      <c r="V9" s="1684"/>
      <c r="W9" s="1684"/>
      <c r="X9" s="1684"/>
      <c r="Y9" s="1684"/>
      <c r="Z9" s="1684"/>
      <c r="AA9" s="1684"/>
      <c r="AB9" s="1684"/>
      <c r="AC9" s="1684"/>
      <c r="AD9" s="1684"/>
      <c r="AE9" s="1684"/>
      <c r="AF9" s="1684"/>
      <c r="AG9" s="1684"/>
      <c r="AH9" s="1684"/>
      <c r="AI9" s="1684"/>
    </row>
    <row r="10" spans="1:35" s="410" customFormat="1" ht="11.1" customHeight="1">
      <c r="A10" s="493" t="s">
        <v>1154</v>
      </c>
      <c r="B10" s="256">
        <v>39555.603000000003</v>
      </c>
      <c r="C10" s="256">
        <v>14567.243</v>
      </c>
      <c r="D10" s="256">
        <v>3028.4430000000002</v>
      </c>
      <c r="E10" s="256">
        <v>15529.823</v>
      </c>
      <c r="F10" s="256">
        <v>24410.638999999999</v>
      </c>
      <c r="G10" s="256">
        <v>35133.678</v>
      </c>
      <c r="H10" s="256">
        <v>79.346999999999994</v>
      </c>
      <c r="I10" s="256">
        <v>8184.8909999999996</v>
      </c>
      <c r="J10" s="256">
        <v>43424.767999999996</v>
      </c>
      <c r="K10" s="256">
        <v>150.286</v>
      </c>
      <c r="L10" s="256">
        <v>1834.0039999999999</v>
      </c>
      <c r="M10" s="256">
        <v>14872.710999999999</v>
      </c>
      <c r="N10" s="256">
        <v>7141.9579999999996</v>
      </c>
      <c r="O10" s="256">
        <v>36209.4</v>
      </c>
      <c r="P10" s="256">
        <v>17324.168000000005</v>
      </c>
      <c r="Q10" s="256">
        <v>261446.962</v>
      </c>
      <c r="R10" s="494" t="s">
        <v>1154</v>
      </c>
      <c r="S10" s="1684"/>
      <c r="T10" s="1684"/>
      <c r="U10" s="1684"/>
      <c r="V10" s="1684"/>
      <c r="W10" s="1684"/>
      <c r="X10" s="1684"/>
      <c r="Y10" s="1684"/>
      <c r="Z10" s="1684"/>
      <c r="AA10" s="1684"/>
      <c r="AB10" s="1684"/>
      <c r="AC10" s="1684"/>
      <c r="AD10" s="1684"/>
      <c r="AE10" s="1684"/>
      <c r="AF10" s="1684"/>
      <c r="AG10" s="1684"/>
      <c r="AH10" s="1684"/>
      <c r="AI10" s="1684"/>
    </row>
    <row r="11" spans="1:35" s="152" customFormat="1" ht="11.1" customHeight="1">
      <c r="A11" s="486" t="s">
        <v>1178</v>
      </c>
      <c r="B11" s="231">
        <v>56058.838000000003</v>
      </c>
      <c r="C11" s="231">
        <v>23379.762999999999</v>
      </c>
      <c r="D11" s="231">
        <v>4250.0659999999998</v>
      </c>
      <c r="E11" s="231">
        <v>19062.416000000001</v>
      </c>
      <c r="F11" s="231">
        <v>24719.441999999999</v>
      </c>
      <c r="G11" s="231">
        <v>40486.985999999997</v>
      </c>
      <c r="H11" s="231">
        <v>154.69</v>
      </c>
      <c r="I11" s="231">
        <v>12634.067999999999</v>
      </c>
      <c r="J11" s="231">
        <v>50185.283000000003</v>
      </c>
      <c r="K11" s="231">
        <v>192.57</v>
      </c>
      <c r="L11" s="231">
        <v>2533.12</v>
      </c>
      <c r="M11" s="231">
        <v>13144.56</v>
      </c>
      <c r="N11" s="231">
        <v>8648.9599999999991</v>
      </c>
      <c r="O11" s="231">
        <v>48484.847999999998</v>
      </c>
      <c r="P11" s="231">
        <v>20005.729999999996</v>
      </c>
      <c r="Q11" s="231">
        <v>323941.33999999997</v>
      </c>
      <c r="R11" s="483" t="s">
        <v>1178</v>
      </c>
      <c r="S11" s="1684"/>
      <c r="T11" s="1684"/>
      <c r="U11" s="1684"/>
      <c r="V11" s="1684"/>
      <c r="W11" s="1684"/>
      <c r="X11" s="1684"/>
      <c r="Y11" s="1684"/>
      <c r="Z11" s="1684"/>
      <c r="AA11" s="1684"/>
      <c r="AB11" s="1684"/>
      <c r="AC11" s="1684"/>
      <c r="AD11" s="1684"/>
      <c r="AE11" s="1684"/>
      <c r="AF11" s="1684"/>
      <c r="AG11" s="1684"/>
      <c r="AH11" s="1684"/>
      <c r="AI11" s="1684"/>
    </row>
    <row r="12" spans="1:35" s="152" customFormat="1" ht="11.1" customHeight="1">
      <c r="A12" s="493" t="s">
        <v>1298</v>
      </c>
      <c r="B12" s="256">
        <v>56693.462</v>
      </c>
      <c r="C12" s="256">
        <v>21015.174999999999</v>
      </c>
      <c r="D12" s="256">
        <v>4080.9349999999999</v>
      </c>
      <c r="E12" s="256">
        <v>19059.028999999999</v>
      </c>
      <c r="F12" s="256">
        <v>27614.215</v>
      </c>
      <c r="G12" s="256">
        <v>39752.845000000001</v>
      </c>
      <c r="H12" s="256">
        <v>194.55099999999999</v>
      </c>
      <c r="I12" s="256">
        <v>11658.181</v>
      </c>
      <c r="J12" s="256">
        <v>52211.76</v>
      </c>
      <c r="K12" s="256">
        <v>215.678</v>
      </c>
      <c r="L12" s="256">
        <v>1912.181</v>
      </c>
      <c r="M12" s="256">
        <v>11754.666999999999</v>
      </c>
      <c r="N12" s="256">
        <v>8559.2569999999996</v>
      </c>
      <c r="O12" s="256">
        <v>54210.046000000002</v>
      </c>
      <c r="P12" s="256">
        <v>17379.812999999998</v>
      </c>
      <c r="Q12" s="256">
        <v>326311.7950000001</v>
      </c>
      <c r="R12" s="494" t="s">
        <v>1298</v>
      </c>
      <c r="S12" s="1684"/>
      <c r="T12" s="1684"/>
      <c r="U12" s="1684"/>
      <c r="V12" s="1684"/>
      <c r="W12" s="1684"/>
      <c r="X12" s="1684"/>
      <c r="Y12" s="1684"/>
      <c r="Z12" s="1684"/>
      <c r="AA12" s="1684"/>
      <c r="AB12" s="1684"/>
      <c r="AC12" s="1684"/>
      <c r="AD12" s="1684"/>
      <c r="AE12" s="1684"/>
      <c r="AF12" s="1684"/>
      <c r="AG12" s="1684"/>
      <c r="AH12" s="1684"/>
      <c r="AI12" s="1684"/>
    </row>
    <row r="13" spans="1:35" s="152" customFormat="1" ht="11.1" customHeight="1">
      <c r="A13" s="486" t="s">
        <v>1407</v>
      </c>
      <c r="B13" s="231">
        <v>59295.131999999998</v>
      </c>
      <c r="C13" s="231">
        <v>18180.312000000002</v>
      </c>
      <c r="D13" s="231">
        <v>3559.5810000000001</v>
      </c>
      <c r="E13" s="231">
        <v>20264.021000000001</v>
      </c>
      <c r="F13" s="231">
        <v>31438.42</v>
      </c>
      <c r="G13" s="231">
        <v>48004.101000000002</v>
      </c>
      <c r="H13" s="231">
        <v>399.38499999999999</v>
      </c>
      <c r="I13" s="231">
        <v>14014.406999999999</v>
      </c>
      <c r="J13" s="231">
        <v>52831.345999999998</v>
      </c>
      <c r="K13" s="231">
        <v>1446.3230000000001</v>
      </c>
      <c r="L13" s="231">
        <v>1783.4949999999999</v>
      </c>
      <c r="M13" s="231">
        <v>9048.1380000000008</v>
      </c>
      <c r="N13" s="231">
        <v>10918.987999999999</v>
      </c>
      <c r="O13" s="231">
        <v>51422.195</v>
      </c>
      <c r="P13" s="231">
        <v>21009.715</v>
      </c>
      <c r="Q13" s="231">
        <v>343615.55900000007</v>
      </c>
      <c r="R13" s="483" t="s">
        <v>1407</v>
      </c>
      <c r="S13" s="1684"/>
      <c r="T13" s="1684"/>
      <c r="U13" s="1684"/>
      <c r="V13" s="1684"/>
      <c r="W13" s="1684"/>
      <c r="X13" s="1684"/>
      <c r="Y13" s="1684"/>
      <c r="Z13" s="1684"/>
      <c r="AA13" s="1684"/>
      <c r="AB13" s="1684"/>
      <c r="AC13" s="1684"/>
      <c r="AD13" s="1684"/>
      <c r="AE13" s="1684"/>
      <c r="AF13" s="1684"/>
      <c r="AG13" s="1684"/>
      <c r="AH13" s="1684"/>
      <c r="AI13" s="1684"/>
    </row>
    <row r="14" spans="1:35" s="152" customFormat="1" ht="11.1" customHeight="1">
      <c r="A14" s="520" t="s">
        <v>1487</v>
      </c>
      <c r="B14" s="256">
        <v>44910.99</v>
      </c>
      <c r="C14" s="256">
        <v>12542.67</v>
      </c>
      <c r="D14" s="256">
        <v>2950.95</v>
      </c>
      <c r="E14" s="256">
        <v>13189.19</v>
      </c>
      <c r="F14" s="256">
        <v>20835.34</v>
      </c>
      <c r="G14" s="256">
        <v>36533.269999999997</v>
      </c>
      <c r="H14" s="256">
        <v>179.79</v>
      </c>
      <c r="I14" s="256">
        <v>9589.89</v>
      </c>
      <c r="J14" s="256">
        <v>46746.83</v>
      </c>
      <c r="K14" s="256">
        <v>962.58</v>
      </c>
      <c r="L14" s="256">
        <v>1304.19</v>
      </c>
      <c r="M14" s="256">
        <v>7189.48</v>
      </c>
      <c r="N14" s="256">
        <v>9150.66</v>
      </c>
      <c r="O14" s="256">
        <v>33674.9</v>
      </c>
      <c r="P14" s="256">
        <v>17815.13</v>
      </c>
      <c r="Q14" s="256">
        <v>257575.86</v>
      </c>
      <c r="R14" s="494" t="s">
        <v>1487</v>
      </c>
      <c r="S14" s="1684"/>
      <c r="T14" s="1684"/>
      <c r="U14" s="1684"/>
      <c r="V14" s="1684"/>
      <c r="W14" s="1684"/>
      <c r="X14" s="1684"/>
      <c r="Y14" s="1684"/>
      <c r="Z14" s="1684"/>
      <c r="AA14" s="1684"/>
      <c r="AB14" s="1684"/>
      <c r="AC14" s="1684"/>
      <c r="AD14" s="1684"/>
      <c r="AE14" s="1684"/>
      <c r="AF14" s="1684"/>
      <c r="AG14" s="1684"/>
      <c r="AH14" s="1684"/>
      <c r="AI14" s="1684"/>
    </row>
    <row r="15" spans="1:35" s="153" customFormat="1" ht="11.1" customHeight="1">
      <c r="A15" s="482" t="s">
        <v>1539</v>
      </c>
      <c r="B15" s="231">
        <v>67962.134999999995</v>
      </c>
      <c r="C15" s="231">
        <v>21199.138999999999</v>
      </c>
      <c r="D15" s="231">
        <v>4620.3789999999999</v>
      </c>
      <c r="E15" s="231">
        <v>60387.34</v>
      </c>
      <c r="F15" s="231">
        <v>38572.572</v>
      </c>
      <c r="G15" s="231">
        <v>46586.7</v>
      </c>
      <c r="H15" s="231">
        <v>198.36600000000001</v>
      </c>
      <c r="I15" s="231">
        <v>14741.874</v>
      </c>
      <c r="J15" s="231">
        <v>63825.078000000001</v>
      </c>
      <c r="K15" s="231">
        <v>1509.154</v>
      </c>
      <c r="L15" s="231">
        <v>2085.1729999999998</v>
      </c>
      <c r="M15" s="231">
        <v>11936.501</v>
      </c>
      <c r="N15" s="231">
        <v>22274.534</v>
      </c>
      <c r="O15" s="231">
        <v>73061.112999999998</v>
      </c>
      <c r="P15" s="231">
        <v>29821.007999999998</v>
      </c>
      <c r="Q15" s="231">
        <v>458781.06599999999</v>
      </c>
      <c r="R15" s="483" t="s">
        <v>1539</v>
      </c>
      <c r="S15" s="1684"/>
      <c r="T15" s="1684"/>
      <c r="U15" s="1684"/>
      <c r="V15" s="1684"/>
      <c r="W15" s="1684"/>
      <c r="X15" s="1684"/>
      <c r="Y15" s="1684"/>
      <c r="Z15" s="1684"/>
      <c r="AA15" s="1684"/>
      <c r="AB15" s="1684"/>
      <c r="AC15" s="1684"/>
      <c r="AD15" s="1684"/>
      <c r="AE15" s="1684"/>
      <c r="AF15" s="1684"/>
      <c r="AG15" s="1684"/>
      <c r="AH15" s="1684"/>
      <c r="AI15" s="1684"/>
    </row>
    <row r="16" spans="1:35" s="153" customFormat="1" ht="11.1" customHeight="1">
      <c r="A16" s="520" t="s">
        <v>1810</v>
      </c>
      <c r="B16" s="256">
        <v>68002.862999999998</v>
      </c>
      <c r="C16" s="256">
        <v>19726.462</v>
      </c>
      <c r="D16" s="256">
        <v>3910.991</v>
      </c>
      <c r="E16" s="256">
        <v>55260.614000000001</v>
      </c>
      <c r="F16" s="256">
        <v>39234.875</v>
      </c>
      <c r="G16" s="256">
        <v>47496.468999999997</v>
      </c>
      <c r="H16" s="256">
        <v>197.02600000000001</v>
      </c>
      <c r="I16" s="256">
        <v>17301.597000000002</v>
      </c>
      <c r="J16" s="256">
        <v>71054.562000000005</v>
      </c>
      <c r="K16" s="256">
        <v>2750.3130000000001</v>
      </c>
      <c r="L16" s="256">
        <v>2611.3119999999999</v>
      </c>
      <c r="M16" s="256">
        <v>11890.557000000001</v>
      </c>
      <c r="N16" s="256">
        <v>16599.167000000001</v>
      </c>
      <c r="O16" s="256">
        <v>59091.580999999998</v>
      </c>
      <c r="P16" s="256">
        <v>41452.983999999997</v>
      </c>
      <c r="Q16" s="256">
        <v>456581.37300000008</v>
      </c>
      <c r="R16" s="494" t="s">
        <v>1810</v>
      </c>
      <c r="S16" s="1684"/>
      <c r="T16" s="1684"/>
      <c r="U16" s="1684"/>
      <c r="V16" s="1684"/>
      <c r="W16" s="1684"/>
      <c r="X16" s="1684"/>
      <c r="Y16" s="1684"/>
      <c r="Z16" s="1684"/>
      <c r="AA16" s="1684"/>
      <c r="AB16" s="1684"/>
      <c r="AC16" s="1684"/>
      <c r="AD16" s="1684"/>
      <c r="AE16" s="1684"/>
      <c r="AF16" s="1684"/>
      <c r="AG16" s="1684"/>
      <c r="AH16" s="1684"/>
      <c r="AI16" s="1684"/>
    </row>
    <row r="17" spans="1:35" s="153" customFormat="1" ht="11.1" customHeight="1">
      <c r="A17" s="507" t="s">
        <v>2056</v>
      </c>
      <c r="B17" s="302">
        <v>67510.316000000006</v>
      </c>
      <c r="C17" s="302">
        <v>18741.575000000001</v>
      </c>
      <c r="D17" s="302">
        <v>3764.1147000000001</v>
      </c>
      <c r="E17" s="302">
        <v>53031.377999999997</v>
      </c>
      <c r="F17" s="302">
        <v>39991.436999999998</v>
      </c>
      <c r="G17" s="302">
        <v>45011.857000000004</v>
      </c>
      <c r="H17" s="302">
        <v>371.97899999999998</v>
      </c>
      <c r="I17" s="302">
        <v>17226.175999999999</v>
      </c>
      <c r="J17" s="302">
        <v>72004.596999999994</v>
      </c>
      <c r="K17" s="302">
        <v>4232.2730000000001</v>
      </c>
      <c r="L17" s="302">
        <v>2931.1860000000001</v>
      </c>
      <c r="M17" s="302">
        <v>12316.058000000001</v>
      </c>
      <c r="N17" s="302">
        <v>18425.573</v>
      </c>
      <c r="O17" s="302">
        <v>58023.178999999996</v>
      </c>
      <c r="P17" s="302">
        <v>42995.048000000003</v>
      </c>
      <c r="Q17" s="302">
        <v>456576.74669999996</v>
      </c>
      <c r="R17" s="508" t="s">
        <v>2056</v>
      </c>
      <c r="S17" s="1684"/>
      <c r="T17" s="1684"/>
      <c r="U17" s="1684"/>
      <c r="V17" s="1684"/>
      <c r="W17" s="1684"/>
      <c r="X17" s="1684"/>
      <c r="Y17" s="1684"/>
      <c r="Z17" s="1684"/>
      <c r="AA17" s="1684"/>
      <c r="AB17" s="1684"/>
      <c r="AC17" s="1684"/>
      <c r="AD17" s="1684"/>
      <c r="AE17" s="1684"/>
      <c r="AF17" s="1684"/>
      <c r="AG17" s="1684"/>
      <c r="AH17" s="1684"/>
      <c r="AI17" s="1684"/>
    </row>
    <row r="18" spans="1:35" s="153" customFormat="1" ht="11.1" customHeight="1">
      <c r="A18" s="554" t="s">
        <v>2188</v>
      </c>
      <c r="B18" s="295">
        <v>61502.328999999998</v>
      </c>
      <c r="C18" s="295">
        <v>10941.03</v>
      </c>
      <c r="D18" s="295">
        <v>3123.9810000000002</v>
      </c>
      <c r="E18" s="295">
        <v>35219.608999999997</v>
      </c>
      <c r="F18" s="295">
        <v>29567.940999999999</v>
      </c>
      <c r="G18" s="295">
        <v>32888.892</v>
      </c>
      <c r="H18" s="295">
        <v>362.428</v>
      </c>
      <c r="I18" s="295">
        <v>12582.056</v>
      </c>
      <c r="J18" s="295">
        <v>60783.798999999999</v>
      </c>
      <c r="K18" s="295">
        <v>3146.34</v>
      </c>
      <c r="L18" s="295">
        <v>2338.8629999999998</v>
      </c>
      <c r="M18" s="295">
        <v>11085.117</v>
      </c>
      <c r="N18" s="295">
        <v>14177.669</v>
      </c>
      <c r="O18" s="295">
        <v>47687.898000000001</v>
      </c>
      <c r="P18" s="295">
        <v>41411.814000000006</v>
      </c>
      <c r="Q18" s="295">
        <v>366819.766</v>
      </c>
      <c r="R18" s="487" t="s">
        <v>2188</v>
      </c>
      <c r="S18" s="1684"/>
      <c r="T18" s="1684"/>
      <c r="U18" s="1684"/>
      <c r="V18" s="1684"/>
      <c r="W18" s="1684"/>
      <c r="X18" s="1684"/>
      <c r="Y18" s="1684"/>
      <c r="Z18" s="1684"/>
      <c r="AA18" s="1684"/>
      <c r="AB18" s="1684"/>
      <c r="AC18" s="1684"/>
      <c r="AD18" s="1684"/>
      <c r="AE18" s="1684"/>
      <c r="AF18" s="1684"/>
      <c r="AG18" s="1684"/>
      <c r="AH18" s="1684"/>
      <c r="AI18" s="1684"/>
    </row>
    <row r="19" spans="1:35" s="152" customFormat="1" ht="11.1" customHeight="1">
      <c r="A19" s="507" t="s">
        <v>2439</v>
      </c>
      <c r="B19" s="302">
        <f>B31</f>
        <v>63348.118000000002</v>
      </c>
      <c r="C19" s="302">
        <f>C31</f>
        <v>8960.7900000000009</v>
      </c>
      <c r="D19" s="302">
        <f t="shared" ref="D19:Q19" si="0">D31</f>
        <v>2827.2130000000002</v>
      </c>
      <c r="E19" s="302">
        <f t="shared" si="0"/>
        <v>25413.777999999998</v>
      </c>
      <c r="F19" s="302">
        <f t="shared" si="0"/>
        <v>26251.279999999999</v>
      </c>
      <c r="G19" s="302">
        <f t="shared" si="0"/>
        <v>28385.826000000001</v>
      </c>
      <c r="H19" s="302">
        <f t="shared" si="0"/>
        <v>235.09299999999999</v>
      </c>
      <c r="I19" s="302">
        <f t="shared" si="0"/>
        <v>10505.183000000001</v>
      </c>
      <c r="J19" s="302">
        <f t="shared" si="0"/>
        <v>52305.732000000004</v>
      </c>
      <c r="K19" s="302">
        <f t="shared" si="0"/>
        <v>1783.6010000000001</v>
      </c>
      <c r="L19" s="302">
        <f t="shared" si="0"/>
        <v>1575.7809999999999</v>
      </c>
      <c r="M19" s="302">
        <f t="shared" si="0"/>
        <v>1649.4880000000001</v>
      </c>
      <c r="N19" s="302">
        <f t="shared" si="0"/>
        <v>11115.54</v>
      </c>
      <c r="O19" s="302">
        <f t="shared" si="0"/>
        <v>56251.911999999997</v>
      </c>
      <c r="P19" s="302">
        <f t="shared" si="0"/>
        <v>41801.317999999999</v>
      </c>
      <c r="Q19" s="302">
        <f t="shared" si="0"/>
        <v>332410.65299999993</v>
      </c>
      <c r="R19" s="508" t="s">
        <v>2439</v>
      </c>
      <c r="S19" s="1684"/>
      <c r="T19" s="1684"/>
      <c r="U19" s="1684"/>
      <c r="V19" s="1684"/>
      <c r="W19" s="1684"/>
      <c r="X19" s="1684"/>
      <c r="Y19" s="1684"/>
      <c r="Z19" s="1684"/>
      <c r="AA19" s="1684"/>
      <c r="AB19" s="1684"/>
      <c r="AC19" s="1684"/>
      <c r="AD19" s="1684"/>
      <c r="AE19" s="1684"/>
      <c r="AF19" s="1684"/>
      <c r="AG19" s="1684"/>
      <c r="AH19" s="1684"/>
      <c r="AI19" s="1684"/>
    </row>
    <row r="20" spans="1:35" s="152" customFormat="1" ht="11.1" customHeight="1">
      <c r="A20" s="520" t="s">
        <v>559</v>
      </c>
      <c r="B20" s="540">
        <v>64135.667999999998</v>
      </c>
      <c r="C20" s="540">
        <v>10559.447</v>
      </c>
      <c r="D20" s="540">
        <v>2951.9490000000001</v>
      </c>
      <c r="E20" s="540">
        <v>33818.101999999999</v>
      </c>
      <c r="F20" s="540">
        <v>29224.21</v>
      </c>
      <c r="G20" s="540">
        <v>31235.287</v>
      </c>
      <c r="H20" s="540">
        <v>377.96199999999999</v>
      </c>
      <c r="I20" s="540">
        <v>12121.950999999999</v>
      </c>
      <c r="J20" s="540">
        <v>60123.77</v>
      </c>
      <c r="K20" s="540">
        <v>2920.0059999999999</v>
      </c>
      <c r="L20" s="540">
        <v>2155.3110000000001</v>
      </c>
      <c r="M20" s="540">
        <v>10557.96</v>
      </c>
      <c r="N20" s="540">
        <v>13810.766</v>
      </c>
      <c r="O20" s="540">
        <v>48404.218999999997</v>
      </c>
      <c r="P20" s="256">
        <f>2089.01+2558.936+3259.767+5334.087+23007.252+4144.825</f>
        <v>40393.876999999993</v>
      </c>
      <c r="Q20" s="256">
        <f t="shared" ref="Q20:Q26" si="1">SUM(B20:P20)</f>
        <v>362790.48499999993</v>
      </c>
      <c r="R20" s="1241" t="s">
        <v>559</v>
      </c>
      <c r="S20" s="1684"/>
      <c r="T20" s="1684"/>
      <c r="U20" s="1684"/>
      <c r="V20" s="1684"/>
      <c r="W20" s="1684"/>
      <c r="X20" s="1684"/>
      <c r="Y20" s="1684"/>
      <c r="Z20" s="1684"/>
      <c r="AA20" s="1684"/>
      <c r="AB20" s="1684"/>
      <c r="AC20" s="1684"/>
      <c r="AD20" s="1684"/>
      <c r="AE20" s="1684"/>
      <c r="AF20" s="1684"/>
      <c r="AG20" s="1684"/>
      <c r="AH20" s="1684"/>
      <c r="AI20" s="1684"/>
    </row>
    <row r="21" spans="1:35" s="152" customFormat="1" ht="11.1" customHeight="1">
      <c r="A21" s="482" t="s">
        <v>560</v>
      </c>
      <c r="B21" s="541">
        <v>75073.558000000005</v>
      </c>
      <c r="C21" s="541">
        <v>13598.210999999999</v>
      </c>
      <c r="D21" s="541">
        <v>3306.5329999999999</v>
      </c>
      <c r="E21" s="541">
        <v>38306.201000000001</v>
      </c>
      <c r="F21" s="541">
        <v>36200.235000000001</v>
      </c>
      <c r="G21" s="541">
        <v>34767.072999999997</v>
      </c>
      <c r="H21" s="541">
        <v>357.35500000000002</v>
      </c>
      <c r="I21" s="541">
        <v>13703.477000000001</v>
      </c>
      <c r="J21" s="541">
        <v>60795.749000000003</v>
      </c>
      <c r="K21" s="541">
        <v>2526.6669999999999</v>
      </c>
      <c r="L21" s="541">
        <v>2185.2629999999999</v>
      </c>
      <c r="M21" s="541">
        <v>12158.49</v>
      </c>
      <c r="N21" s="541">
        <v>15263.13</v>
      </c>
      <c r="O21" s="541">
        <v>64845.267</v>
      </c>
      <c r="P21" s="231">
        <f>2202.77+2560.252+3368.986+5257.213+22746.555+3492.612</f>
        <v>39628.387999999999</v>
      </c>
      <c r="Q21" s="231">
        <f t="shared" si="1"/>
        <v>412715.59700000001</v>
      </c>
      <c r="R21" s="1259" t="s">
        <v>560</v>
      </c>
      <c r="S21" s="1684"/>
      <c r="T21" s="1684"/>
      <c r="U21" s="1684"/>
      <c r="V21" s="1684"/>
      <c r="W21" s="1684"/>
      <c r="X21" s="1684"/>
      <c r="Y21" s="1684"/>
      <c r="Z21" s="1684"/>
      <c r="AA21" s="1684"/>
      <c r="AB21" s="1684"/>
      <c r="AC21" s="1684"/>
      <c r="AD21" s="1684"/>
      <c r="AE21" s="1684"/>
      <c r="AF21" s="1684"/>
      <c r="AG21" s="1684"/>
      <c r="AH21" s="1684"/>
      <c r="AI21" s="1684"/>
    </row>
    <row r="22" spans="1:35" s="152" customFormat="1" ht="11.1" customHeight="1">
      <c r="A22" s="520" t="s">
        <v>554</v>
      </c>
      <c r="B22" s="540">
        <v>75819.95</v>
      </c>
      <c r="C22" s="540">
        <v>11915.909</v>
      </c>
      <c r="D22" s="540">
        <v>2826.77</v>
      </c>
      <c r="E22" s="540">
        <v>32561.758999999998</v>
      </c>
      <c r="F22" s="540">
        <v>33891.19</v>
      </c>
      <c r="G22" s="540">
        <v>31394.887999999999</v>
      </c>
      <c r="H22" s="540">
        <v>414.84100000000001</v>
      </c>
      <c r="I22" s="540">
        <v>12021.911</v>
      </c>
      <c r="J22" s="540">
        <v>58318.669000000002</v>
      </c>
      <c r="K22" s="540">
        <v>2283.913</v>
      </c>
      <c r="L22" s="540">
        <v>1863.3340000000001</v>
      </c>
      <c r="M22" s="540">
        <v>11090.01</v>
      </c>
      <c r="N22" s="540">
        <v>13753.93</v>
      </c>
      <c r="O22" s="540">
        <v>64416.987000000001</v>
      </c>
      <c r="P22" s="256">
        <f>1761.706+2343.288+3038.138+4651.553+22918.89+3586.601</f>
        <v>38300.175999999999</v>
      </c>
      <c r="Q22" s="256">
        <f t="shared" si="1"/>
        <v>390874.23699999996</v>
      </c>
      <c r="R22" s="1241" t="s">
        <v>554</v>
      </c>
      <c r="S22" s="1684"/>
      <c r="T22" s="1684"/>
      <c r="U22" s="1684"/>
      <c r="V22" s="1684"/>
      <c r="W22" s="1684"/>
      <c r="X22" s="1684"/>
      <c r="Y22" s="1684"/>
      <c r="Z22" s="1684"/>
      <c r="AA22" s="1684"/>
      <c r="AB22" s="1684"/>
      <c r="AC22" s="1684"/>
      <c r="AD22" s="1684"/>
      <c r="AE22" s="1684"/>
      <c r="AF22" s="1684"/>
      <c r="AG22" s="1684"/>
      <c r="AH22" s="1684"/>
      <c r="AI22" s="1684"/>
    </row>
    <row r="23" spans="1:35" s="152" customFormat="1" ht="11.1" customHeight="1">
      <c r="A23" s="482" t="s">
        <v>561</v>
      </c>
      <c r="B23" s="541">
        <v>69916.97</v>
      </c>
      <c r="C23" s="541">
        <v>12089.174000000001</v>
      </c>
      <c r="D23" s="541">
        <v>2878.3609999999999</v>
      </c>
      <c r="E23" s="541">
        <v>28873.510999999999</v>
      </c>
      <c r="F23" s="541">
        <v>31772.047999999999</v>
      </c>
      <c r="G23" s="541">
        <v>29152.66</v>
      </c>
      <c r="H23" s="541">
        <v>390.10399999999998</v>
      </c>
      <c r="I23" s="541">
        <v>11074.632</v>
      </c>
      <c r="J23" s="541">
        <v>55414.209000000003</v>
      </c>
      <c r="K23" s="541">
        <v>1834.7739999999999</v>
      </c>
      <c r="L23" s="541">
        <v>1640.9839999999999</v>
      </c>
      <c r="M23" s="541">
        <v>9837.4940000000006</v>
      </c>
      <c r="N23" s="541">
        <v>12452.406999999999</v>
      </c>
      <c r="O23" s="541">
        <v>59258.523000000001</v>
      </c>
      <c r="P23" s="231">
        <f>1576.202+2181.041+2774.039+4246.704+22613.722+3481.042</f>
        <v>36872.75</v>
      </c>
      <c r="Q23" s="231">
        <f t="shared" si="1"/>
        <v>363458.60100000002</v>
      </c>
      <c r="R23" s="1259" t="s">
        <v>561</v>
      </c>
      <c r="S23" s="1684"/>
      <c r="T23" s="1684"/>
      <c r="U23" s="1684"/>
      <c r="V23" s="1684"/>
      <c r="W23" s="1684"/>
      <c r="X23" s="1684"/>
      <c r="Y23" s="1684"/>
      <c r="Z23" s="1684"/>
      <c r="AA23" s="1684"/>
      <c r="AB23" s="1684"/>
      <c r="AC23" s="1684"/>
      <c r="AD23" s="1684"/>
      <c r="AE23" s="1684"/>
      <c r="AF23" s="1684"/>
      <c r="AG23" s="1684"/>
      <c r="AH23" s="1684"/>
      <c r="AI23" s="1684"/>
    </row>
    <row r="24" spans="1:35" s="152" customFormat="1" ht="11.1" customHeight="1">
      <c r="A24" s="520" t="s">
        <v>562</v>
      </c>
      <c r="B24" s="540">
        <v>68672.650999999998</v>
      </c>
      <c r="C24" s="540">
        <v>12405.322</v>
      </c>
      <c r="D24" s="540">
        <v>2789.2910000000002</v>
      </c>
      <c r="E24" s="540">
        <v>28400.405999999999</v>
      </c>
      <c r="F24" s="540">
        <v>30829.15</v>
      </c>
      <c r="G24" s="540">
        <v>30550.804</v>
      </c>
      <c r="H24" s="540">
        <v>343.04</v>
      </c>
      <c r="I24" s="540">
        <v>11245.513000000001</v>
      </c>
      <c r="J24" s="540">
        <v>55351.864999999998</v>
      </c>
      <c r="K24" s="540">
        <v>1865.1420000000001</v>
      </c>
      <c r="L24" s="540">
        <v>1766.1790000000001</v>
      </c>
      <c r="M24" s="540">
        <v>9513.3919999999998</v>
      </c>
      <c r="N24" s="540">
        <v>13284.472</v>
      </c>
      <c r="O24" s="540">
        <v>59084.563000000002</v>
      </c>
      <c r="P24" s="256">
        <f>1634.529+2195.86+2741.339+4085.721+22793.37+3430.119</f>
        <v>36880.938000000002</v>
      </c>
      <c r="Q24" s="256">
        <f t="shared" si="1"/>
        <v>362982.72800000006</v>
      </c>
      <c r="R24" s="1241" t="s">
        <v>562</v>
      </c>
      <c r="S24" s="1684"/>
      <c r="T24" s="1684"/>
      <c r="U24" s="1684"/>
      <c r="V24" s="1684"/>
      <c r="W24" s="1684"/>
      <c r="X24" s="1684"/>
      <c r="Y24" s="1684"/>
      <c r="Z24" s="1684"/>
      <c r="AA24" s="1684"/>
      <c r="AB24" s="1684"/>
      <c r="AC24" s="1684"/>
      <c r="AD24" s="1684"/>
      <c r="AE24" s="1684"/>
      <c r="AF24" s="1684"/>
      <c r="AG24" s="1684"/>
      <c r="AH24" s="1684"/>
      <c r="AI24" s="1684"/>
    </row>
    <row r="25" spans="1:35" s="152" customFormat="1" ht="11.1" customHeight="1">
      <c r="A25" s="482" t="s">
        <v>555</v>
      </c>
      <c r="B25" s="541">
        <v>67644.684999999998</v>
      </c>
      <c r="C25" s="541">
        <v>11322.665999999999</v>
      </c>
      <c r="D25" s="541">
        <v>2772.8560000000002</v>
      </c>
      <c r="E25" s="541">
        <v>28171.013999999999</v>
      </c>
      <c r="F25" s="541">
        <v>31430.341</v>
      </c>
      <c r="G25" s="541">
        <v>29367.057000000001</v>
      </c>
      <c r="H25" s="541">
        <v>318.202</v>
      </c>
      <c r="I25" s="541">
        <v>11386.762000000001</v>
      </c>
      <c r="J25" s="541">
        <v>56031.021000000001</v>
      </c>
      <c r="K25" s="541">
        <v>1806.32</v>
      </c>
      <c r="L25" s="541">
        <v>1747.6869999999999</v>
      </c>
      <c r="M25" s="541">
        <v>9327.5069999999996</v>
      </c>
      <c r="N25" s="541">
        <v>12775.6</v>
      </c>
      <c r="O25" s="541">
        <v>60810.103999999999</v>
      </c>
      <c r="P25" s="231">
        <f>1611.112+2250.94+2631.254+3827.06+23093.552+3406.46</f>
        <v>36820.377999999997</v>
      </c>
      <c r="Q25" s="231">
        <f t="shared" si="1"/>
        <v>361732.19999999995</v>
      </c>
      <c r="R25" s="1259" t="s">
        <v>555</v>
      </c>
      <c r="S25" s="1684"/>
      <c r="T25" s="1684"/>
      <c r="U25" s="1684"/>
      <c r="V25" s="1684"/>
      <c r="W25" s="1684"/>
      <c r="X25" s="1684"/>
      <c r="Y25" s="1684"/>
      <c r="Z25" s="1684"/>
      <c r="AA25" s="1684"/>
      <c r="AB25" s="1684"/>
      <c r="AC25" s="1684"/>
      <c r="AD25" s="1684"/>
      <c r="AE25" s="1684"/>
      <c r="AF25" s="1684"/>
      <c r="AG25" s="1684"/>
      <c r="AH25" s="1684"/>
      <c r="AI25" s="1684"/>
    </row>
    <row r="26" spans="1:35" s="152" customFormat="1" ht="11.1" customHeight="1">
      <c r="A26" s="520" t="s">
        <v>563</v>
      </c>
      <c r="B26" s="540">
        <v>67007.115000000005</v>
      </c>
      <c r="C26" s="540">
        <v>10094.859</v>
      </c>
      <c r="D26" s="540">
        <v>2572.107</v>
      </c>
      <c r="E26" s="540">
        <v>27920.936000000002</v>
      </c>
      <c r="F26" s="540">
        <v>30389.521000000001</v>
      </c>
      <c r="G26" s="540">
        <v>28398.546999999999</v>
      </c>
      <c r="H26" s="540">
        <v>276.142</v>
      </c>
      <c r="I26" s="540">
        <v>11618.625</v>
      </c>
      <c r="J26" s="540">
        <v>53479.502999999997</v>
      </c>
      <c r="K26" s="540">
        <v>1824.6120000000001</v>
      </c>
      <c r="L26" s="540">
        <v>1742.6569999999999</v>
      </c>
      <c r="M26" s="540">
        <v>8642.7620000000006</v>
      </c>
      <c r="N26" s="540">
        <v>12081.218000000001</v>
      </c>
      <c r="O26" s="540">
        <v>62472.851000000002</v>
      </c>
      <c r="P26" s="256">
        <f>1630.134+2189.528+2608.119+3714.914+23314.66+3376.033</f>
        <v>36833.387999999999</v>
      </c>
      <c r="Q26" s="256">
        <f t="shared" si="1"/>
        <v>355354.84299999994</v>
      </c>
      <c r="R26" s="1241" t="s">
        <v>563</v>
      </c>
      <c r="S26" s="1684"/>
      <c r="T26" s="1684"/>
      <c r="U26" s="1684"/>
      <c r="V26" s="1684"/>
      <c r="W26" s="1684"/>
      <c r="X26" s="1684"/>
      <c r="Y26" s="1684"/>
      <c r="Z26" s="1684"/>
      <c r="AA26" s="1684"/>
      <c r="AB26" s="1684"/>
      <c r="AC26" s="1684"/>
      <c r="AD26" s="1684"/>
      <c r="AE26" s="1684"/>
      <c r="AF26" s="1684"/>
      <c r="AG26" s="1684"/>
      <c r="AH26" s="1684"/>
      <c r="AI26" s="1684"/>
    </row>
    <row r="27" spans="1:35" s="152" customFormat="1" ht="11.1" customHeight="1">
      <c r="A27" s="482" t="s">
        <v>564</v>
      </c>
      <c r="B27" s="541">
        <v>68714.92</v>
      </c>
      <c r="C27" s="541">
        <v>10585.65</v>
      </c>
      <c r="D27" s="541">
        <v>2689.07</v>
      </c>
      <c r="E27" s="541">
        <v>28330.74</v>
      </c>
      <c r="F27" s="541">
        <v>29388.97</v>
      </c>
      <c r="G27" s="541">
        <v>29286.46</v>
      </c>
      <c r="H27" s="541">
        <v>281.44</v>
      </c>
      <c r="I27" s="541">
        <v>12438.77</v>
      </c>
      <c r="J27" s="541">
        <v>54384.47</v>
      </c>
      <c r="K27" s="541">
        <v>2197.7199999999998</v>
      </c>
      <c r="L27" s="541">
        <v>1809.31</v>
      </c>
      <c r="M27" s="541">
        <v>8843.49</v>
      </c>
      <c r="N27" s="541">
        <v>12151.17</v>
      </c>
      <c r="O27" s="541">
        <v>61663.37</v>
      </c>
      <c r="P27" s="231">
        <f>1819.19+2201.11+2760.07+3908.74+23194.48+3288.08</f>
        <v>37171.67</v>
      </c>
      <c r="Q27" s="231">
        <f t="shared" ref="Q27" si="2">SUM(B27:P27)</f>
        <v>359937.22</v>
      </c>
      <c r="R27" s="1259" t="s">
        <v>564</v>
      </c>
      <c r="S27" s="1684"/>
      <c r="T27" s="1684"/>
      <c r="U27" s="1684"/>
      <c r="V27" s="1684"/>
      <c r="W27" s="1684"/>
      <c r="X27" s="1684"/>
      <c r="Y27" s="1684"/>
      <c r="Z27" s="1684"/>
      <c r="AA27" s="1684"/>
      <c r="AB27" s="1684"/>
      <c r="AC27" s="1684"/>
      <c r="AD27" s="1684"/>
      <c r="AE27" s="1684"/>
      <c r="AF27" s="1684"/>
      <c r="AG27" s="1684"/>
      <c r="AH27" s="1684"/>
      <c r="AI27" s="1684"/>
    </row>
    <row r="28" spans="1:35" s="152" customFormat="1" ht="11.1" customHeight="1">
      <c r="A28" s="520" t="s">
        <v>556</v>
      </c>
      <c r="B28" s="540">
        <v>67562.947</v>
      </c>
      <c r="C28" s="540">
        <v>10407.355</v>
      </c>
      <c r="D28" s="540">
        <v>2875.33</v>
      </c>
      <c r="E28" s="540">
        <v>27923.345000000001</v>
      </c>
      <c r="F28" s="540">
        <v>28862.963</v>
      </c>
      <c r="G28" s="540">
        <v>28758.235000000001</v>
      </c>
      <c r="H28" s="540">
        <v>265.24799999999999</v>
      </c>
      <c r="I28" s="540">
        <v>11824.209000000001</v>
      </c>
      <c r="J28" s="540">
        <v>55337.750999999997</v>
      </c>
      <c r="K28" s="540">
        <v>2097.2469999999998</v>
      </c>
      <c r="L28" s="540">
        <v>1831.836</v>
      </c>
      <c r="M28" s="540">
        <v>8488.8539999999994</v>
      </c>
      <c r="N28" s="540">
        <v>12156.999</v>
      </c>
      <c r="O28" s="540">
        <v>59445.222000000002</v>
      </c>
      <c r="P28" s="256">
        <f>23074.84+2593.363+2182.046+1919.75+3780.436+3308.283</f>
        <v>36858.718000000001</v>
      </c>
      <c r="Q28" s="256">
        <f t="shared" ref="Q28" si="3">SUM(B28:P28)</f>
        <v>354696.25899999996</v>
      </c>
      <c r="R28" s="1241" t="s">
        <v>556</v>
      </c>
      <c r="S28" s="1684"/>
      <c r="T28" s="1684"/>
      <c r="U28" s="1684"/>
      <c r="V28" s="1684"/>
      <c r="W28" s="1684"/>
      <c r="X28" s="1684"/>
      <c r="Y28" s="1684"/>
      <c r="Z28" s="1684"/>
      <c r="AA28" s="1684"/>
      <c r="AB28" s="1684"/>
      <c r="AC28" s="1684"/>
      <c r="AD28" s="1684"/>
      <c r="AE28" s="1684"/>
      <c r="AF28" s="1684"/>
      <c r="AG28" s="1684"/>
      <c r="AH28" s="1684"/>
      <c r="AI28" s="1684"/>
    </row>
    <row r="29" spans="1:35" s="152" customFormat="1" ht="11.1" customHeight="1">
      <c r="A29" s="482" t="s">
        <v>565</v>
      </c>
      <c r="B29" s="541">
        <v>62308.63</v>
      </c>
      <c r="C29" s="541">
        <v>9168.3189999999995</v>
      </c>
      <c r="D29" s="541">
        <v>2803.1570000000002</v>
      </c>
      <c r="E29" s="541">
        <v>26556.98</v>
      </c>
      <c r="F29" s="541">
        <v>27481.580999999998</v>
      </c>
      <c r="G29" s="541">
        <v>27914.659</v>
      </c>
      <c r="H29" s="541">
        <v>233.023</v>
      </c>
      <c r="I29" s="541">
        <v>10710.51</v>
      </c>
      <c r="J29" s="541">
        <v>53865.341999999997</v>
      </c>
      <c r="K29" s="541">
        <v>1887.595</v>
      </c>
      <c r="L29" s="541">
        <v>1687.3330000000001</v>
      </c>
      <c r="M29" s="541">
        <v>8324.7749999999996</v>
      </c>
      <c r="N29" s="541">
        <v>11284.93</v>
      </c>
      <c r="O29" s="541">
        <v>55850.39</v>
      </c>
      <c r="P29" s="231">
        <f>1754.729+2036.162+2282.783+3431.085+22661.611+3353.492</f>
        <v>35519.862000000001</v>
      </c>
      <c r="Q29" s="231">
        <f t="shared" ref="Q29:Q30" si="4">SUM(B29:P29)</f>
        <v>335597.08600000001</v>
      </c>
      <c r="R29" s="1259" t="s">
        <v>565</v>
      </c>
      <c r="S29" s="1684"/>
      <c r="T29" s="1684"/>
      <c r="U29" s="1684"/>
      <c r="V29" s="1684"/>
      <c r="W29" s="1684"/>
      <c r="X29" s="1684"/>
      <c r="Y29" s="1684"/>
      <c r="Z29" s="1684"/>
      <c r="AA29" s="1684"/>
      <c r="AB29" s="1684"/>
      <c r="AC29" s="1684"/>
      <c r="AD29" s="1684"/>
      <c r="AE29" s="1684"/>
      <c r="AF29" s="1684"/>
      <c r="AG29" s="1684"/>
      <c r="AH29" s="1684"/>
      <c r="AI29" s="1684"/>
    </row>
    <row r="30" spans="1:35" s="152" customFormat="1" ht="11.1" customHeight="1">
      <c r="A30" s="520" t="s">
        <v>566</v>
      </c>
      <c r="B30" s="540">
        <v>59944.561999999998</v>
      </c>
      <c r="C30" s="540">
        <v>8823.1010000000006</v>
      </c>
      <c r="D30" s="540">
        <v>2826.482</v>
      </c>
      <c r="E30" s="540">
        <v>24162.921999999999</v>
      </c>
      <c r="F30" s="540">
        <v>24538.946</v>
      </c>
      <c r="G30" s="540">
        <v>27158.440999999999</v>
      </c>
      <c r="H30" s="540">
        <v>203.00899999999999</v>
      </c>
      <c r="I30" s="540">
        <v>10105.888000000001</v>
      </c>
      <c r="J30" s="540">
        <v>50495.262999999999</v>
      </c>
      <c r="K30" s="540">
        <v>1737.597</v>
      </c>
      <c r="L30" s="540">
        <v>1558.502</v>
      </c>
      <c r="M30" s="540">
        <v>7945.3720000000003</v>
      </c>
      <c r="N30" s="540">
        <v>10583.242</v>
      </c>
      <c r="O30" s="540">
        <v>52714.499000000003</v>
      </c>
      <c r="P30" s="256">
        <f>1589.785+2030.964+2155.782+3230.79+22316.96+3330.44</f>
        <v>34654.720999999998</v>
      </c>
      <c r="Q30" s="256">
        <f t="shared" si="4"/>
        <v>317452.54700000002</v>
      </c>
      <c r="R30" s="1241" t="s">
        <v>566</v>
      </c>
      <c r="S30" s="1684"/>
      <c r="T30" s="1684"/>
      <c r="U30" s="1684"/>
      <c r="V30" s="1684"/>
      <c r="W30" s="1684"/>
      <c r="X30" s="1684"/>
      <c r="Y30" s="1684"/>
      <c r="Z30" s="1684"/>
      <c r="AA30" s="1684"/>
      <c r="AB30" s="1684"/>
      <c r="AC30" s="1684"/>
      <c r="AD30" s="1684"/>
      <c r="AE30" s="1684"/>
      <c r="AF30" s="1684"/>
      <c r="AG30" s="1684"/>
      <c r="AH30" s="1684"/>
      <c r="AI30" s="1684"/>
    </row>
    <row r="31" spans="1:35" s="152" customFormat="1" ht="11.1" customHeight="1">
      <c r="A31" s="482" t="s">
        <v>557</v>
      </c>
      <c r="B31" s="541">
        <v>63348.118000000002</v>
      </c>
      <c r="C31" s="541">
        <v>8960.7900000000009</v>
      </c>
      <c r="D31" s="541">
        <v>2827.2130000000002</v>
      </c>
      <c r="E31" s="541">
        <v>25413.777999999998</v>
      </c>
      <c r="F31" s="541">
        <v>26251.279999999999</v>
      </c>
      <c r="G31" s="541">
        <v>28385.826000000001</v>
      </c>
      <c r="H31" s="541">
        <v>235.09299999999999</v>
      </c>
      <c r="I31" s="541">
        <v>10505.183000000001</v>
      </c>
      <c r="J31" s="541">
        <v>52305.732000000004</v>
      </c>
      <c r="K31" s="541">
        <v>1783.6010000000001</v>
      </c>
      <c r="L31" s="541">
        <v>1575.7809999999999</v>
      </c>
      <c r="M31" s="541">
        <v>1649.4880000000001</v>
      </c>
      <c r="N31" s="541">
        <v>11115.54</v>
      </c>
      <c r="O31" s="541">
        <v>56251.911999999997</v>
      </c>
      <c r="P31" s="231">
        <f>2076.878+8576.321+2255.429+3447.404+22111.656+3333.63</f>
        <v>41801.317999999999</v>
      </c>
      <c r="Q31" s="231">
        <f t="shared" ref="Q31" si="5">SUM(B31:P31)</f>
        <v>332410.65299999993</v>
      </c>
      <c r="R31" s="1259" t="s">
        <v>557</v>
      </c>
      <c r="S31" s="1684"/>
      <c r="T31" s="1684"/>
      <c r="U31" s="1684"/>
      <c r="V31" s="1684"/>
      <c r="W31" s="1684"/>
      <c r="X31" s="1684"/>
      <c r="Y31" s="1684"/>
      <c r="Z31" s="1684"/>
      <c r="AA31" s="1684"/>
      <c r="AB31" s="1684"/>
      <c r="AC31" s="1684"/>
      <c r="AD31" s="1684"/>
      <c r="AE31" s="1684"/>
      <c r="AF31" s="1684"/>
      <c r="AG31" s="1684"/>
      <c r="AH31" s="1684"/>
      <c r="AI31" s="1684"/>
    </row>
    <row r="32" spans="1:35" s="152" customFormat="1" ht="11.1" customHeight="1">
      <c r="A32" s="554" t="s">
        <v>2664</v>
      </c>
      <c r="B32" s="295">
        <f>B44</f>
        <v>74786.48</v>
      </c>
      <c r="C32" s="295">
        <f>C44</f>
        <v>10929.39</v>
      </c>
      <c r="D32" s="295">
        <f t="shared" ref="D32:Q32" si="6">D44</f>
        <v>2696.76</v>
      </c>
      <c r="E32" s="295">
        <f t="shared" si="6"/>
        <v>31072.07</v>
      </c>
      <c r="F32" s="295">
        <f t="shared" si="6"/>
        <v>23271.31</v>
      </c>
      <c r="G32" s="295">
        <f t="shared" si="6"/>
        <v>30364.62</v>
      </c>
      <c r="H32" s="295">
        <f t="shared" si="6"/>
        <v>274.81</v>
      </c>
      <c r="I32" s="295">
        <f t="shared" si="6"/>
        <v>13984.69</v>
      </c>
      <c r="J32" s="295">
        <f t="shared" si="6"/>
        <v>59683.76</v>
      </c>
      <c r="K32" s="295">
        <f t="shared" si="6"/>
        <v>2246.7800000000002</v>
      </c>
      <c r="L32" s="295">
        <f t="shared" si="6"/>
        <v>2700.75</v>
      </c>
      <c r="M32" s="295">
        <f t="shared" si="6"/>
        <v>10080.67</v>
      </c>
      <c r="N32" s="295">
        <f t="shared" si="6"/>
        <v>17554.919999999998</v>
      </c>
      <c r="O32" s="295">
        <f t="shared" si="6"/>
        <v>55075.31</v>
      </c>
      <c r="P32" s="295">
        <f t="shared" si="6"/>
        <v>14225.57</v>
      </c>
      <c r="Q32" s="295">
        <f t="shared" si="6"/>
        <v>348947.89</v>
      </c>
      <c r="R32" s="1375" t="s">
        <v>2664</v>
      </c>
      <c r="S32" s="1684"/>
      <c r="T32" s="1684"/>
      <c r="U32" s="1684"/>
      <c r="V32" s="1684"/>
      <c r="W32" s="1684"/>
      <c r="X32" s="1684"/>
      <c r="Y32" s="1684"/>
      <c r="Z32" s="1684"/>
      <c r="AA32" s="1684"/>
      <c r="AB32" s="1684"/>
      <c r="AC32" s="1684"/>
      <c r="AD32" s="1684"/>
      <c r="AE32" s="1684"/>
      <c r="AF32" s="1684"/>
      <c r="AG32" s="1684"/>
      <c r="AH32" s="1684"/>
      <c r="AI32" s="1684"/>
    </row>
    <row r="33" spans="1:35" s="152" customFormat="1" ht="11.1" customHeight="1">
      <c r="A33" s="482" t="s">
        <v>559</v>
      </c>
      <c r="B33" s="541">
        <v>76262.61</v>
      </c>
      <c r="C33" s="541">
        <v>10535.084999999999</v>
      </c>
      <c r="D33" s="541">
        <v>2938.1010000000001</v>
      </c>
      <c r="E33" s="541">
        <v>28045.84</v>
      </c>
      <c r="F33" s="541">
        <v>28005.81</v>
      </c>
      <c r="G33" s="541">
        <v>30180.981</v>
      </c>
      <c r="H33" s="541">
        <v>256.91000000000003</v>
      </c>
      <c r="I33" s="541">
        <v>11593.308999999999</v>
      </c>
      <c r="J33" s="541">
        <v>58191.127</v>
      </c>
      <c r="K33" s="541">
        <v>1969.934</v>
      </c>
      <c r="L33" s="541">
        <v>1756.2750000000001</v>
      </c>
      <c r="M33" s="541">
        <v>10157.032999999999</v>
      </c>
      <c r="N33" s="541">
        <v>12694.57</v>
      </c>
      <c r="O33" s="541">
        <v>59216.175000000003</v>
      </c>
      <c r="P33" s="231">
        <f>1790.104+2248.789+2410.849+3663.357+22530.19+3295.987</f>
        <v>35939.275999999998</v>
      </c>
      <c r="Q33" s="231">
        <f t="shared" ref="Q33" si="7">SUM(B33:P33)</f>
        <v>367743.03600000002</v>
      </c>
      <c r="R33" s="1259" t="s">
        <v>559</v>
      </c>
      <c r="S33" s="1684"/>
      <c r="T33" s="1684"/>
      <c r="U33" s="1684"/>
      <c r="V33" s="1684"/>
      <c r="W33" s="1684"/>
      <c r="X33" s="1684"/>
      <c r="Y33" s="1684"/>
      <c r="Z33" s="1684"/>
      <c r="AA33" s="1684"/>
      <c r="AB33" s="1684"/>
      <c r="AC33" s="1684"/>
      <c r="AD33" s="1684"/>
      <c r="AE33" s="1684"/>
      <c r="AF33" s="1684"/>
      <c r="AG33" s="1684"/>
      <c r="AH33" s="1684"/>
      <c r="AI33" s="1684"/>
    </row>
    <row r="34" spans="1:35" s="152" customFormat="1" ht="11.1" customHeight="1">
      <c r="A34" s="520" t="s">
        <v>560</v>
      </c>
      <c r="B34" s="540">
        <v>73399.903000000006</v>
      </c>
      <c r="C34" s="540">
        <v>10427.916999999999</v>
      </c>
      <c r="D34" s="540">
        <v>2711.355</v>
      </c>
      <c r="E34" s="540">
        <v>30294.401000000002</v>
      </c>
      <c r="F34" s="540">
        <v>28208.53</v>
      </c>
      <c r="G34" s="540">
        <v>32065.399000000001</v>
      </c>
      <c r="H34" s="540">
        <v>313.61500000000001</v>
      </c>
      <c r="I34" s="540">
        <v>12939.494000000001</v>
      </c>
      <c r="J34" s="540">
        <v>60902.580999999998</v>
      </c>
      <c r="K34" s="540">
        <v>2583.6970000000001</v>
      </c>
      <c r="L34" s="540">
        <v>1947.2950000000001</v>
      </c>
      <c r="M34" s="540">
        <v>10264.605</v>
      </c>
      <c r="N34" s="540">
        <v>14124.08</v>
      </c>
      <c r="O34" s="540">
        <v>59764.864000000001</v>
      </c>
      <c r="P34" s="256">
        <f>1942.781+2378.868+2789.586+4138.264+22491.504+3556.222</f>
        <v>37297.224999999999</v>
      </c>
      <c r="Q34" s="256">
        <f t="shared" ref="Q34:Q35" si="8">SUM(B34:P34)</f>
        <v>377244.96100000001</v>
      </c>
      <c r="R34" s="1241" t="s">
        <v>560</v>
      </c>
      <c r="S34" s="1684"/>
      <c r="T34" s="1684"/>
      <c r="U34" s="1684"/>
      <c r="V34" s="1684"/>
      <c r="W34" s="1684"/>
      <c r="X34" s="1684"/>
      <c r="Y34" s="1684"/>
      <c r="Z34" s="1684"/>
      <c r="AA34" s="1684"/>
      <c r="AB34" s="1684"/>
      <c r="AC34" s="1684"/>
      <c r="AD34" s="1684"/>
      <c r="AE34" s="1684"/>
      <c r="AF34" s="1684"/>
      <c r="AG34" s="1684"/>
      <c r="AH34" s="1684"/>
      <c r="AI34" s="1684"/>
    </row>
    <row r="35" spans="1:35" s="152" customFormat="1" ht="11.1" customHeight="1">
      <c r="A35" s="482" t="s">
        <v>554</v>
      </c>
      <c r="B35" s="541">
        <v>70447.695000000007</v>
      </c>
      <c r="C35" s="541">
        <v>10461.393</v>
      </c>
      <c r="D35" s="541">
        <v>2648.2359999999999</v>
      </c>
      <c r="E35" s="541">
        <v>29060.361000000001</v>
      </c>
      <c r="F35" s="541">
        <v>26327.79</v>
      </c>
      <c r="G35" s="541">
        <v>30877.884999999998</v>
      </c>
      <c r="H35" s="541">
        <v>315.82499999999999</v>
      </c>
      <c r="I35" s="541">
        <v>12769.257</v>
      </c>
      <c r="J35" s="541">
        <v>57834.714999999997</v>
      </c>
      <c r="K35" s="541">
        <v>2507.6469999999999</v>
      </c>
      <c r="L35" s="541">
        <v>2221.748</v>
      </c>
      <c r="M35" s="541">
        <v>9833.8739999999998</v>
      </c>
      <c r="N35" s="541">
        <v>14049.424999999999</v>
      </c>
      <c r="O35" s="541">
        <v>58433.203000000001</v>
      </c>
      <c r="P35" s="231">
        <f>1927.245+2340.386+2757.747+3806.304+22757.574+3648.591</f>
        <v>37237.847000000002</v>
      </c>
      <c r="Q35" s="231">
        <f t="shared" si="8"/>
        <v>365026.90100000001</v>
      </c>
      <c r="R35" s="1259" t="s">
        <v>554</v>
      </c>
      <c r="S35" s="1684"/>
      <c r="T35" s="1684"/>
      <c r="U35" s="1684"/>
      <c r="V35" s="1684"/>
      <c r="W35" s="1684"/>
      <c r="X35" s="1684"/>
      <c r="Y35" s="1684"/>
      <c r="Z35" s="1684"/>
      <c r="AA35" s="1684"/>
      <c r="AB35" s="1684"/>
      <c r="AC35" s="1684"/>
      <c r="AD35" s="1684"/>
      <c r="AE35" s="1684"/>
      <c r="AF35" s="1684"/>
      <c r="AG35" s="1684"/>
      <c r="AH35" s="1684"/>
      <c r="AI35" s="1684"/>
    </row>
    <row r="36" spans="1:35" s="152" customFormat="1" ht="11.1" customHeight="1">
      <c r="A36" s="520" t="s">
        <v>561</v>
      </c>
      <c r="B36" s="540">
        <v>66430.709000000003</v>
      </c>
      <c r="C36" s="540">
        <v>9439.3439999999991</v>
      </c>
      <c r="D36" s="540">
        <v>2557.8090000000002</v>
      </c>
      <c r="E36" s="540">
        <v>26654.064999999999</v>
      </c>
      <c r="F36" s="540">
        <v>25245.087</v>
      </c>
      <c r="G36" s="540">
        <v>28955.447</v>
      </c>
      <c r="H36" s="540">
        <v>278.61099999999999</v>
      </c>
      <c r="I36" s="540">
        <v>11562.067999999999</v>
      </c>
      <c r="J36" s="540">
        <v>56031.082999999999</v>
      </c>
      <c r="K36" s="540">
        <v>2158.9639999999999</v>
      </c>
      <c r="L36" s="540">
        <v>2136.0680000000002</v>
      </c>
      <c r="M36" s="540">
        <v>9366.3320000000003</v>
      </c>
      <c r="N36" s="540">
        <v>13987.852000000001</v>
      </c>
      <c r="O36" s="540">
        <v>56279.974999999999</v>
      </c>
      <c r="P36" s="256">
        <f>1757.679+2258.213+2456.335+3481.073+21892.004+3740.246</f>
        <v>35585.550000000003</v>
      </c>
      <c r="Q36" s="256">
        <f t="shared" ref="Q36:Q37" si="9">SUM(B36:P36)</f>
        <v>346668.96399999998</v>
      </c>
      <c r="R36" s="1241" t="s">
        <v>561</v>
      </c>
      <c r="S36" s="1684"/>
      <c r="T36" s="1684"/>
      <c r="U36" s="1684"/>
      <c r="V36" s="1684"/>
      <c r="W36" s="1684"/>
      <c r="X36" s="1684"/>
      <c r="Y36" s="1684"/>
      <c r="Z36" s="1684"/>
      <c r="AA36" s="1684"/>
      <c r="AB36" s="1684"/>
      <c r="AC36" s="1684"/>
      <c r="AD36" s="1684"/>
      <c r="AE36" s="1684"/>
      <c r="AF36" s="1684"/>
      <c r="AG36" s="1684"/>
      <c r="AH36" s="1684"/>
      <c r="AI36" s="1684"/>
    </row>
    <row r="37" spans="1:35" s="152" customFormat="1" ht="11.1" customHeight="1">
      <c r="A37" s="482" t="s">
        <v>562</v>
      </c>
      <c r="B37" s="541">
        <v>65915.770999999993</v>
      </c>
      <c r="C37" s="541">
        <v>8670.6479999999992</v>
      </c>
      <c r="D37" s="541">
        <v>2357.0569999999998</v>
      </c>
      <c r="E37" s="541">
        <v>26203.120999999999</v>
      </c>
      <c r="F37" s="541">
        <v>24351.274000000001</v>
      </c>
      <c r="G37" s="541">
        <v>28027.168000000001</v>
      </c>
      <c r="H37" s="541">
        <v>270.34899999999999</v>
      </c>
      <c r="I37" s="541">
        <v>11040.745999999999</v>
      </c>
      <c r="J37" s="541">
        <v>53662.908000000003</v>
      </c>
      <c r="K37" s="541">
        <v>2176.0320000000002</v>
      </c>
      <c r="L37" s="541">
        <v>2109.91</v>
      </c>
      <c r="M37" s="541">
        <v>8864.3189999999995</v>
      </c>
      <c r="N37" s="541">
        <v>12609.831</v>
      </c>
      <c r="O37" s="541">
        <v>54934.008999999998</v>
      </c>
      <c r="P37" s="231">
        <f>1722.386+2174.851+2275.823+3349.893+21407.364+3707.288</f>
        <v>34637.605000000003</v>
      </c>
      <c r="Q37" s="231">
        <f t="shared" si="9"/>
        <v>335830.74799999996</v>
      </c>
      <c r="R37" s="1259" t="s">
        <v>562</v>
      </c>
      <c r="S37" s="1684"/>
      <c r="T37" s="1684"/>
      <c r="U37" s="1684"/>
      <c r="V37" s="1684"/>
      <c r="W37" s="1684"/>
      <c r="X37" s="1684"/>
      <c r="Y37" s="1684"/>
      <c r="Z37" s="1684"/>
      <c r="AA37" s="1684"/>
      <c r="AB37" s="1684"/>
      <c r="AC37" s="1684"/>
      <c r="AD37" s="1684"/>
      <c r="AE37" s="1684"/>
      <c r="AF37" s="1684"/>
      <c r="AG37" s="1684"/>
      <c r="AH37" s="1684"/>
      <c r="AI37" s="1684"/>
    </row>
    <row r="38" spans="1:35" s="152" customFormat="1" ht="11.1" customHeight="1">
      <c r="A38" s="520" t="s">
        <v>555</v>
      </c>
      <c r="B38" s="540">
        <v>64690.082000000002</v>
      </c>
      <c r="C38" s="540">
        <v>8197.2530000000006</v>
      </c>
      <c r="D38" s="540">
        <v>2292.0790000000002</v>
      </c>
      <c r="E38" s="540">
        <v>25812.843000000001</v>
      </c>
      <c r="F38" s="540">
        <v>24038.882000000001</v>
      </c>
      <c r="G38" s="540">
        <v>26423.466</v>
      </c>
      <c r="H38" s="540">
        <v>259.86799999999999</v>
      </c>
      <c r="I38" s="540">
        <v>11083.453</v>
      </c>
      <c r="J38" s="540">
        <v>51824.724999999999</v>
      </c>
      <c r="K38" s="540">
        <v>2074.9720000000002</v>
      </c>
      <c r="L38" s="540">
        <v>2029.857</v>
      </c>
      <c r="M38" s="540">
        <v>8288.2199999999993</v>
      </c>
      <c r="N38" s="540">
        <v>12788.026</v>
      </c>
      <c r="O38" s="540">
        <v>51963.12</v>
      </c>
      <c r="P38" s="256">
        <f>1660.375+2090.837+2246.544+3222.833+21094.278+3660.975</f>
        <v>33975.841999999997</v>
      </c>
      <c r="Q38" s="256">
        <f t="shared" ref="Q38:Q47" si="10">SUM(B38:P38)</f>
        <v>325742.68800000002</v>
      </c>
      <c r="R38" s="1241" t="s">
        <v>555</v>
      </c>
      <c r="S38" s="1684"/>
      <c r="T38" s="1684"/>
      <c r="U38" s="1684"/>
      <c r="V38" s="1684"/>
      <c r="W38" s="1684"/>
      <c r="X38" s="1684"/>
      <c r="Y38" s="1684"/>
      <c r="Z38" s="1684"/>
      <c r="AA38" s="1684"/>
      <c r="AB38" s="1684"/>
      <c r="AC38" s="1684"/>
      <c r="AD38" s="1684"/>
      <c r="AE38" s="1684"/>
      <c r="AF38" s="1684"/>
      <c r="AG38" s="1684"/>
      <c r="AH38" s="1684"/>
      <c r="AI38" s="1684"/>
    </row>
    <row r="39" spans="1:35" s="152" customFormat="1" ht="11.1" customHeight="1">
      <c r="A39" s="482" t="s">
        <v>563</v>
      </c>
      <c r="B39" s="541">
        <v>71814.216</v>
      </c>
      <c r="C39" s="541">
        <v>8486.3469999999998</v>
      </c>
      <c r="D39" s="541">
        <v>2281.489</v>
      </c>
      <c r="E39" s="541">
        <v>26265.24</v>
      </c>
      <c r="F39" s="541">
        <v>25122.243999999999</v>
      </c>
      <c r="G39" s="541">
        <v>27674.628000000001</v>
      </c>
      <c r="H39" s="541">
        <v>251.21</v>
      </c>
      <c r="I39" s="541">
        <v>10782.543</v>
      </c>
      <c r="J39" s="541">
        <v>55311.749000000003</v>
      </c>
      <c r="K39" s="541">
        <v>2011.5450000000001</v>
      </c>
      <c r="L39" s="541">
        <v>2119.4899999999998</v>
      </c>
      <c r="M39" s="541">
        <v>8851.8240000000005</v>
      </c>
      <c r="N39" s="541">
        <v>14458.736000000001</v>
      </c>
      <c r="O39" s="541">
        <v>54534.542999999998</v>
      </c>
      <c r="P39" s="231">
        <f>1705.462+2135.994+2288.35+3040.66+21290.772+3751.506</f>
        <v>34212.743999999999</v>
      </c>
      <c r="Q39" s="231">
        <f t="shared" si="10"/>
        <v>344178.54800000001</v>
      </c>
      <c r="R39" s="1259" t="s">
        <v>563</v>
      </c>
      <c r="S39" s="1684"/>
      <c r="T39" s="1684"/>
      <c r="U39" s="1684"/>
      <c r="V39" s="1684"/>
      <c r="W39" s="1684"/>
      <c r="X39" s="1684"/>
      <c r="Y39" s="1684"/>
      <c r="Z39" s="1684"/>
      <c r="AA39" s="1684"/>
      <c r="AB39" s="1684"/>
      <c r="AC39" s="1684"/>
      <c r="AD39" s="1684"/>
      <c r="AE39" s="1684"/>
      <c r="AF39" s="1684"/>
      <c r="AG39" s="1684"/>
      <c r="AH39" s="1684"/>
      <c r="AI39" s="1684"/>
    </row>
    <row r="40" spans="1:35" s="152" customFormat="1" ht="11.1" customHeight="1">
      <c r="A40" s="520" t="s">
        <v>564</v>
      </c>
      <c r="B40" s="540">
        <v>80693.663</v>
      </c>
      <c r="C40" s="540">
        <v>9888.0419999999995</v>
      </c>
      <c r="D40" s="540">
        <v>2472.7179999999998</v>
      </c>
      <c r="E40" s="540">
        <v>28507.201000000001</v>
      </c>
      <c r="F40" s="540">
        <v>26160.023000000001</v>
      </c>
      <c r="G40" s="540">
        <v>28851.429</v>
      </c>
      <c r="H40" s="540">
        <v>256.702</v>
      </c>
      <c r="I40" s="540">
        <v>11891.669</v>
      </c>
      <c r="J40" s="540">
        <v>58439.858999999997</v>
      </c>
      <c r="K40" s="540">
        <v>2268.3890000000001</v>
      </c>
      <c r="L40" s="540">
        <v>2280.277</v>
      </c>
      <c r="M40" s="540">
        <v>9618.1090000000004</v>
      </c>
      <c r="N40" s="540">
        <v>14425.254999999999</v>
      </c>
      <c r="O40" s="540">
        <v>55354.93</v>
      </c>
      <c r="P40" s="256">
        <f>1841.557+2248.643+2536.165+3332.701+21696.257+3672.127</f>
        <v>35327.449999999997</v>
      </c>
      <c r="Q40" s="256">
        <f t="shared" si="10"/>
        <v>366435.71599999996</v>
      </c>
      <c r="R40" s="1241" t="s">
        <v>564</v>
      </c>
      <c r="S40" s="1684"/>
      <c r="T40" s="1684"/>
      <c r="U40" s="1684"/>
      <c r="V40" s="1684"/>
      <c r="W40" s="1684"/>
      <c r="X40" s="1684"/>
      <c r="Y40" s="1684"/>
      <c r="Z40" s="1684"/>
      <c r="AA40" s="1684"/>
      <c r="AB40" s="1684"/>
      <c r="AC40" s="1684"/>
      <c r="AD40" s="1684"/>
      <c r="AE40" s="1684"/>
      <c r="AF40" s="1684"/>
      <c r="AG40" s="1684"/>
      <c r="AH40" s="1684"/>
      <c r="AI40" s="1684"/>
    </row>
    <row r="41" spans="1:35" s="152" customFormat="1" ht="11.1" customHeight="1">
      <c r="A41" s="482" t="s">
        <v>556</v>
      </c>
      <c r="B41" s="541">
        <v>71182.89</v>
      </c>
      <c r="C41" s="541">
        <v>9238.0300000000007</v>
      </c>
      <c r="D41" s="541">
        <v>2555.88</v>
      </c>
      <c r="E41" s="541">
        <v>27062</v>
      </c>
      <c r="F41" s="541">
        <v>22793.97</v>
      </c>
      <c r="G41" s="541">
        <v>27341.84</v>
      </c>
      <c r="H41" s="541">
        <v>232.99</v>
      </c>
      <c r="I41" s="541">
        <v>11663.99</v>
      </c>
      <c r="J41" s="541">
        <v>54948.25</v>
      </c>
      <c r="K41" s="541">
        <v>2137.61</v>
      </c>
      <c r="L41" s="541">
        <v>2278.0500000000002</v>
      </c>
      <c r="M41" s="541">
        <v>9071.9599999999991</v>
      </c>
      <c r="N41" s="541">
        <v>13801.51</v>
      </c>
      <c r="O41" s="541">
        <v>50718.46</v>
      </c>
      <c r="P41" s="231">
        <f>1781.886+2203.034+2485.668+3225.427+21228.023+3778.327</f>
        <v>34702.364999999998</v>
      </c>
      <c r="Q41" s="231">
        <f t="shared" si="10"/>
        <v>339729.79499999998</v>
      </c>
      <c r="R41" s="1259" t="s">
        <v>556</v>
      </c>
      <c r="S41" s="1684"/>
      <c r="T41" s="1684"/>
      <c r="U41" s="1684"/>
      <c r="V41" s="1684"/>
      <c r="W41" s="1684"/>
      <c r="X41" s="1684"/>
      <c r="Y41" s="1684"/>
      <c r="Z41" s="1684"/>
      <c r="AA41" s="1684"/>
      <c r="AB41" s="1684"/>
      <c r="AC41" s="1684"/>
      <c r="AD41" s="1684"/>
      <c r="AE41" s="1684"/>
      <c r="AF41" s="1684"/>
      <c r="AG41" s="1684"/>
      <c r="AH41" s="1684"/>
      <c r="AI41" s="1684"/>
    </row>
    <row r="42" spans="1:35" s="153" customFormat="1" ht="11.1" customHeight="1">
      <c r="A42" s="520" t="s">
        <v>565</v>
      </c>
      <c r="B42" s="540">
        <v>72640.005000000005</v>
      </c>
      <c r="C42" s="540">
        <v>8867.2000000000007</v>
      </c>
      <c r="D42" s="540">
        <v>2543.69</v>
      </c>
      <c r="E42" s="540">
        <v>27404.373</v>
      </c>
      <c r="F42" s="540">
        <v>22726.126</v>
      </c>
      <c r="G42" s="540">
        <v>27737.974999999999</v>
      </c>
      <c r="H42" s="540">
        <v>225.83600000000001</v>
      </c>
      <c r="I42" s="540">
        <v>11959.236999999999</v>
      </c>
      <c r="J42" s="540">
        <v>55383.415000000001</v>
      </c>
      <c r="K42" s="540">
        <v>2089.2829999999999</v>
      </c>
      <c r="L42" s="540">
        <v>2352.8589999999999</v>
      </c>
      <c r="M42" s="540">
        <v>8791.0169999999998</v>
      </c>
      <c r="N42" s="540">
        <v>15312.138000000001</v>
      </c>
      <c r="O42" s="540">
        <v>50564.711000000003</v>
      </c>
      <c r="P42" s="256">
        <v>35170.366999999998</v>
      </c>
      <c r="Q42" s="256">
        <f t="shared" si="10"/>
        <v>343768.23199999996</v>
      </c>
      <c r="R42" s="1241" t="s">
        <v>565</v>
      </c>
      <c r="S42" s="1684"/>
      <c r="T42" s="1684"/>
      <c r="U42" s="1684"/>
      <c r="V42" s="1684"/>
      <c r="W42" s="1684"/>
      <c r="X42" s="1684"/>
      <c r="Y42" s="1684"/>
      <c r="Z42" s="1684"/>
      <c r="AA42" s="1684"/>
      <c r="AB42" s="1684"/>
      <c r="AC42" s="1684"/>
      <c r="AD42" s="1684"/>
      <c r="AE42" s="1684"/>
      <c r="AF42" s="1684"/>
      <c r="AG42" s="1684"/>
      <c r="AH42" s="1684"/>
      <c r="AI42" s="1684"/>
    </row>
    <row r="43" spans="1:35" s="153" customFormat="1" ht="11.1" customHeight="1">
      <c r="A43" s="482" t="s">
        <v>566</v>
      </c>
      <c r="B43" s="541">
        <v>71374.37</v>
      </c>
      <c r="C43" s="541">
        <v>9467.82</v>
      </c>
      <c r="D43" s="541">
        <v>2501.81</v>
      </c>
      <c r="E43" s="541">
        <v>28076.16</v>
      </c>
      <c r="F43" s="541">
        <v>22424.55</v>
      </c>
      <c r="G43" s="541">
        <v>27859.56</v>
      </c>
      <c r="H43" s="541">
        <v>274.11</v>
      </c>
      <c r="I43" s="541">
        <v>12327.06</v>
      </c>
      <c r="J43" s="541">
        <v>56390.37</v>
      </c>
      <c r="K43" s="541">
        <v>2124.71</v>
      </c>
      <c r="L43" s="541">
        <v>2260.06</v>
      </c>
      <c r="M43" s="541">
        <v>9102.6299999999992</v>
      </c>
      <c r="N43" s="541">
        <v>15569.76</v>
      </c>
      <c r="O43" s="541">
        <v>51022.35</v>
      </c>
      <c r="P43" s="231">
        <v>21444.79</v>
      </c>
      <c r="Q43" s="231">
        <f t="shared" si="10"/>
        <v>332220.10999999993</v>
      </c>
      <c r="R43" s="1259" t="s">
        <v>566</v>
      </c>
      <c r="S43" s="1684"/>
      <c r="T43" s="1684"/>
      <c r="U43" s="1684"/>
      <c r="V43" s="1684"/>
      <c r="W43" s="1684"/>
      <c r="X43" s="1684"/>
      <c r="Y43" s="1684"/>
      <c r="Z43" s="1684"/>
      <c r="AA43" s="1684"/>
      <c r="AB43" s="1684"/>
      <c r="AC43" s="1684"/>
      <c r="AD43" s="1684"/>
      <c r="AE43" s="1684"/>
      <c r="AF43" s="1684"/>
      <c r="AG43" s="1684"/>
      <c r="AH43" s="1684"/>
      <c r="AI43" s="1684"/>
    </row>
    <row r="44" spans="1:35" s="153" customFormat="1" ht="11.1" customHeight="1">
      <c r="A44" s="520" t="s">
        <v>557</v>
      </c>
      <c r="B44" s="540">
        <v>74786.48</v>
      </c>
      <c r="C44" s="540">
        <v>10929.39</v>
      </c>
      <c r="D44" s="540">
        <v>2696.76</v>
      </c>
      <c r="E44" s="540">
        <v>31072.07</v>
      </c>
      <c r="F44" s="540">
        <v>23271.31</v>
      </c>
      <c r="G44" s="540">
        <v>30364.62</v>
      </c>
      <c r="H44" s="540">
        <v>274.81</v>
      </c>
      <c r="I44" s="540">
        <v>13984.69</v>
      </c>
      <c r="J44" s="540">
        <v>59683.76</v>
      </c>
      <c r="K44" s="540">
        <v>2246.7800000000002</v>
      </c>
      <c r="L44" s="540">
        <v>2700.75</v>
      </c>
      <c r="M44" s="540">
        <v>10080.67</v>
      </c>
      <c r="N44" s="540">
        <v>17554.919999999998</v>
      </c>
      <c r="O44" s="540">
        <v>55075.31</v>
      </c>
      <c r="P44" s="256">
        <v>14225.57</v>
      </c>
      <c r="Q44" s="256">
        <f t="shared" si="10"/>
        <v>348947.89</v>
      </c>
      <c r="R44" s="1241" t="s">
        <v>557</v>
      </c>
      <c r="S44" s="1684"/>
      <c r="T44" s="1684"/>
      <c r="U44" s="1684"/>
      <c r="V44" s="1684"/>
      <c r="W44" s="1684"/>
      <c r="X44" s="1684"/>
      <c r="Y44" s="1684"/>
      <c r="Z44" s="1684"/>
      <c r="AA44" s="1684"/>
      <c r="AB44" s="1684"/>
      <c r="AC44" s="1684"/>
      <c r="AD44" s="1684"/>
      <c r="AE44" s="1684"/>
      <c r="AF44" s="1684"/>
      <c r="AG44" s="1684"/>
      <c r="AH44" s="1684"/>
      <c r="AI44" s="1684"/>
    </row>
    <row r="45" spans="1:35" s="153" customFormat="1" ht="11.1" customHeight="1">
      <c r="A45" s="507" t="s">
        <v>2930</v>
      </c>
      <c r="B45" s="302"/>
      <c r="C45" s="302"/>
      <c r="D45" s="302"/>
      <c r="E45" s="302"/>
      <c r="F45" s="302"/>
      <c r="G45" s="302"/>
      <c r="H45" s="302"/>
      <c r="I45" s="302"/>
      <c r="J45" s="302"/>
      <c r="K45" s="302"/>
      <c r="L45" s="302"/>
      <c r="M45" s="302"/>
      <c r="N45" s="302"/>
      <c r="O45" s="302"/>
      <c r="P45" s="302"/>
      <c r="Q45" s="302"/>
      <c r="R45" s="508"/>
      <c r="S45" s="1684"/>
      <c r="T45" s="1684"/>
      <c r="U45" s="1684"/>
      <c r="V45" s="1684"/>
      <c r="W45" s="1684"/>
      <c r="X45" s="1684"/>
      <c r="Y45" s="1684"/>
      <c r="Z45" s="1684"/>
      <c r="AA45" s="1684"/>
      <c r="AB45" s="1684"/>
      <c r="AC45" s="1684"/>
      <c r="AD45" s="1684"/>
      <c r="AE45" s="1684"/>
      <c r="AF45" s="1684"/>
      <c r="AG45" s="1684"/>
      <c r="AH45" s="1684"/>
      <c r="AI45" s="1684"/>
    </row>
    <row r="46" spans="1:35" s="153" customFormat="1" ht="11.1" customHeight="1">
      <c r="A46" s="520" t="s">
        <v>559</v>
      </c>
      <c r="B46" s="540">
        <v>75530.17</v>
      </c>
      <c r="C46" s="540">
        <v>11543.89</v>
      </c>
      <c r="D46" s="540">
        <v>3289.39</v>
      </c>
      <c r="E46" s="540">
        <v>31494.04</v>
      </c>
      <c r="F46" s="540">
        <v>25006.81</v>
      </c>
      <c r="G46" s="540">
        <v>31111.78</v>
      </c>
      <c r="H46" s="540">
        <v>292.24</v>
      </c>
      <c r="I46" s="540">
        <v>15496.23</v>
      </c>
      <c r="J46" s="540">
        <v>60038.17</v>
      </c>
      <c r="K46" s="540">
        <v>2288.83</v>
      </c>
      <c r="L46" s="540">
        <v>2777.44</v>
      </c>
      <c r="M46" s="540">
        <v>10368.200000000001</v>
      </c>
      <c r="N46" s="540">
        <v>17866.259999999998</v>
      </c>
      <c r="O46" s="540">
        <v>54806.75</v>
      </c>
      <c r="P46" s="256">
        <v>14217.52</v>
      </c>
      <c r="Q46" s="256">
        <f t="shared" si="10"/>
        <v>356127.72</v>
      </c>
      <c r="R46" s="1241" t="s">
        <v>559</v>
      </c>
      <c r="S46" s="1684"/>
      <c r="T46" s="1684"/>
      <c r="U46" s="1684"/>
      <c r="V46" s="1684"/>
      <c r="W46" s="1684"/>
      <c r="X46" s="1684"/>
      <c r="Y46" s="1684"/>
      <c r="Z46" s="1684"/>
      <c r="AA46" s="1684"/>
      <c r="AB46" s="1684"/>
      <c r="AC46" s="1684"/>
      <c r="AD46" s="1684"/>
      <c r="AE46" s="1684"/>
      <c r="AF46" s="1684"/>
      <c r="AG46" s="1684"/>
      <c r="AH46" s="1684"/>
      <c r="AI46" s="1684"/>
    </row>
    <row r="47" spans="1:35" s="153" customFormat="1" ht="11.25" customHeight="1" thickBot="1">
      <c r="A47" s="1888" t="s">
        <v>560</v>
      </c>
      <c r="B47" s="1639">
        <v>73937.928</v>
      </c>
      <c r="C47" s="1639">
        <v>10582.152</v>
      </c>
      <c r="D47" s="1639">
        <v>2962.3710000000001</v>
      </c>
      <c r="E47" s="1639">
        <v>29956.277999999998</v>
      </c>
      <c r="F47" s="1639">
        <v>23065.073</v>
      </c>
      <c r="G47" s="1639">
        <v>29320.124</v>
      </c>
      <c r="H47" s="1639">
        <v>290.98099999999999</v>
      </c>
      <c r="I47" s="1639">
        <v>14676.322</v>
      </c>
      <c r="J47" s="1639">
        <v>57975.444000000003</v>
      </c>
      <c r="K47" s="1639">
        <v>2129.473</v>
      </c>
      <c r="L47" s="1639">
        <v>2788.107</v>
      </c>
      <c r="M47" s="1639">
        <v>9426.8559999999998</v>
      </c>
      <c r="N47" s="1639">
        <v>17140.706999999999</v>
      </c>
      <c r="O47" s="1639">
        <v>51421.294999999998</v>
      </c>
      <c r="P47" s="633">
        <v>13666.911</v>
      </c>
      <c r="Q47" s="633">
        <f t="shared" si="10"/>
        <v>339340.022</v>
      </c>
      <c r="R47" s="1889" t="s">
        <v>560</v>
      </c>
      <c r="S47" s="1684"/>
      <c r="T47" s="1684"/>
      <c r="U47" s="1684"/>
      <c r="V47" s="1684"/>
      <c r="W47" s="1684"/>
      <c r="X47" s="1684"/>
      <c r="Y47" s="1684"/>
      <c r="Z47" s="1684"/>
      <c r="AA47" s="1684"/>
      <c r="AB47" s="1684"/>
      <c r="AC47" s="1684"/>
      <c r="AD47" s="1684"/>
      <c r="AE47" s="1684"/>
      <c r="AF47" s="1684"/>
      <c r="AG47" s="1684"/>
      <c r="AH47" s="1684"/>
      <c r="AI47" s="1684"/>
    </row>
    <row r="48" spans="1:35" s="153" customFormat="1" ht="11.1" customHeight="1">
      <c r="A48" s="50" t="s">
        <v>1334</v>
      </c>
      <c r="B48" s="583" t="s">
        <v>1295</v>
      </c>
      <c r="C48" s="582"/>
      <c r="D48" s="582"/>
      <c r="E48" s="582"/>
      <c r="F48" s="582"/>
      <c r="G48" s="582"/>
      <c r="H48" s="95"/>
      <c r="I48" s="61"/>
      <c r="K48" s="1710" t="s">
        <v>2177</v>
      </c>
      <c r="L48" s="1710"/>
      <c r="M48" s="1710"/>
      <c r="N48" s="1710"/>
      <c r="O48" s="1710"/>
      <c r="P48" s="1710"/>
      <c r="Q48" s="1710"/>
      <c r="R48" s="1710"/>
      <c r="S48" s="1684"/>
      <c r="T48" s="1684"/>
      <c r="U48" s="1684"/>
      <c r="V48" s="1684"/>
      <c r="W48" s="1684"/>
      <c r="X48" s="1684"/>
      <c r="Y48" s="1684"/>
      <c r="Z48" s="1684"/>
      <c r="AA48" s="1684"/>
      <c r="AB48" s="1684"/>
      <c r="AC48" s="1684"/>
      <c r="AD48" s="1684"/>
      <c r="AE48" s="1684"/>
      <c r="AF48" s="1684"/>
      <c r="AG48" s="1684"/>
      <c r="AH48" s="1684"/>
      <c r="AI48" s="1684"/>
    </row>
    <row r="49" spans="1:18" s="1684" customFormat="1" ht="11.1" customHeight="1">
      <c r="A49" s="40"/>
      <c r="B49" s="2147"/>
      <c r="C49" s="2147"/>
      <c r="D49" s="165"/>
      <c r="E49" s="165"/>
      <c r="F49" s="165"/>
      <c r="G49" s="165"/>
      <c r="H49" s="14"/>
      <c r="I49" s="14"/>
      <c r="J49" s="153"/>
      <c r="K49" s="1653" t="s">
        <v>2176</v>
      </c>
      <c r="L49" s="1653"/>
      <c r="M49" s="1653"/>
      <c r="N49" s="8"/>
      <c r="O49" s="14"/>
      <c r="P49" s="14"/>
      <c r="Q49" s="14"/>
      <c r="R49" s="67"/>
    </row>
    <row r="50" spans="1:18" s="1684" customFormat="1" ht="11.1" customHeight="1"/>
    <row r="51" spans="1:18" s="1684" customFormat="1" ht="25.5" customHeight="1"/>
    <row r="52" spans="1:18" s="1684" customFormat="1" ht="11.1" customHeight="1"/>
    <row r="53" spans="1:18" s="1684" customFormat="1" ht="11.1" customHeight="1"/>
    <row r="54" spans="1:18" s="1684" customFormat="1" ht="9.75" customHeight="1"/>
    <row r="55" spans="1:18" s="1684" customFormat="1" ht="9.75" customHeight="1"/>
    <row r="56" spans="1:18" s="1684" customFormat="1"/>
    <row r="57" spans="1:18" s="1684" customFormat="1"/>
    <row r="58" spans="1:18" s="1684" customFormat="1"/>
    <row r="59" spans="1:18" s="1684" customFormat="1"/>
    <row r="60" spans="1:18" s="1684" customFormat="1"/>
    <row r="61" spans="1:18" s="1684" customFormat="1"/>
    <row r="62" spans="1:18" s="1684" customFormat="1"/>
    <row r="63" spans="1:18" s="1684" customFormat="1"/>
    <row r="64" spans="1:18" s="1684" customFormat="1"/>
    <row r="65" spans="1:18" s="1684" customFormat="1"/>
    <row r="66" spans="1:18" s="1684" customFormat="1"/>
    <row r="67" spans="1:18" s="1684" customFormat="1"/>
    <row r="68" spans="1:18" s="1684" customFormat="1"/>
    <row r="69" spans="1:18" s="1684" customFormat="1"/>
    <row r="70" spans="1:18" s="1684" customFormat="1"/>
    <row r="71" spans="1:18" s="1684" customFormat="1"/>
    <row r="72" spans="1:18" s="1684" customFormat="1"/>
    <row r="73" spans="1:18" s="1684" customFormat="1"/>
    <row r="74" spans="1:18" s="1684" customFormat="1"/>
    <row r="75" spans="1:18" s="1684" customFormat="1"/>
    <row r="76" spans="1:18" s="1684" customFormat="1"/>
    <row r="77" spans="1:18" s="1684" customFormat="1"/>
    <row r="78" spans="1:18">
      <c r="A78" s="1684"/>
      <c r="B78" s="1684"/>
      <c r="C78" s="1684"/>
      <c r="D78" s="1684"/>
      <c r="E78" s="1684"/>
      <c r="F78" s="1684"/>
      <c r="G78" s="1684"/>
      <c r="H78" s="1684"/>
      <c r="I78" s="1684"/>
      <c r="J78" s="1684"/>
      <c r="K78" s="1684"/>
      <c r="L78" s="1684"/>
      <c r="M78" s="1684"/>
      <c r="N78" s="1684"/>
      <c r="O78" s="1684"/>
      <c r="P78" s="1684"/>
      <c r="Q78" s="1684"/>
      <c r="R78" s="1684"/>
    </row>
  </sheetData>
  <customSheetViews>
    <customSheetView guid="{A374FC54-96E3-45F0-9C12-8450400C12DF}" scale="150">
      <pane xSplit="1" ySplit="4" topLeftCell="I37" activePane="bottomRight" state="frozen"/>
      <selection pane="bottomRight" activeCell="Q2" sqref="Q2:R2"/>
      <pageMargins left="0.62992125984252001" right="0.55118110236220497" top="0.511811023622047" bottom="0.31496062992126" header="0.25" footer="0"/>
      <pageSetup paperSize="132" firstPageNumber="54" orientation="portrait" useFirstPageNumber="1" r:id="rId1"/>
      <headerFooter>
        <oddFooter>&amp;C&amp;"Times New Roman,Regular"&amp;8&amp;P</oddFooter>
      </headerFooter>
    </customSheetView>
  </customSheetViews>
  <mergeCells count="8">
    <mergeCell ref="B49:C49"/>
    <mergeCell ref="J1:P1"/>
    <mergeCell ref="A1:I1"/>
    <mergeCell ref="Q1:R1"/>
    <mergeCell ref="B3:Q3"/>
    <mergeCell ref="Q2:R2"/>
    <mergeCell ref="R3:R4"/>
    <mergeCell ref="A3:A4"/>
  </mergeCells>
  <phoneticPr fontId="44" type="noConversion"/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 codeName="Sheet25"/>
  <dimension ref="A1:BT217"/>
  <sheetViews>
    <sheetView topLeftCell="A25" zoomScale="140" zoomScaleNormal="140" zoomScaleSheetLayoutView="120" workbookViewId="0">
      <selection sqref="A1:XFD1048576"/>
    </sheetView>
  </sheetViews>
  <sheetFormatPr defaultColWidth="9.140625" defaultRowHeight="11.25"/>
  <cols>
    <col min="1" max="1" width="4.140625" style="1732" customWidth="1"/>
    <col min="2" max="2" width="14" style="1738" customWidth="1"/>
    <col min="3" max="3" width="5.5703125" style="1732" customWidth="1"/>
    <col min="4" max="4" width="8.28515625" style="1732" customWidth="1"/>
    <col min="5" max="5" width="9" style="1732" customWidth="1"/>
    <col min="6" max="6" width="6" style="1732" customWidth="1"/>
    <col min="7" max="7" width="8.42578125" style="1732" customWidth="1"/>
    <col min="8" max="8" width="7.28515625" style="1738" customWidth="1"/>
    <col min="9" max="9" width="14.28515625" style="1732" customWidth="1"/>
    <col min="10" max="10" width="4.85546875" style="1776" customWidth="1"/>
    <col min="11" max="11" width="13.42578125" style="1755" customWidth="1"/>
    <col min="12" max="12" width="5.42578125" style="1755" customWidth="1"/>
    <col min="13" max="13" width="9.7109375" style="1755" customWidth="1"/>
    <col min="14" max="14" width="10.28515625" style="1755" customWidth="1"/>
    <col min="15" max="15" width="6.85546875" style="1777" customWidth="1"/>
    <col min="16" max="16" width="9" style="1755" customWidth="1"/>
    <col min="17" max="17" width="7.7109375" style="1755" customWidth="1"/>
    <col min="18" max="18" width="11.42578125" style="1776" customWidth="1"/>
    <col min="19" max="19" width="4.28515625" style="1755" customWidth="1"/>
    <col min="20" max="20" width="11.5703125" style="1755" customWidth="1"/>
    <col min="21" max="21" width="5.5703125" style="1755" customWidth="1"/>
    <col min="22" max="22" width="9.85546875" style="1755" customWidth="1"/>
    <col min="23" max="23" width="10.140625" style="1777" customWidth="1"/>
    <col min="24" max="24" width="6.85546875" style="1755" customWidth="1"/>
    <col min="25" max="25" width="10.7109375" style="1755" customWidth="1"/>
    <col min="26" max="26" width="8.42578125" style="1778" customWidth="1"/>
    <col min="27" max="27" width="11.5703125" style="1755" customWidth="1"/>
    <col min="28" max="28" width="3.85546875" style="1755" customWidth="1"/>
    <col min="29" max="29" width="14" style="1755" customWidth="1"/>
    <col min="30" max="30" width="4.5703125" style="1755" customWidth="1"/>
    <col min="31" max="32" width="9.42578125" style="1755" customWidth="1"/>
    <col min="33" max="33" width="6.140625" style="1755" customWidth="1"/>
    <col min="34" max="34" width="8.85546875" style="1755" customWidth="1"/>
    <col min="35" max="35" width="6" style="1755" customWidth="1"/>
    <col min="36" max="36" width="13.7109375" style="1755" customWidth="1"/>
    <col min="37" max="37" width="4.28515625" style="1778" customWidth="1"/>
    <col min="38" max="38" width="12.7109375" style="1755" customWidth="1"/>
    <col min="39" max="39" width="6.140625" style="1755" customWidth="1"/>
    <col min="40" max="40" width="9.28515625" style="1755" customWidth="1"/>
    <col min="41" max="41" width="10" style="1755" customWidth="1"/>
    <col min="42" max="42" width="6.7109375" style="1755" customWidth="1"/>
    <col min="43" max="43" width="9.140625" style="1755"/>
    <col min="44" max="44" width="5.85546875" style="1755" customWidth="1"/>
    <col min="45" max="45" width="15.140625" style="1778" customWidth="1"/>
    <col min="46" max="46" width="4.42578125" style="1755" customWidth="1"/>
    <col min="47" max="47" width="11.85546875" style="1755" customWidth="1"/>
    <col min="48" max="48" width="4.5703125" style="1755" customWidth="1"/>
    <col min="49" max="49" width="8.42578125" style="1755" customWidth="1"/>
    <col min="50" max="50" width="9.5703125" style="1755" customWidth="1"/>
    <col min="51" max="51" width="8.5703125" style="1755" customWidth="1"/>
    <col min="52" max="52" width="9.28515625" style="1755" customWidth="1"/>
    <col min="53" max="53" width="7.85546875" style="1755" customWidth="1"/>
    <col min="54" max="54" width="14.7109375" style="1778" customWidth="1"/>
    <col min="55" max="55" width="4.42578125" style="1755" customWidth="1"/>
    <col min="56" max="56" width="14.5703125" style="1755" customWidth="1"/>
    <col min="57" max="57" width="4.5703125" style="1755" customWidth="1"/>
    <col min="58" max="58" width="8.28515625" style="1755" customWidth="1"/>
    <col min="59" max="59" width="9.140625" style="1755"/>
    <col min="60" max="60" width="9.7109375" style="1755" customWidth="1"/>
    <col min="61" max="61" width="7.5703125" style="1755" customWidth="1"/>
    <col min="62" max="62" width="9.7109375" style="1755" customWidth="1"/>
    <col min="63" max="63" width="11" style="1778" customWidth="1"/>
    <col min="64" max="64" width="3.140625" style="1755" customWidth="1"/>
    <col min="65" max="65" width="14.140625" style="1755" customWidth="1"/>
    <col min="66" max="66" width="6.140625" style="1755" customWidth="1"/>
    <col min="67" max="67" width="8.7109375" style="1755" customWidth="1"/>
    <col min="68" max="68" width="9.5703125" style="1755" customWidth="1"/>
    <col min="69" max="69" width="8.28515625" style="1755" customWidth="1"/>
    <col min="70" max="70" width="7" style="1732" customWidth="1"/>
    <col min="71" max="71" width="8.5703125" style="1732" customWidth="1"/>
    <col min="72" max="72" width="12" style="1732" customWidth="1"/>
    <col min="73" max="16384" width="9.140625" style="1732"/>
  </cols>
  <sheetData>
    <row r="1" spans="1:72" s="1745" customFormat="1" ht="23.25" customHeight="1">
      <c r="A1" s="2492" t="s">
        <v>875</v>
      </c>
      <c r="B1" s="2492"/>
      <c r="C1" s="2492"/>
      <c r="D1" s="2492"/>
      <c r="E1" s="2492"/>
      <c r="F1" s="2492"/>
      <c r="G1" s="2492"/>
      <c r="H1" s="2492"/>
      <c r="I1" s="2492"/>
      <c r="J1" s="2493" t="s">
        <v>877</v>
      </c>
      <c r="K1" s="2493"/>
      <c r="L1" s="2493"/>
      <c r="M1" s="2493"/>
      <c r="N1" s="2493"/>
      <c r="O1" s="1825"/>
      <c r="P1" s="2494" t="s">
        <v>1546</v>
      </c>
      <c r="Q1" s="2494"/>
      <c r="R1" s="2494"/>
      <c r="W1" s="2494" t="s">
        <v>876</v>
      </c>
      <c r="X1" s="2494"/>
      <c r="Y1" s="2494"/>
      <c r="Z1" s="2494"/>
      <c r="AA1" s="2494"/>
      <c r="AB1" s="2493" t="s">
        <v>877</v>
      </c>
      <c r="AC1" s="2493"/>
      <c r="AD1" s="2493"/>
      <c r="AE1" s="2493"/>
      <c r="AF1" s="2493"/>
      <c r="AG1" s="1825"/>
      <c r="AH1" s="1825"/>
      <c r="AI1" s="2495" t="s">
        <v>1547</v>
      </c>
      <c r="AJ1" s="2495"/>
      <c r="AK1" s="1768"/>
      <c r="AL1" s="1825"/>
      <c r="AM1" s="1825"/>
      <c r="AN1" s="1825"/>
      <c r="AO1" s="1825"/>
      <c r="AP1" s="2494" t="s">
        <v>876</v>
      </c>
      <c r="AQ1" s="2494"/>
      <c r="AR1" s="2494"/>
      <c r="AS1" s="2494"/>
      <c r="AT1" s="2493" t="s">
        <v>877</v>
      </c>
      <c r="AU1" s="2493"/>
      <c r="AV1" s="2493"/>
      <c r="AW1" s="2493"/>
      <c r="AX1" s="2493"/>
      <c r="AY1" s="2494" t="s">
        <v>1547</v>
      </c>
      <c r="AZ1" s="2494"/>
      <c r="BA1" s="2494"/>
      <c r="BB1" s="2494"/>
      <c r="BC1" s="1825"/>
      <c r="BD1" s="1825"/>
      <c r="BE1" s="1825"/>
      <c r="BF1" s="1825"/>
      <c r="BG1" s="2494" t="s">
        <v>876</v>
      </c>
      <c r="BH1" s="2494"/>
      <c r="BI1" s="2494"/>
      <c r="BJ1" s="2494"/>
      <c r="BK1" s="1825"/>
      <c r="BL1" s="2493" t="s">
        <v>877</v>
      </c>
      <c r="BM1" s="2493"/>
      <c r="BN1" s="2493"/>
      <c r="BO1" s="2493"/>
      <c r="BP1" s="2493"/>
      <c r="BQ1" s="1825"/>
      <c r="BR1" s="2494" t="s">
        <v>1070</v>
      </c>
      <c r="BS1" s="2494"/>
      <c r="BT1" s="2494"/>
    </row>
    <row r="2" spans="1:72" s="1745" customFormat="1" ht="13.5" customHeight="1">
      <c r="A2" s="1924"/>
      <c r="B2" s="1925"/>
      <c r="C2" s="1924"/>
      <c r="D2" s="1924"/>
      <c r="E2" s="1924"/>
      <c r="F2" s="1924"/>
      <c r="G2" s="1924"/>
      <c r="H2" s="1924"/>
      <c r="I2" s="1924"/>
      <c r="J2" s="1926"/>
      <c r="K2" s="1926"/>
      <c r="L2" s="1926"/>
      <c r="M2" s="1926"/>
      <c r="N2" s="1926"/>
      <c r="O2" s="1927"/>
      <c r="P2" s="1928"/>
      <c r="Q2" s="1928"/>
      <c r="R2" s="1929" t="s">
        <v>2914</v>
      </c>
      <c r="S2" s="844"/>
      <c r="T2" s="844"/>
      <c r="U2" s="844"/>
      <c r="V2" s="844"/>
      <c r="W2" s="844"/>
      <c r="X2" s="1927"/>
      <c r="Y2" s="1930"/>
      <c r="Z2" s="1930"/>
      <c r="AA2" s="1930"/>
      <c r="AB2" s="1926"/>
      <c r="AC2" s="1926"/>
      <c r="AD2" s="1926"/>
      <c r="AE2" s="1926"/>
      <c r="AF2" s="1926"/>
      <c r="AG2" s="1927"/>
      <c r="AH2" s="1927"/>
      <c r="AI2" s="1928"/>
      <c r="AJ2" s="1929" t="s">
        <v>1548</v>
      </c>
      <c r="AK2" s="1931"/>
      <c r="AL2" s="1927"/>
      <c r="AM2" s="1927"/>
      <c r="AN2" s="1927"/>
      <c r="AO2" s="1927"/>
      <c r="AP2" s="1930"/>
      <c r="AQ2" s="1930"/>
      <c r="AR2" s="1930"/>
      <c r="AS2" s="1930"/>
      <c r="AT2" s="1926"/>
      <c r="AU2" s="1926"/>
      <c r="AV2" s="1926"/>
      <c r="AW2" s="1926"/>
      <c r="AX2" s="1926"/>
      <c r="AY2" s="1927"/>
      <c r="AZ2" s="1927"/>
      <c r="BA2" s="1930"/>
      <c r="BB2" s="1932" t="s">
        <v>24</v>
      </c>
      <c r="BC2" s="1927"/>
      <c r="BD2" s="1927"/>
      <c r="BE2" s="1927"/>
      <c r="BF2" s="1927"/>
      <c r="BG2" s="1927"/>
      <c r="BH2" s="1930"/>
      <c r="BI2" s="1930"/>
      <c r="BJ2" s="1930"/>
      <c r="BK2" s="1930"/>
      <c r="BL2" s="1926"/>
      <c r="BM2" s="1926"/>
      <c r="BN2" s="1926"/>
      <c r="BO2" s="1926"/>
      <c r="BP2" s="1926"/>
      <c r="BQ2" s="1927"/>
      <c r="BR2" s="1930"/>
      <c r="BS2" s="2498" t="s">
        <v>24</v>
      </c>
      <c r="BT2" s="2498"/>
    </row>
    <row r="3" spans="1:72" s="199" customFormat="1" ht="17.25" customHeight="1">
      <c r="A3" s="2487" t="s">
        <v>1549</v>
      </c>
      <c r="B3" s="2487" t="s">
        <v>1550</v>
      </c>
      <c r="C3" s="2487" t="s">
        <v>1551</v>
      </c>
      <c r="D3" s="2489" t="s">
        <v>1552</v>
      </c>
      <c r="E3" s="2489" t="s">
        <v>1553</v>
      </c>
      <c r="F3" s="2489" t="s">
        <v>1792</v>
      </c>
      <c r="G3" s="2489" t="s">
        <v>1554</v>
      </c>
      <c r="H3" s="2489" t="s">
        <v>1765</v>
      </c>
      <c r="I3" s="2489" t="s">
        <v>1555</v>
      </c>
      <c r="J3" s="2487" t="s">
        <v>1549</v>
      </c>
      <c r="K3" s="2487" t="s">
        <v>1550</v>
      </c>
      <c r="L3" s="2487" t="s">
        <v>1551</v>
      </c>
      <c r="M3" s="2489" t="s">
        <v>1552</v>
      </c>
      <c r="N3" s="2489" t="s">
        <v>1553</v>
      </c>
      <c r="O3" s="2489" t="s">
        <v>1792</v>
      </c>
      <c r="P3" s="2489" t="s">
        <v>1556</v>
      </c>
      <c r="Q3" s="2489" t="s">
        <v>1765</v>
      </c>
      <c r="R3" s="2489" t="s">
        <v>1555</v>
      </c>
      <c r="S3" s="2487" t="s">
        <v>1549</v>
      </c>
      <c r="T3" s="2487" t="s">
        <v>1550</v>
      </c>
      <c r="U3" s="2487" t="s">
        <v>1551</v>
      </c>
      <c r="V3" s="2489" t="s">
        <v>1552</v>
      </c>
      <c r="W3" s="2489" t="s">
        <v>1553</v>
      </c>
      <c r="X3" s="2489" t="s">
        <v>1891</v>
      </c>
      <c r="Y3" s="2489" t="s">
        <v>1554</v>
      </c>
      <c r="Z3" s="2489" t="s">
        <v>1765</v>
      </c>
      <c r="AA3" s="2489" t="s">
        <v>1555</v>
      </c>
      <c r="AB3" s="2487" t="s">
        <v>1549</v>
      </c>
      <c r="AC3" s="2487" t="s">
        <v>1550</v>
      </c>
      <c r="AD3" s="2487" t="s">
        <v>1551</v>
      </c>
      <c r="AE3" s="2489" t="s">
        <v>1552</v>
      </c>
      <c r="AF3" s="2489" t="s">
        <v>1553</v>
      </c>
      <c r="AG3" s="2489" t="s">
        <v>1792</v>
      </c>
      <c r="AH3" s="2489" t="s">
        <v>1554</v>
      </c>
      <c r="AI3" s="2489" t="s">
        <v>1765</v>
      </c>
      <c r="AJ3" s="2489" t="s">
        <v>1555</v>
      </c>
      <c r="AK3" s="2487" t="s">
        <v>1549</v>
      </c>
      <c r="AL3" s="2487" t="s">
        <v>1550</v>
      </c>
      <c r="AM3" s="2487" t="s">
        <v>1551</v>
      </c>
      <c r="AN3" s="2489" t="s">
        <v>1552</v>
      </c>
      <c r="AO3" s="2489" t="s">
        <v>1553</v>
      </c>
      <c r="AP3" s="2489" t="s">
        <v>1792</v>
      </c>
      <c r="AQ3" s="2489" t="s">
        <v>1554</v>
      </c>
      <c r="AR3" s="2489" t="s">
        <v>1892</v>
      </c>
      <c r="AS3" s="2489" t="s">
        <v>1555</v>
      </c>
      <c r="AT3" s="2487" t="s">
        <v>1549</v>
      </c>
      <c r="AU3" s="2487" t="s">
        <v>1550</v>
      </c>
      <c r="AV3" s="2487" t="s">
        <v>1551</v>
      </c>
      <c r="AW3" s="2489" t="s">
        <v>1552</v>
      </c>
      <c r="AX3" s="2489" t="s">
        <v>1553</v>
      </c>
      <c r="AY3" s="2489" t="s">
        <v>1891</v>
      </c>
      <c r="AZ3" s="2489" t="s">
        <v>1554</v>
      </c>
      <c r="BA3" s="2489" t="s">
        <v>1892</v>
      </c>
      <c r="BB3" s="2489" t="s">
        <v>1555</v>
      </c>
      <c r="BC3" s="2487" t="s">
        <v>1549</v>
      </c>
      <c r="BD3" s="2487" t="s">
        <v>2344</v>
      </c>
      <c r="BE3" s="2487" t="s">
        <v>1551</v>
      </c>
      <c r="BF3" s="2489" t="s">
        <v>1552</v>
      </c>
      <c r="BG3" s="2489" t="s">
        <v>1553</v>
      </c>
      <c r="BH3" s="2491" t="s">
        <v>1893</v>
      </c>
      <c r="BI3" s="2489" t="s">
        <v>1554</v>
      </c>
      <c r="BJ3" s="2489" t="s">
        <v>1894</v>
      </c>
      <c r="BK3" s="2489" t="s">
        <v>1555</v>
      </c>
      <c r="BL3" s="2485" t="s">
        <v>1549</v>
      </c>
      <c r="BM3" s="2485" t="s">
        <v>1766</v>
      </c>
      <c r="BN3" s="2487" t="s">
        <v>1551</v>
      </c>
      <c r="BO3" s="2489" t="s">
        <v>1552</v>
      </c>
      <c r="BP3" s="2489" t="s">
        <v>1553</v>
      </c>
      <c r="BQ3" s="2489" t="s">
        <v>1792</v>
      </c>
      <c r="BR3" s="2489" t="s">
        <v>1554</v>
      </c>
      <c r="BS3" s="2489" t="s">
        <v>1765</v>
      </c>
      <c r="BT3" s="2489" t="s">
        <v>1555</v>
      </c>
    </row>
    <row r="4" spans="1:72" s="63" customFormat="1" ht="27.75" customHeight="1">
      <c r="A4" s="2488"/>
      <c r="B4" s="2488"/>
      <c r="C4" s="2488"/>
      <c r="D4" s="2491"/>
      <c r="E4" s="2491"/>
      <c r="F4" s="2491"/>
      <c r="G4" s="2490"/>
      <c r="H4" s="2490"/>
      <c r="I4" s="2490"/>
      <c r="J4" s="2488"/>
      <c r="K4" s="2488"/>
      <c r="L4" s="2488"/>
      <c r="M4" s="2491"/>
      <c r="N4" s="2491"/>
      <c r="O4" s="2491"/>
      <c r="P4" s="2490"/>
      <c r="Q4" s="2490"/>
      <c r="R4" s="2490"/>
      <c r="S4" s="2488"/>
      <c r="T4" s="2488"/>
      <c r="U4" s="2488"/>
      <c r="V4" s="2491"/>
      <c r="W4" s="2491"/>
      <c r="X4" s="2491"/>
      <c r="Y4" s="2490"/>
      <c r="Z4" s="2490"/>
      <c r="AA4" s="2490"/>
      <c r="AB4" s="2488"/>
      <c r="AC4" s="2488"/>
      <c r="AD4" s="2488"/>
      <c r="AE4" s="2491"/>
      <c r="AF4" s="2491"/>
      <c r="AG4" s="2491"/>
      <c r="AH4" s="2490"/>
      <c r="AI4" s="2490"/>
      <c r="AJ4" s="2490"/>
      <c r="AK4" s="2488"/>
      <c r="AL4" s="2488"/>
      <c r="AM4" s="2488"/>
      <c r="AN4" s="2491"/>
      <c r="AO4" s="2491"/>
      <c r="AP4" s="2491"/>
      <c r="AQ4" s="2490"/>
      <c r="AR4" s="2490"/>
      <c r="AS4" s="2490"/>
      <c r="AT4" s="2488"/>
      <c r="AU4" s="2488"/>
      <c r="AV4" s="2488"/>
      <c r="AW4" s="2491"/>
      <c r="AX4" s="2491"/>
      <c r="AY4" s="2491"/>
      <c r="AZ4" s="2490"/>
      <c r="BA4" s="2490"/>
      <c r="BB4" s="2490"/>
      <c r="BC4" s="2488"/>
      <c r="BD4" s="2488"/>
      <c r="BE4" s="2488"/>
      <c r="BF4" s="2491"/>
      <c r="BG4" s="2491"/>
      <c r="BH4" s="2491"/>
      <c r="BI4" s="2490"/>
      <c r="BJ4" s="2490"/>
      <c r="BK4" s="2490"/>
      <c r="BL4" s="2486"/>
      <c r="BM4" s="2486"/>
      <c r="BN4" s="2488"/>
      <c r="BO4" s="2491"/>
      <c r="BP4" s="2491"/>
      <c r="BQ4" s="2491"/>
      <c r="BR4" s="2490"/>
      <c r="BS4" s="2490"/>
      <c r="BT4" s="2490"/>
    </row>
    <row r="5" spans="1:72" s="1771" customFormat="1" ht="12.6" customHeight="1">
      <c r="A5" s="2496" t="s">
        <v>1557</v>
      </c>
      <c r="B5" s="2497"/>
      <c r="C5" s="2497"/>
      <c r="D5" s="2497"/>
      <c r="E5" s="2497"/>
      <c r="F5" s="1829"/>
      <c r="G5" s="1829"/>
      <c r="H5" s="1829"/>
      <c r="I5" s="1829"/>
      <c r="J5" s="1815">
        <v>46</v>
      </c>
      <c r="K5" s="1815" t="s">
        <v>1728</v>
      </c>
      <c r="L5" s="1815">
        <v>10</v>
      </c>
      <c r="M5" s="1818" t="s">
        <v>1357</v>
      </c>
      <c r="N5" s="1818" t="s">
        <v>1358</v>
      </c>
      <c r="O5" s="1818">
        <v>7</v>
      </c>
      <c r="P5" s="1815" t="s">
        <v>1394</v>
      </c>
      <c r="Q5" s="1818">
        <v>7.11</v>
      </c>
      <c r="R5" s="1818">
        <v>2800</v>
      </c>
      <c r="S5" s="1816">
        <v>93</v>
      </c>
      <c r="T5" s="1816" t="s">
        <v>1685</v>
      </c>
      <c r="U5" s="1816">
        <v>15</v>
      </c>
      <c r="V5" s="1819" t="s">
        <v>942</v>
      </c>
      <c r="W5" s="1816" t="s">
        <v>943</v>
      </c>
      <c r="X5" s="1804">
        <v>12.1</v>
      </c>
      <c r="Y5" s="1816" t="s">
        <v>292</v>
      </c>
      <c r="Z5" s="1804">
        <v>12.1</v>
      </c>
      <c r="AA5" s="1804">
        <v>100</v>
      </c>
      <c r="AB5" s="1816">
        <v>139</v>
      </c>
      <c r="AC5" s="1816" t="s">
        <v>1680</v>
      </c>
      <c r="AD5" s="1816">
        <v>20</v>
      </c>
      <c r="AE5" s="1819" t="s">
        <v>34</v>
      </c>
      <c r="AF5" s="1816" t="s">
        <v>46</v>
      </c>
      <c r="AG5" s="1804">
        <v>13.139999999999999</v>
      </c>
      <c r="AH5" s="1816" t="s">
        <v>292</v>
      </c>
      <c r="AI5" s="1804">
        <v>13.139999999999999</v>
      </c>
      <c r="AJ5" s="1804">
        <v>50</v>
      </c>
      <c r="AK5" s="1816">
        <v>185</v>
      </c>
      <c r="AL5" s="1816" t="s">
        <v>1697</v>
      </c>
      <c r="AM5" s="1816">
        <v>20</v>
      </c>
      <c r="AN5" s="1819" t="s">
        <v>1698</v>
      </c>
      <c r="AO5" s="1816" t="s">
        <v>1699</v>
      </c>
      <c r="AP5" s="1804">
        <v>12.1</v>
      </c>
      <c r="AQ5" s="1816" t="s">
        <v>292</v>
      </c>
      <c r="AR5" s="1804">
        <v>12.1</v>
      </c>
      <c r="AS5" s="1804">
        <v>325</v>
      </c>
      <c r="AT5" s="1857" t="s">
        <v>1878</v>
      </c>
      <c r="AU5" s="1816"/>
      <c r="AV5" s="1816"/>
      <c r="AW5" s="1819"/>
      <c r="AX5" s="1816"/>
      <c r="AY5" s="1804"/>
      <c r="AZ5" s="1816"/>
      <c r="BA5" s="1804"/>
      <c r="BB5" s="1804"/>
      <c r="BC5" s="1816">
        <v>35</v>
      </c>
      <c r="BD5" s="1843" t="s">
        <v>2337</v>
      </c>
      <c r="BE5" s="1816">
        <v>10</v>
      </c>
      <c r="BF5" s="1819" t="s">
        <v>2331</v>
      </c>
      <c r="BG5" s="1816" t="s">
        <v>2334</v>
      </c>
      <c r="BH5" s="1804" t="s">
        <v>2289</v>
      </c>
      <c r="BI5" s="1816" t="s">
        <v>292</v>
      </c>
      <c r="BJ5" s="1804" t="s">
        <v>2289</v>
      </c>
      <c r="BK5" s="1804">
        <v>397.43</v>
      </c>
      <c r="BL5" s="1816">
        <v>81</v>
      </c>
      <c r="BM5" s="1843" t="s">
        <v>2392</v>
      </c>
      <c r="BN5" s="1816">
        <v>10</v>
      </c>
      <c r="BO5" s="1819" t="s">
        <v>2466</v>
      </c>
      <c r="BP5" s="1816" t="s">
        <v>2467</v>
      </c>
      <c r="BQ5" s="1804" t="s">
        <v>1800</v>
      </c>
      <c r="BR5" s="1816" t="s">
        <v>292</v>
      </c>
      <c r="BS5" s="1804" t="s">
        <v>1800</v>
      </c>
      <c r="BT5" s="1804">
        <v>969.86509999999998</v>
      </c>
    </row>
    <row r="6" spans="1:72" s="1771" customFormat="1" ht="12" customHeight="1">
      <c r="A6" s="1810">
        <v>1</v>
      </c>
      <c r="B6" s="1820" t="s">
        <v>2462</v>
      </c>
      <c r="C6" s="1845">
        <v>2</v>
      </c>
      <c r="D6" s="1845" t="s">
        <v>2463</v>
      </c>
      <c r="E6" s="1845" t="s">
        <v>2464</v>
      </c>
      <c r="F6" s="1805">
        <v>12.25</v>
      </c>
      <c r="G6" s="1813" t="s">
        <v>2479</v>
      </c>
      <c r="H6" s="1805">
        <v>12.24</v>
      </c>
      <c r="I6" s="1805">
        <v>8280.77</v>
      </c>
      <c r="J6" s="1813">
        <v>47</v>
      </c>
      <c r="K6" s="1813" t="s">
        <v>1735</v>
      </c>
      <c r="L6" s="1813">
        <v>10</v>
      </c>
      <c r="M6" s="1813" t="s">
        <v>1398</v>
      </c>
      <c r="N6" s="1813" t="s">
        <v>1399</v>
      </c>
      <c r="O6" s="1805">
        <v>7.5</v>
      </c>
      <c r="P6" s="1813" t="s">
        <v>1477</v>
      </c>
      <c r="Q6" s="1805">
        <v>7.6</v>
      </c>
      <c r="R6" s="1805">
        <v>7800</v>
      </c>
      <c r="S6" s="1810">
        <v>94</v>
      </c>
      <c r="T6" s="1820" t="s">
        <v>1823</v>
      </c>
      <c r="U6" s="1817">
        <v>15</v>
      </c>
      <c r="V6" s="1817" t="s">
        <v>1824</v>
      </c>
      <c r="W6" s="1811" t="s">
        <v>1825</v>
      </c>
      <c r="X6" s="1811">
        <v>12.2</v>
      </c>
      <c r="Y6" s="1817" t="s">
        <v>292</v>
      </c>
      <c r="Z6" s="1811">
        <v>12.2</v>
      </c>
      <c r="AA6" s="1811">
        <v>100</v>
      </c>
      <c r="AB6" s="1773">
        <v>140</v>
      </c>
      <c r="AC6" s="1820" t="s">
        <v>1686</v>
      </c>
      <c r="AD6" s="1817">
        <v>20</v>
      </c>
      <c r="AE6" s="1817" t="s">
        <v>35</v>
      </c>
      <c r="AF6" s="1811" t="s">
        <v>47</v>
      </c>
      <c r="AG6" s="1811">
        <v>13.13</v>
      </c>
      <c r="AH6" s="1817" t="s">
        <v>292</v>
      </c>
      <c r="AI6" s="1811">
        <v>13.13</v>
      </c>
      <c r="AJ6" s="1811">
        <v>50</v>
      </c>
      <c r="AK6" s="1810">
        <v>186</v>
      </c>
      <c r="AL6" s="1820" t="s">
        <v>1702</v>
      </c>
      <c r="AM6" s="1817">
        <v>20</v>
      </c>
      <c r="AN6" s="1817" t="s">
        <v>1703</v>
      </c>
      <c r="AO6" s="1811" t="s">
        <v>1704</v>
      </c>
      <c r="AP6" s="1811">
        <v>12.12</v>
      </c>
      <c r="AQ6" s="1817" t="s">
        <v>292</v>
      </c>
      <c r="AR6" s="1811">
        <v>12.12</v>
      </c>
      <c r="AS6" s="1811">
        <v>341</v>
      </c>
      <c r="AT6" s="1810">
        <v>1</v>
      </c>
      <c r="AU6" s="1820" t="s">
        <v>1879</v>
      </c>
      <c r="AV6" s="1817">
        <v>5</v>
      </c>
      <c r="AW6" s="1817" t="s">
        <v>1896</v>
      </c>
      <c r="AX6" s="1811" t="s">
        <v>1056</v>
      </c>
      <c r="AY6" s="1811">
        <v>4.6900000000000004</v>
      </c>
      <c r="AZ6" s="1817" t="s">
        <v>1897</v>
      </c>
      <c r="BA6" s="1811">
        <v>9.51</v>
      </c>
      <c r="BB6" s="1811">
        <v>8000</v>
      </c>
      <c r="BC6" s="1810">
        <v>36</v>
      </c>
      <c r="BD6" s="1844" t="s">
        <v>166</v>
      </c>
      <c r="BE6" s="1817">
        <v>10</v>
      </c>
      <c r="BF6" s="1817" t="s">
        <v>2331</v>
      </c>
      <c r="BG6" s="1811" t="s">
        <v>2334</v>
      </c>
      <c r="BH6" s="1811" t="s">
        <v>2289</v>
      </c>
      <c r="BI6" s="1817" t="s">
        <v>292</v>
      </c>
      <c r="BJ6" s="1811" t="s">
        <v>2289</v>
      </c>
      <c r="BK6" s="1811">
        <v>919.83</v>
      </c>
      <c r="BL6" s="1810">
        <v>82</v>
      </c>
      <c r="BM6" s="1844" t="s">
        <v>2429</v>
      </c>
      <c r="BN6" s="1817">
        <v>10</v>
      </c>
      <c r="BO6" s="1817" t="s">
        <v>2466</v>
      </c>
      <c r="BP6" s="1811" t="s">
        <v>2467</v>
      </c>
      <c r="BQ6" s="1811" t="s">
        <v>1800</v>
      </c>
      <c r="BR6" s="1817" t="s">
        <v>292</v>
      </c>
      <c r="BS6" s="1811" t="s">
        <v>1800</v>
      </c>
      <c r="BT6" s="1811">
        <v>162.9084</v>
      </c>
    </row>
    <row r="7" spans="1:72" s="1771" customFormat="1" ht="12" customHeight="1">
      <c r="A7" s="1816">
        <v>2</v>
      </c>
      <c r="B7" s="1822" t="s">
        <v>2488</v>
      </c>
      <c r="C7" s="1846">
        <v>2</v>
      </c>
      <c r="D7" s="1846" t="s">
        <v>2489</v>
      </c>
      <c r="E7" s="1846" t="s">
        <v>2490</v>
      </c>
      <c r="F7" s="1818">
        <v>12.2</v>
      </c>
      <c r="G7" s="1815" t="s">
        <v>292</v>
      </c>
      <c r="H7" s="1818">
        <v>12.2</v>
      </c>
      <c r="I7" s="1818">
        <v>4926.24</v>
      </c>
      <c r="J7" s="1815">
        <v>48</v>
      </c>
      <c r="K7" s="1815" t="s">
        <v>1741</v>
      </c>
      <c r="L7" s="1815">
        <v>10</v>
      </c>
      <c r="M7" s="1815" t="s">
        <v>1471</v>
      </c>
      <c r="N7" s="1815" t="s">
        <v>1472</v>
      </c>
      <c r="O7" s="1818">
        <v>7.15</v>
      </c>
      <c r="P7" s="1815" t="s">
        <v>1489</v>
      </c>
      <c r="Q7" s="1818">
        <v>8.89</v>
      </c>
      <c r="R7" s="1818">
        <v>3000</v>
      </c>
      <c r="S7" s="1816">
        <v>95</v>
      </c>
      <c r="T7" s="1816" t="s">
        <v>1826</v>
      </c>
      <c r="U7" s="1816">
        <v>15</v>
      </c>
      <c r="V7" s="1819" t="s">
        <v>1827</v>
      </c>
      <c r="W7" s="1816" t="s">
        <v>1828</v>
      </c>
      <c r="X7" s="1804">
        <v>12.3</v>
      </c>
      <c r="Y7" s="1816" t="s">
        <v>292</v>
      </c>
      <c r="Z7" s="1804">
        <v>12.3</v>
      </c>
      <c r="AA7" s="1804">
        <v>100</v>
      </c>
      <c r="AB7" s="1816">
        <v>141</v>
      </c>
      <c r="AC7" s="1816" t="s">
        <v>1829</v>
      </c>
      <c r="AD7" s="1816">
        <v>20</v>
      </c>
      <c r="AE7" s="1819" t="s">
        <v>1830</v>
      </c>
      <c r="AF7" s="1816" t="s">
        <v>1831</v>
      </c>
      <c r="AG7" s="1804">
        <v>13.09</v>
      </c>
      <c r="AH7" s="1816" t="s">
        <v>292</v>
      </c>
      <c r="AI7" s="1804">
        <v>13.09</v>
      </c>
      <c r="AJ7" s="1804">
        <v>50</v>
      </c>
      <c r="AK7" s="1816">
        <v>187</v>
      </c>
      <c r="AL7" s="1816" t="s">
        <v>1707</v>
      </c>
      <c r="AM7" s="1816">
        <v>20</v>
      </c>
      <c r="AN7" s="1819" t="s">
        <v>1708</v>
      </c>
      <c r="AO7" s="1816" t="s">
        <v>1709</v>
      </c>
      <c r="AP7" s="1804">
        <v>12.12</v>
      </c>
      <c r="AQ7" s="1816" t="s">
        <v>292</v>
      </c>
      <c r="AR7" s="1804">
        <v>12.12</v>
      </c>
      <c r="AS7" s="1804">
        <v>300</v>
      </c>
      <c r="AT7" s="1816">
        <v>2</v>
      </c>
      <c r="AU7" s="1816" t="s">
        <v>1980</v>
      </c>
      <c r="AV7" s="1816">
        <v>5</v>
      </c>
      <c r="AW7" s="1819" t="s">
        <v>1981</v>
      </c>
      <c r="AX7" s="1816" t="s">
        <v>1982</v>
      </c>
      <c r="AY7" s="1804">
        <v>4.6500000000000004</v>
      </c>
      <c r="AZ7" s="1816" t="s">
        <v>292</v>
      </c>
      <c r="BA7" s="1804" t="s">
        <v>292</v>
      </c>
      <c r="BB7" s="1804">
        <v>5000</v>
      </c>
      <c r="BC7" s="1816">
        <v>37</v>
      </c>
      <c r="BD7" s="1843" t="s">
        <v>2338</v>
      </c>
      <c r="BE7" s="1816">
        <v>10</v>
      </c>
      <c r="BF7" s="1819" t="s">
        <v>2254</v>
      </c>
      <c r="BG7" s="1816" t="s">
        <v>2339</v>
      </c>
      <c r="BH7" s="1804" t="s">
        <v>1800</v>
      </c>
      <c r="BI7" s="1816" t="s">
        <v>292</v>
      </c>
      <c r="BJ7" s="1804" t="s">
        <v>1800</v>
      </c>
      <c r="BK7" s="1804">
        <v>2482.1799999999998</v>
      </c>
      <c r="BL7" s="1816">
        <v>83</v>
      </c>
      <c r="BM7" s="1843" t="s">
        <v>2369</v>
      </c>
      <c r="BN7" s="1816">
        <v>10</v>
      </c>
      <c r="BO7" s="1819" t="s">
        <v>2466</v>
      </c>
      <c r="BP7" s="1816" t="s">
        <v>2467</v>
      </c>
      <c r="BQ7" s="1804" t="s">
        <v>2289</v>
      </c>
      <c r="BR7" s="1816" t="s">
        <v>292</v>
      </c>
      <c r="BS7" s="1804" t="s">
        <v>2289</v>
      </c>
      <c r="BT7" s="1804">
        <v>2121.2341000000001</v>
      </c>
    </row>
    <row r="8" spans="1:72" s="1771" customFormat="1" ht="12" customHeight="1">
      <c r="A8" s="1810">
        <v>3</v>
      </c>
      <c r="B8" s="1820" t="s">
        <v>2530</v>
      </c>
      <c r="C8" s="1845">
        <v>2</v>
      </c>
      <c r="D8" s="1845" t="s">
        <v>2531</v>
      </c>
      <c r="E8" s="1845" t="s">
        <v>2532</v>
      </c>
      <c r="F8" s="1805">
        <v>12.3</v>
      </c>
      <c r="G8" s="1813" t="s">
        <v>2547</v>
      </c>
      <c r="H8" s="1805">
        <v>12.298999999999999</v>
      </c>
      <c r="I8" s="1805">
        <v>6666.58</v>
      </c>
      <c r="J8" s="1813">
        <v>49</v>
      </c>
      <c r="K8" s="1817" t="s">
        <v>1746</v>
      </c>
      <c r="L8" s="1817">
        <v>10</v>
      </c>
      <c r="M8" s="1817" t="s">
        <v>1478</v>
      </c>
      <c r="N8" s="1817" t="s">
        <v>1479</v>
      </c>
      <c r="O8" s="1811">
        <v>7.74</v>
      </c>
      <c r="P8" s="1817" t="s">
        <v>1492</v>
      </c>
      <c r="Q8" s="1811">
        <v>9.0500000000000007</v>
      </c>
      <c r="R8" s="1811">
        <v>2675</v>
      </c>
      <c r="S8" s="1810">
        <v>96</v>
      </c>
      <c r="T8" s="1820" t="s">
        <v>1690</v>
      </c>
      <c r="U8" s="1817">
        <v>15</v>
      </c>
      <c r="V8" s="1817" t="s">
        <v>971</v>
      </c>
      <c r="W8" s="1811" t="s">
        <v>972</v>
      </c>
      <c r="X8" s="1811">
        <v>12.379999999999999</v>
      </c>
      <c r="Y8" s="1817" t="s">
        <v>292</v>
      </c>
      <c r="Z8" s="1811">
        <v>12.379999999999999</v>
      </c>
      <c r="AA8" s="1811">
        <v>100</v>
      </c>
      <c r="AB8" s="1773">
        <v>142</v>
      </c>
      <c r="AC8" s="1820" t="s">
        <v>1832</v>
      </c>
      <c r="AD8" s="1817">
        <v>20</v>
      </c>
      <c r="AE8" s="1817" t="s">
        <v>1833</v>
      </c>
      <c r="AF8" s="1811" t="s">
        <v>1834</v>
      </c>
      <c r="AG8" s="1811">
        <v>13.07</v>
      </c>
      <c r="AH8" s="1817" t="s">
        <v>292</v>
      </c>
      <c r="AI8" s="1811">
        <v>13.07</v>
      </c>
      <c r="AJ8" s="1811">
        <v>125</v>
      </c>
      <c r="AK8" s="1810">
        <v>188</v>
      </c>
      <c r="AL8" s="1820" t="s">
        <v>1713</v>
      </c>
      <c r="AM8" s="1817">
        <v>20</v>
      </c>
      <c r="AN8" s="1817" t="s">
        <v>1714</v>
      </c>
      <c r="AO8" s="1811" t="s">
        <v>1715</v>
      </c>
      <c r="AP8" s="1811">
        <v>12.16</v>
      </c>
      <c r="AQ8" s="1817" t="s">
        <v>292</v>
      </c>
      <c r="AR8" s="1811">
        <v>12.16</v>
      </c>
      <c r="AS8" s="1811">
        <v>300</v>
      </c>
      <c r="AT8" s="1810">
        <v>3</v>
      </c>
      <c r="AU8" s="1820" t="s">
        <v>2038</v>
      </c>
      <c r="AV8" s="1817">
        <v>5</v>
      </c>
      <c r="AW8" s="1817" t="s">
        <v>2020</v>
      </c>
      <c r="AX8" s="1811" t="s">
        <v>2024</v>
      </c>
      <c r="AY8" s="1811">
        <v>4.75</v>
      </c>
      <c r="AZ8" s="1817" t="s">
        <v>292</v>
      </c>
      <c r="BA8" s="1811" t="s">
        <v>292</v>
      </c>
      <c r="BB8" s="1811">
        <v>5000</v>
      </c>
      <c r="BC8" s="1810">
        <v>38</v>
      </c>
      <c r="BD8" s="1844" t="s">
        <v>2340</v>
      </c>
      <c r="BE8" s="1817">
        <v>10</v>
      </c>
      <c r="BF8" s="1817" t="s">
        <v>2296</v>
      </c>
      <c r="BG8" s="1811" t="s">
        <v>2314</v>
      </c>
      <c r="BH8" s="1811" t="s">
        <v>1800</v>
      </c>
      <c r="BI8" s="1817" t="s">
        <v>292</v>
      </c>
      <c r="BJ8" s="1811" t="s">
        <v>1800</v>
      </c>
      <c r="BK8" s="1811">
        <v>23.04</v>
      </c>
      <c r="BL8" s="1810">
        <v>84</v>
      </c>
      <c r="BM8" s="1844" t="s">
        <v>2371</v>
      </c>
      <c r="BN8" s="1817">
        <v>10</v>
      </c>
      <c r="BO8" s="1817" t="s">
        <v>2466</v>
      </c>
      <c r="BP8" s="1811" t="s">
        <v>2467</v>
      </c>
      <c r="BQ8" s="1811" t="s">
        <v>2289</v>
      </c>
      <c r="BR8" s="1817" t="s">
        <v>292</v>
      </c>
      <c r="BS8" s="1811" t="s">
        <v>2289</v>
      </c>
      <c r="BT8" s="1811">
        <v>327.95440000000002</v>
      </c>
    </row>
    <row r="9" spans="1:72" s="1771" customFormat="1" ht="12" customHeight="1">
      <c r="A9" s="1816">
        <v>4</v>
      </c>
      <c r="B9" s="1822" t="s">
        <v>2557</v>
      </c>
      <c r="C9" s="1846">
        <v>2</v>
      </c>
      <c r="D9" s="1846" t="s">
        <v>2558</v>
      </c>
      <c r="E9" s="1846" t="s">
        <v>2559</v>
      </c>
      <c r="F9" s="1818">
        <v>12.12</v>
      </c>
      <c r="G9" s="1815" t="s">
        <v>292</v>
      </c>
      <c r="H9" s="1818">
        <v>12.12</v>
      </c>
      <c r="I9" s="1818">
        <v>4500</v>
      </c>
      <c r="J9" s="1815">
        <v>50</v>
      </c>
      <c r="K9" s="1815" t="s">
        <v>1752</v>
      </c>
      <c r="L9" s="1815">
        <v>10</v>
      </c>
      <c r="M9" s="1818" t="s">
        <v>1483</v>
      </c>
      <c r="N9" s="1818" t="s">
        <v>1484</v>
      </c>
      <c r="O9" s="1818">
        <v>8.44</v>
      </c>
      <c r="P9" s="1815" t="s">
        <v>1489</v>
      </c>
      <c r="Q9" s="1818">
        <v>8.89</v>
      </c>
      <c r="R9" s="1818">
        <v>3000</v>
      </c>
      <c r="S9" s="1816">
        <v>97</v>
      </c>
      <c r="T9" s="1816" t="s">
        <v>1695</v>
      </c>
      <c r="U9" s="1816">
        <v>15</v>
      </c>
      <c r="V9" s="1819" t="s">
        <v>973</v>
      </c>
      <c r="W9" s="1816" t="s">
        <v>974</v>
      </c>
      <c r="X9" s="1804">
        <v>12.379999999999999</v>
      </c>
      <c r="Y9" s="1816" t="s">
        <v>292</v>
      </c>
      <c r="Z9" s="1804">
        <v>12.379999999999999</v>
      </c>
      <c r="AA9" s="1804">
        <v>200</v>
      </c>
      <c r="AB9" s="1816">
        <v>143</v>
      </c>
      <c r="AC9" s="1816" t="s">
        <v>1691</v>
      </c>
      <c r="AD9" s="1816">
        <v>20</v>
      </c>
      <c r="AE9" s="1819" t="s">
        <v>36</v>
      </c>
      <c r="AF9" s="1819" t="s">
        <v>1221</v>
      </c>
      <c r="AG9" s="1804">
        <v>13.07</v>
      </c>
      <c r="AH9" s="1816" t="s">
        <v>292</v>
      </c>
      <c r="AI9" s="1804">
        <v>13.07</v>
      </c>
      <c r="AJ9" s="1804">
        <v>125</v>
      </c>
      <c r="AK9" s="1816">
        <v>189</v>
      </c>
      <c r="AL9" s="1816" t="s">
        <v>1719</v>
      </c>
      <c r="AM9" s="1816">
        <v>20</v>
      </c>
      <c r="AN9" s="1819" t="s">
        <v>1720</v>
      </c>
      <c r="AO9" s="1816" t="s">
        <v>1331</v>
      </c>
      <c r="AP9" s="1804">
        <v>12.16</v>
      </c>
      <c r="AQ9" s="1816" t="s">
        <v>292</v>
      </c>
      <c r="AR9" s="1804">
        <v>12.16</v>
      </c>
      <c r="AS9" s="1804">
        <v>300</v>
      </c>
      <c r="AT9" s="1816">
        <v>4</v>
      </c>
      <c r="AU9" s="1816" t="s">
        <v>2434</v>
      </c>
      <c r="AV9" s="1816">
        <v>5</v>
      </c>
      <c r="AW9" s="1819" t="s">
        <v>2432</v>
      </c>
      <c r="AX9" s="1816" t="s">
        <v>2435</v>
      </c>
      <c r="AY9" s="1804">
        <v>10.4</v>
      </c>
      <c r="AZ9" s="1816" t="s">
        <v>292</v>
      </c>
      <c r="BA9" s="1804" t="s">
        <v>292</v>
      </c>
      <c r="BB9" s="1804">
        <v>1000</v>
      </c>
      <c r="BC9" s="1816">
        <v>39</v>
      </c>
      <c r="BD9" s="1843" t="s">
        <v>2341</v>
      </c>
      <c r="BE9" s="1816">
        <v>10</v>
      </c>
      <c r="BF9" s="1819" t="s">
        <v>2296</v>
      </c>
      <c r="BG9" s="1816" t="s">
        <v>2314</v>
      </c>
      <c r="BH9" s="1804" t="s">
        <v>1800</v>
      </c>
      <c r="BI9" s="1816" t="s">
        <v>292</v>
      </c>
      <c r="BJ9" s="1804" t="s">
        <v>1800</v>
      </c>
      <c r="BK9" s="1804">
        <v>56.47</v>
      </c>
      <c r="BL9" s="1816">
        <v>85</v>
      </c>
      <c r="BM9" s="1843" t="s">
        <v>2370</v>
      </c>
      <c r="BN9" s="1816">
        <v>10</v>
      </c>
      <c r="BO9" s="1819" t="s">
        <v>2466</v>
      </c>
      <c r="BP9" s="1816" t="s">
        <v>2467</v>
      </c>
      <c r="BQ9" s="1804" t="s">
        <v>2289</v>
      </c>
      <c r="BR9" s="1816" t="s">
        <v>292</v>
      </c>
      <c r="BS9" s="1804" t="s">
        <v>2289</v>
      </c>
      <c r="BT9" s="1804">
        <v>1976.9058</v>
      </c>
    </row>
    <row r="10" spans="1:72" s="1771" customFormat="1" ht="12" customHeight="1">
      <c r="A10" s="1813">
        <v>5</v>
      </c>
      <c r="B10" s="1810" t="s">
        <v>2580</v>
      </c>
      <c r="C10" s="1810">
        <v>2</v>
      </c>
      <c r="D10" s="1810" t="s">
        <v>2581</v>
      </c>
      <c r="E10" s="1810" t="s">
        <v>2582</v>
      </c>
      <c r="F10" s="1811">
        <v>10.98</v>
      </c>
      <c r="G10" s="1810" t="s">
        <v>292</v>
      </c>
      <c r="H10" s="1811">
        <v>10.98</v>
      </c>
      <c r="I10" s="1803">
        <v>4500</v>
      </c>
      <c r="J10" s="1813">
        <v>51</v>
      </c>
      <c r="K10" s="1813" t="s">
        <v>1758</v>
      </c>
      <c r="L10" s="1813">
        <v>10</v>
      </c>
      <c r="M10" s="1805" t="s">
        <v>1490</v>
      </c>
      <c r="N10" s="1805" t="s">
        <v>1491</v>
      </c>
      <c r="O10" s="1805">
        <v>9.27</v>
      </c>
      <c r="P10" s="1813" t="s">
        <v>1493</v>
      </c>
      <c r="Q10" s="1805">
        <v>9.19</v>
      </c>
      <c r="R10" s="1805">
        <v>4000</v>
      </c>
      <c r="S10" s="1810">
        <v>98</v>
      </c>
      <c r="T10" s="1820" t="s">
        <v>1700</v>
      </c>
      <c r="U10" s="1817">
        <v>15</v>
      </c>
      <c r="V10" s="1817" t="s">
        <v>975</v>
      </c>
      <c r="W10" s="1811" t="s">
        <v>976</v>
      </c>
      <c r="X10" s="1811">
        <v>12.379999999999999</v>
      </c>
      <c r="Y10" s="1817" t="s">
        <v>292</v>
      </c>
      <c r="Z10" s="1811">
        <v>12.379999999999999</v>
      </c>
      <c r="AA10" s="1811">
        <v>200</v>
      </c>
      <c r="AB10" s="1773">
        <v>144</v>
      </c>
      <c r="AC10" s="1820" t="s">
        <v>1696</v>
      </c>
      <c r="AD10" s="1817">
        <v>20</v>
      </c>
      <c r="AE10" s="1817" t="s">
        <v>37</v>
      </c>
      <c r="AF10" s="1811" t="s">
        <v>48</v>
      </c>
      <c r="AG10" s="1811">
        <v>13.07</v>
      </c>
      <c r="AH10" s="1817" t="s">
        <v>292</v>
      </c>
      <c r="AI10" s="1811">
        <v>13.07</v>
      </c>
      <c r="AJ10" s="1811">
        <v>125</v>
      </c>
      <c r="AK10" s="1810">
        <v>190</v>
      </c>
      <c r="AL10" s="1820" t="s">
        <v>1725</v>
      </c>
      <c r="AM10" s="1817">
        <v>20</v>
      </c>
      <c r="AN10" s="1817" t="s">
        <v>1726</v>
      </c>
      <c r="AO10" s="1811" t="s">
        <v>1727</v>
      </c>
      <c r="AP10" s="1811">
        <v>12.16</v>
      </c>
      <c r="AQ10" s="1817" t="s">
        <v>292</v>
      </c>
      <c r="AR10" s="1811">
        <v>12.16</v>
      </c>
      <c r="AS10" s="1811">
        <v>100</v>
      </c>
      <c r="AT10" s="1810">
        <v>5</v>
      </c>
      <c r="AU10" s="1820" t="s">
        <v>2600</v>
      </c>
      <c r="AV10" s="1817">
        <v>7</v>
      </c>
      <c r="AW10" s="1817" t="s">
        <v>2601</v>
      </c>
      <c r="AX10" s="1811" t="s">
        <v>2602</v>
      </c>
      <c r="AY10" s="1811">
        <v>9.25</v>
      </c>
      <c r="AZ10" s="1817" t="s">
        <v>292</v>
      </c>
      <c r="BA10" s="1811">
        <v>9.25</v>
      </c>
      <c r="BB10" s="1811">
        <v>3000</v>
      </c>
      <c r="BC10" s="1810">
        <v>40</v>
      </c>
      <c r="BD10" s="1844" t="s">
        <v>2338</v>
      </c>
      <c r="BE10" s="1817">
        <v>9</v>
      </c>
      <c r="BF10" s="1817" t="s">
        <v>2296</v>
      </c>
      <c r="BG10" s="1811" t="s">
        <v>2297</v>
      </c>
      <c r="BH10" s="1811" t="s">
        <v>1800</v>
      </c>
      <c r="BI10" s="1817" t="s">
        <v>292</v>
      </c>
      <c r="BJ10" s="1811" t="s">
        <v>1800</v>
      </c>
      <c r="BK10" s="1811">
        <v>486.87</v>
      </c>
      <c r="BL10" s="1810">
        <v>86</v>
      </c>
      <c r="BM10" s="1844" t="s">
        <v>2468</v>
      </c>
      <c r="BN10" s="1817">
        <v>10</v>
      </c>
      <c r="BO10" s="1817" t="s">
        <v>2466</v>
      </c>
      <c r="BP10" s="1811" t="s">
        <v>2467</v>
      </c>
      <c r="BQ10" s="1811" t="s">
        <v>2289</v>
      </c>
      <c r="BR10" s="1817" t="s">
        <v>292</v>
      </c>
      <c r="BS10" s="1811" t="s">
        <v>2289</v>
      </c>
      <c r="BT10" s="1811">
        <v>746.72860000000003</v>
      </c>
    </row>
    <row r="11" spans="1:72" s="1771" customFormat="1" ht="12" customHeight="1">
      <c r="A11" s="1815">
        <v>6</v>
      </c>
      <c r="B11" s="1816" t="s">
        <v>2593</v>
      </c>
      <c r="C11" s="1816">
        <v>2</v>
      </c>
      <c r="D11" s="1816" t="s">
        <v>2136</v>
      </c>
      <c r="E11" s="1816" t="s">
        <v>2594</v>
      </c>
      <c r="F11" s="1808">
        <v>11.2</v>
      </c>
      <c r="G11" s="1816" t="s">
        <v>292</v>
      </c>
      <c r="H11" s="1808">
        <v>11.2</v>
      </c>
      <c r="I11" s="1804">
        <v>4500</v>
      </c>
      <c r="J11" s="1815">
        <v>52</v>
      </c>
      <c r="K11" s="1815" t="s">
        <v>1558</v>
      </c>
      <c r="L11" s="1815">
        <v>10</v>
      </c>
      <c r="M11" s="1818" t="s">
        <v>1494</v>
      </c>
      <c r="N11" s="1818" t="s">
        <v>1495</v>
      </c>
      <c r="O11" s="1818">
        <v>9.23</v>
      </c>
      <c r="P11" s="1815" t="s">
        <v>1559</v>
      </c>
      <c r="Q11" s="1818">
        <v>8.64</v>
      </c>
      <c r="R11" s="1818">
        <v>4000</v>
      </c>
      <c r="S11" s="1816">
        <v>99</v>
      </c>
      <c r="T11" s="1816" t="s">
        <v>1705</v>
      </c>
      <c r="U11" s="1816">
        <v>15</v>
      </c>
      <c r="V11" s="1819" t="s">
        <v>977</v>
      </c>
      <c r="W11" s="1816" t="s">
        <v>978</v>
      </c>
      <c r="X11" s="1804">
        <v>12.4</v>
      </c>
      <c r="Y11" s="1816" t="s">
        <v>292</v>
      </c>
      <c r="Z11" s="1804">
        <v>12.4</v>
      </c>
      <c r="AA11" s="1804">
        <v>200</v>
      </c>
      <c r="AB11" s="1816">
        <v>145</v>
      </c>
      <c r="AC11" s="1816" t="s">
        <v>1701</v>
      </c>
      <c r="AD11" s="1816">
        <v>20</v>
      </c>
      <c r="AE11" s="1819" t="s">
        <v>38</v>
      </c>
      <c r="AF11" s="1816" t="s">
        <v>49</v>
      </c>
      <c r="AG11" s="1804">
        <v>13.04</v>
      </c>
      <c r="AH11" s="1816" t="s">
        <v>292</v>
      </c>
      <c r="AI11" s="1804">
        <v>13.04</v>
      </c>
      <c r="AJ11" s="1804">
        <v>125</v>
      </c>
      <c r="AK11" s="1816">
        <v>191</v>
      </c>
      <c r="AL11" s="1816" t="s">
        <v>1732</v>
      </c>
      <c r="AM11" s="1816">
        <v>20</v>
      </c>
      <c r="AN11" s="1819" t="s">
        <v>1733</v>
      </c>
      <c r="AO11" s="1816" t="s">
        <v>1734</v>
      </c>
      <c r="AP11" s="1804">
        <v>12.18</v>
      </c>
      <c r="AQ11" s="1816" t="s">
        <v>292</v>
      </c>
      <c r="AR11" s="1804">
        <v>12.18</v>
      </c>
      <c r="AS11" s="1804">
        <v>100</v>
      </c>
      <c r="AT11" s="1816">
        <v>6</v>
      </c>
      <c r="AU11" s="1816" t="s">
        <v>2646</v>
      </c>
      <c r="AV11" s="1816">
        <v>7</v>
      </c>
      <c r="AW11" s="1819" t="s">
        <v>2647</v>
      </c>
      <c r="AX11" s="1816" t="s">
        <v>2648</v>
      </c>
      <c r="AY11" s="1804">
        <v>10.5</v>
      </c>
      <c r="AZ11" s="1816" t="s">
        <v>292</v>
      </c>
      <c r="BA11" s="1804">
        <v>10.050000000000001</v>
      </c>
      <c r="BB11" s="1804">
        <v>2000</v>
      </c>
      <c r="BC11" s="1816">
        <v>41</v>
      </c>
      <c r="BD11" s="1843" t="s">
        <v>2342</v>
      </c>
      <c r="BE11" s="1816">
        <v>10</v>
      </c>
      <c r="BF11" s="1819" t="s">
        <v>2331</v>
      </c>
      <c r="BG11" s="1816" t="s">
        <v>2334</v>
      </c>
      <c r="BH11" s="1804" t="s">
        <v>1800</v>
      </c>
      <c r="BI11" s="1816" t="s">
        <v>292</v>
      </c>
      <c r="BJ11" s="1804" t="s">
        <v>1800</v>
      </c>
      <c r="BK11" s="1804">
        <v>47.85</v>
      </c>
      <c r="BL11" s="1816">
        <v>87</v>
      </c>
      <c r="BM11" s="1843" t="s">
        <v>2374</v>
      </c>
      <c r="BN11" s="1816">
        <v>10</v>
      </c>
      <c r="BO11" s="1819" t="s">
        <v>2466</v>
      </c>
      <c r="BP11" s="1816" t="s">
        <v>2467</v>
      </c>
      <c r="BQ11" s="1804" t="s">
        <v>2289</v>
      </c>
      <c r="BR11" s="1816" t="s">
        <v>292</v>
      </c>
      <c r="BS11" s="1804" t="s">
        <v>2289</v>
      </c>
      <c r="BT11" s="1804">
        <v>251.9743</v>
      </c>
    </row>
    <row r="12" spans="1:72" s="1771" customFormat="1" ht="12" customHeight="1">
      <c r="A12" s="1810">
        <v>7</v>
      </c>
      <c r="B12" s="1810" t="s">
        <v>2607</v>
      </c>
      <c r="C12" s="1810">
        <v>2</v>
      </c>
      <c r="D12" s="1810" t="s">
        <v>2608</v>
      </c>
      <c r="E12" s="1810" t="s">
        <v>2609</v>
      </c>
      <c r="F12" s="1811">
        <v>12.18</v>
      </c>
      <c r="G12" s="1803" t="s">
        <v>292</v>
      </c>
      <c r="H12" s="1811">
        <v>12.18</v>
      </c>
      <c r="I12" s="1803">
        <v>4500</v>
      </c>
      <c r="J12" s="1813">
        <v>53</v>
      </c>
      <c r="K12" s="1813" t="s">
        <v>1565</v>
      </c>
      <c r="L12" s="1813">
        <v>10</v>
      </c>
      <c r="M12" s="1805" t="s">
        <v>1502</v>
      </c>
      <c r="N12" s="1805" t="s">
        <v>1503</v>
      </c>
      <c r="O12" s="1805">
        <v>9.15</v>
      </c>
      <c r="P12" s="1813" t="s">
        <v>1768</v>
      </c>
      <c r="Q12" s="1805">
        <v>6.64</v>
      </c>
      <c r="R12" s="1805">
        <v>4000</v>
      </c>
      <c r="S12" s="1810">
        <v>100</v>
      </c>
      <c r="T12" s="1820" t="s">
        <v>1710</v>
      </c>
      <c r="U12" s="1817">
        <v>15</v>
      </c>
      <c r="V12" s="1817" t="s">
        <v>1577</v>
      </c>
      <c r="W12" s="1811" t="s">
        <v>1711</v>
      </c>
      <c r="X12" s="1811">
        <v>12.4</v>
      </c>
      <c r="Y12" s="1817" t="s">
        <v>292</v>
      </c>
      <c r="Z12" s="1811">
        <v>12.4</v>
      </c>
      <c r="AA12" s="1811">
        <v>150</v>
      </c>
      <c r="AB12" s="1773">
        <v>146</v>
      </c>
      <c r="AC12" s="1820" t="s">
        <v>1706</v>
      </c>
      <c r="AD12" s="1817">
        <v>20</v>
      </c>
      <c r="AE12" s="1817" t="s">
        <v>39</v>
      </c>
      <c r="AF12" s="1811" t="s">
        <v>50</v>
      </c>
      <c r="AG12" s="1811">
        <v>13.04</v>
      </c>
      <c r="AH12" s="1817" t="s">
        <v>292</v>
      </c>
      <c r="AI12" s="1811">
        <v>13.04</v>
      </c>
      <c r="AJ12" s="1811">
        <v>125</v>
      </c>
      <c r="AK12" s="1810">
        <v>192</v>
      </c>
      <c r="AL12" s="1820" t="s">
        <v>1738</v>
      </c>
      <c r="AM12" s="1817">
        <v>20</v>
      </c>
      <c r="AN12" s="1817" t="s">
        <v>1739</v>
      </c>
      <c r="AO12" s="1811" t="s">
        <v>1740</v>
      </c>
      <c r="AP12" s="1811">
        <v>12.28</v>
      </c>
      <c r="AQ12" s="1817" t="s">
        <v>292</v>
      </c>
      <c r="AR12" s="1811">
        <v>12.28</v>
      </c>
      <c r="AS12" s="1811">
        <v>100</v>
      </c>
      <c r="AT12" s="1810">
        <v>7</v>
      </c>
      <c r="AU12" s="1820" t="s">
        <v>2916</v>
      </c>
      <c r="AV12" s="1817">
        <v>10</v>
      </c>
      <c r="AW12" s="1817" t="s">
        <v>2900</v>
      </c>
      <c r="AX12" s="1811" t="s">
        <v>2901</v>
      </c>
      <c r="AY12" s="1811">
        <v>9.75</v>
      </c>
      <c r="AZ12" s="1817" t="s">
        <v>292</v>
      </c>
      <c r="BA12" s="1811" t="s">
        <v>292</v>
      </c>
      <c r="BB12" s="1811">
        <v>10000</v>
      </c>
      <c r="BC12" s="1810">
        <v>42</v>
      </c>
      <c r="BD12" s="1844" t="s">
        <v>2343</v>
      </c>
      <c r="BE12" s="1817">
        <v>10</v>
      </c>
      <c r="BF12" s="1817" t="s">
        <v>2331</v>
      </c>
      <c r="BG12" s="1811" t="s">
        <v>2334</v>
      </c>
      <c r="BH12" s="1811" t="s">
        <v>1800</v>
      </c>
      <c r="BI12" s="1817" t="s">
        <v>292</v>
      </c>
      <c r="BJ12" s="1811" t="s">
        <v>1800</v>
      </c>
      <c r="BK12" s="1811">
        <v>69.86</v>
      </c>
      <c r="BL12" s="1810">
        <v>88</v>
      </c>
      <c r="BM12" s="1844" t="s">
        <v>2337</v>
      </c>
      <c r="BN12" s="1817">
        <v>10</v>
      </c>
      <c r="BO12" s="1817" t="s">
        <v>2466</v>
      </c>
      <c r="BP12" s="1811" t="s">
        <v>2467</v>
      </c>
      <c r="BQ12" s="1811" t="s">
        <v>2289</v>
      </c>
      <c r="BR12" s="1817" t="s">
        <v>292</v>
      </c>
      <c r="BS12" s="1811" t="s">
        <v>2289</v>
      </c>
      <c r="BT12" s="1811">
        <v>333.45920000000001</v>
      </c>
    </row>
    <row r="13" spans="1:72" s="1771" customFormat="1" ht="12" customHeight="1">
      <c r="A13" s="1816">
        <v>8</v>
      </c>
      <c r="B13" s="1816" t="s">
        <v>2625</v>
      </c>
      <c r="C13" s="1816">
        <v>2</v>
      </c>
      <c r="D13" s="1816" t="s">
        <v>2626</v>
      </c>
      <c r="E13" s="1816" t="s">
        <v>2627</v>
      </c>
      <c r="F13" s="1808">
        <v>11.97</v>
      </c>
      <c r="G13" s="1816" t="s">
        <v>292</v>
      </c>
      <c r="H13" s="1808">
        <v>11.97</v>
      </c>
      <c r="I13" s="1804">
        <v>4500</v>
      </c>
      <c r="J13" s="1815">
        <v>54</v>
      </c>
      <c r="K13" s="1815" t="s">
        <v>1571</v>
      </c>
      <c r="L13" s="1815">
        <v>10</v>
      </c>
      <c r="M13" s="1815" t="s">
        <v>1572</v>
      </c>
      <c r="N13" s="1815" t="s">
        <v>1573</v>
      </c>
      <c r="O13" s="1818">
        <v>8.74</v>
      </c>
      <c r="P13" s="1815" t="s">
        <v>292</v>
      </c>
      <c r="Q13" s="1818">
        <v>8.74</v>
      </c>
      <c r="R13" s="1818">
        <v>4500</v>
      </c>
      <c r="S13" s="1816">
        <v>101</v>
      </c>
      <c r="T13" s="1816" t="s">
        <v>1716</v>
      </c>
      <c r="U13" s="1816">
        <v>15</v>
      </c>
      <c r="V13" s="1819" t="s">
        <v>1583</v>
      </c>
      <c r="W13" s="1816" t="s">
        <v>1717</v>
      </c>
      <c r="X13" s="1804">
        <v>12.4</v>
      </c>
      <c r="Y13" s="1816" t="s">
        <v>292</v>
      </c>
      <c r="Z13" s="1804">
        <v>12.4</v>
      </c>
      <c r="AA13" s="1804">
        <v>150</v>
      </c>
      <c r="AB13" s="1816">
        <v>147</v>
      </c>
      <c r="AC13" s="1816" t="s">
        <v>1712</v>
      </c>
      <c r="AD13" s="1816">
        <v>20</v>
      </c>
      <c r="AE13" s="1819" t="s">
        <v>40</v>
      </c>
      <c r="AF13" s="1816" t="s">
        <v>51</v>
      </c>
      <c r="AG13" s="1804">
        <v>13.019999999999998</v>
      </c>
      <c r="AH13" s="1816" t="s">
        <v>292</v>
      </c>
      <c r="AI13" s="1804">
        <v>13.019999999999998</v>
      </c>
      <c r="AJ13" s="1804">
        <v>125</v>
      </c>
      <c r="AK13" s="1816">
        <v>193</v>
      </c>
      <c r="AL13" s="1816" t="s">
        <v>1743</v>
      </c>
      <c r="AM13" s="1816">
        <v>20</v>
      </c>
      <c r="AN13" s="1819" t="s">
        <v>1744</v>
      </c>
      <c r="AO13" s="1816" t="s">
        <v>1745</v>
      </c>
      <c r="AP13" s="1804">
        <v>12.38</v>
      </c>
      <c r="AQ13" s="1816" t="s">
        <v>292</v>
      </c>
      <c r="AR13" s="1804">
        <v>12.38</v>
      </c>
      <c r="AS13" s="1804">
        <v>100</v>
      </c>
      <c r="AT13" s="1816">
        <v>8</v>
      </c>
      <c r="AU13" s="1816" t="s">
        <v>2902</v>
      </c>
      <c r="AV13" s="1816">
        <v>7</v>
      </c>
      <c r="AW13" s="1819" t="s">
        <v>2903</v>
      </c>
      <c r="AX13" s="1819" t="s">
        <v>2904</v>
      </c>
      <c r="AY13" s="1804">
        <v>9.6</v>
      </c>
      <c r="AZ13" s="1816" t="s">
        <v>292</v>
      </c>
      <c r="BA13" s="1816" t="s">
        <v>292</v>
      </c>
      <c r="BB13" s="1804">
        <v>2500</v>
      </c>
      <c r="BC13" s="1816">
        <v>43</v>
      </c>
      <c r="BD13" s="1843" t="s">
        <v>2340</v>
      </c>
      <c r="BE13" s="1816">
        <v>10</v>
      </c>
      <c r="BF13" s="1819" t="s">
        <v>2331</v>
      </c>
      <c r="BG13" s="1816" t="s">
        <v>2334</v>
      </c>
      <c r="BH13" s="1804" t="s">
        <v>1800</v>
      </c>
      <c r="BI13" s="1816" t="s">
        <v>292</v>
      </c>
      <c r="BJ13" s="1804" t="s">
        <v>1800</v>
      </c>
      <c r="BK13" s="1804">
        <v>473.56</v>
      </c>
      <c r="BL13" s="1816">
        <v>89</v>
      </c>
      <c r="BM13" s="1843" t="s">
        <v>2383</v>
      </c>
      <c r="BN13" s="1816">
        <v>10</v>
      </c>
      <c r="BO13" s="1819" t="s">
        <v>2466</v>
      </c>
      <c r="BP13" s="1816" t="s">
        <v>2467</v>
      </c>
      <c r="BQ13" s="1804" t="s">
        <v>2289</v>
      </c>
      <c r="BR13" s="1816" t="s">
        <v>292</v>
      </c>
      <c r="BS13" s="1804" t="s">
        <v>2289</v>
      </c>
      <c r="BT13" s="1804">
        <v>88.062200000000004</v>
      </c>
    </row>
    <row r="14" spans="1:72" s="1771" customFormat="1" ht="12" customHeight="1">
      <c r="A14" s="1810">
        <v>9</v>
      </c>
      <c r="B14" s="1810" t="s">
        <v>2641</v>
      </c>
      <c r="C14" s="1810">
        <v>2</v>
      </c>
      <c r="D14" s="1803" t="s">
        <v>2642</v>
      </c>
      <c r="E14" s="1803" t="s">
        <v>2643</v>
      </c>
      <c r="F14" s="1811">
        <v>12.29</v>
      </c>
      <c r="G14" s="1803" t="s">
        <v>292</v>
      </c>
      <c r="H14" s="1811">
        <v>12.29</v>
      </c>
      <c r="I14" s="1803">
        <v>3500</v>
      </c>
      <c r="J14" s="1813">
        <v>55</v>
      </c>
      <c r="K14" s="1813" t="s">
        <v>1579</v>
      </c>
      <c r="L14" s="1813">
        <v>10</v>
      </c>
      <c r="M14" s="1805" t="s">
        <v>1531</v>
      </c>
      <c r="N14" s="1805" t="s">
        <v>1532</v>
      </c>
      <c r="O14" s="1805">
        <v>8.66</v>
      </c>
      <c r="P14" s="1813" t="s">
        <v>1782</v>
      </c>
      <c r="Q14" s="1805">
        <v>5.75</v>
      </c>
      <c r="R14" s="1805">
        <v>4500</v>
      </c>
      <c r="S14" s="1810">
        <v>102</v>
      </c>
      <c r="T14" s="1820" t="s">
        <v>1722</v>
      </c>
      <c r="U14" s="1817">
        <v>15</v>
      </c>
      <c r="V14" s="1817" t="s">
        <v>1592</v>
      </c>
      <c r="W14" s="1811" t="s">
        <v>1723</v>
      </c>
      <c r="X14" s="1811">
        <v>12.42</v>
      </c>
      <c r="Y14" s="1817" t="s">
        <v>292</v>
      </c>
      <c r="Z14" s="1811">
        <v>12.42</v>
      </c>
      <c r="AA14" s="1811">
        <v>150</v>
      </c>
      <c r="AB14" s="1773">
        <v>148</v>
      </c>
      <c r="AC14" s="1820" t="s">
        <v>1718</v>
      </c>
      <c r="AD14" s="1817">
        <v>20</v>
      </c>
      <c r="AE14" s="1817" t="s">
        <v>1</v>
      </c>
      <c r="AF14" s="1811" t="s">
        <v>42</v>
      </c>
      <c r="AG14" s="1811">
        <v>13</v>
      </c>
      <c r="AH14" s="1817" t="s">
        <v>292</v>
      </c>
      <c r="AI14" s="1811">
        <v>13</v>
      </c>
      <c r="AJ14" s="1811">
        <v>125</v>
      </c>
      <c r="AK14" s="1810">
        <v>194</v>
      </c>
      <c r="AL14" s="1820" t="s">
        <v>1749</v>
      </c>
      <c r="AM14" s="1817">
        <v>20</v>
      </c>
      <c r="AN14" s="1817" t="s">
        <v>1750</v>
      </c>
      <c r="AO14" s="1811" t="s">
        <v>1751</v>
      </c>
      <c r="AP14" s="1811">
        <v>12.48</v>
      </c>
      <c r="AQ14" s="1817" t="s">
        <v>292</v>
      </c>
      <c r="AR14" s="1811">
        <v>12.48</v>
      </c>
      <c r="AS14" s="1811">
        <v>100</v>
      </c>
      <c r="AT14" s="1810">
        <v>9</v>
      </c>
      <c r="AU14" s="1820" t="s">
        <v>2907</v>
      </c>
      <c r="AV14" s="1817">
        <v>7</v>
      </c>
      <c r="AW14" s="1817" t="s">
        <v>2905</v>
      </c>
      <c r="AX14" s="1811" t="s">
        <v>2906</v>
      </c>
      <c r="AY14" s="1811">
        <v>10.4</v>
      </c>
      <c r="AZ14" s="1817" t="s">
        <v>292</v>
      </c>
      <c r="BA14" s="1817" t="s">
        <v>292</v>
      </c>
      <c r="BB14" s="1811">
        <v>5900</v>
      </c>
      <c r="BC14" s="1810">
        <v>44</v>
      </c>
      <c r="BD14" s="1844" t="s">
        <v>2369</v>
      </c>
      <c r="BE14" s="1813">
        <v>8</v>
      </c>
      <c r="BF14" s="1813" t="s">
        <v>1822</v>
      </c>
      <c r="BG14" s="1813" t="s">
        <v>2366</v>
      </c>
      <c r="BH14" s="1836" t="s">
        <v>2289</v>
      </c>
      <c r="BI14" s="1813" t="s">
        <v>292</v>
      </c>
      <c r="BJ14" s="1851" t="s">
        <v>2289</v>
      </c>
      <c r="BK14" s="1805">
        <v>511.65</v>
      </c>
      <c r="BL14" s="1810">
        <v>90</v>
      </c>
      <c r="BM14" s="1844" t="s">
        <v>2394</v>
      </c>
      <c r="BN14" s="1813">
        <v>9</v>
      </c>
      <c r="BO14" s="1813" t="s">
        <v>2501</v>
      </c>
      <c r="BP14" s="1813" t="s">
        <v>2502</v>
      </c>
      <c r="BQ14" s="1836" t="s">
        <v>2289</v>
      </c>
      <c r="BR14" s="1813" t="s">
        <v>292</v>
      </c>
      <c r="BS14" s="1851" t="s">
        <v>2289</v>
      </c>
      <c r="BT14" s="1805">
        <v>92.1</v>
      </c>
    </row>
    <row r="15" spans="1:72" s="1771" customFormat="1" ht="12" customHeight="1">
      <c r="A15" s="1816">
        <v>10</v>
      </c>
      <c r="B15" s="1816" t="s">
        <v>2653</v>
      </c>
      <c r="C15" s="1816">
        <v>2</v>
      </c>
      <c r="D15" s="1816" t="s">
        <v>2654</v>
      </c>
      <c r="E15" s="1816" t="s">
        <v>2655</v>
      </c>
      <c r="F15" s="1808">
        <v>11.6</v>
      </c>
      <c r="G15" s="1816" t="s">
        <v>2682</v>
      </c>
      <c r="H15" s="1808">
        <v>10.2399</v>
      </c>
      <c r="I15" s="1804">
        <v>6640.5</v>
      </c>
      <c r="J15" s="1815">
        <v>56</v>
      </c>
      <c r="K15" s="1815" t="s">
        <v>1585</v>
      </c>
      <c r="L15" s="1815">
        <v>10</v>
      </c>
      <c r="M15" s="1818" t="s">
        <v>1541</v>
      </c>
      <c r="N15" s="1818" t="s">
        <v>1586</v>
      </c>
      <c r="O15" s="1818">
        <v>7.89</v>
      </c>
      <c r="P15" s="1815" t="s">
        <v>2187</v>
      </c>
      <c r="Q15" s="1818">
        <v>8.91</v>
      </c>
      <c r="R15" s="1818">
        <v>6000</v>
      </c>
      <c r="S15" s="1816">
        <v>103</v>
      </c>
      <c r="T15" s="1816" t="s">
        <v>1729</v>
      </c>
      <c r="U15" s="1816">
        <v>15</v>
      </c>
      <c r="V15" s="1816" t="s">
        <v>1597</v>
      </c>
      <c r="W15" s="1816" t="s">
        <v>1730</v>
      </c>
      <c r="X15" s="1804">
        <v>12.42</v>
      </c>
      <c r="Y15" s="1819" t="s">
        <v>2909</v>
      </c>
      <c r="Z15" s="1804">
        <v>10.43</v>
      </c>
      <c r="AA15" s="1804">
        <v>8150</v>
      </c>
      <c r="AB15" s="1816">
        <v>149</v>
      </c>
      <c r="AC15" s="1816" t="s">
        <v>1724</v>
      </c>
      <c r="AD15" s="1816">
        <v>20</v>
      </c>
      <c r="AE15" s="1819" t="s">
        <v>2</v>
      </c>
      <c r="AF15" s="1816" t="s">
        <v>3</v>
      </c>
      <c r="AG15" s="1804">
        <v>12.990000000000002</v>
      </c>
      <c r="AH15" s="1816" t="s">
        <v>292</v>
      </c>
      <c r="AI15" s="1804">
        <v>12.990000000000002</v>
      </c>
      <c r="AJ15" s="1804">
        <v>125</v>
      </c>
      <c r="AK15" s="1816">
        <v>195</v>
      </c>
      <c r="AL15" s="1816" t="s">
        <v>1755</v>
      </c>
      <c r="AM15" s="1816">
        <v>20</v>
      </c>
      <c r="AN15" s="1819" t="s">
        <v>1756</v>
      </c>
      <c r="AO15" s="1816" t="s">
        <v>1757</v>
      </c>
      <c r="AP15" s="1804">
        <v>12.479999999999999</v>
      </c>
      <c r="AQ15" s="1816" t="s">
        <v>292</v>
      </c>
      <c r="AR15" s="1804">
        <v>12.479999999999999</v>
      </c>
      <c r="AS15" s="1804">
        <v>100</v>
      </c>
      <c r="AT15" s="1816">
        <v>10</v>
      </c>
      <c r="AU15" s="1816" t="s">
        <v>2917</v>
      </c>
      <c r="AV15" s="1816">
        <v>5</v>
      </c>
      <c r="AW15" s="1819" t="s">
        <v>2918</v>
      </c>
      <c r="AX15" s="1816" t="s">
        <v>2919</v>
      </c>
      <c r="AY15" s="1804">
        <v>9.75</v>
      </c>
      <c r="AZ15" s="1816" t="s">
        <v>292</v>
      </c>
      <c r="BA15" s="1816" t="s">
        <v>292</v>
      </c>
      <c r="BB15" s="1804">
        <v>5600</v>
      </c>
      <c r="BC15" s="1816">
        <v>45</v>
      </c>
      <c r="BD15" s="1843" t="s">
        <v>2370</v>
      </c>
      <c r="BE15" s="1815">
        <v>8</v>
      </c>
      <c r="BF15" s="1815" t="s">
        <v>1822</v>
      </c>
      <c r="BG15" s="1815" t="s">
        <v>2366</v>
      </c>
      <c r="BH15" s="1837" t="s">
        <v>2289</v>
      </c>
      <c r="BI15" s="1815" t="s">
        <v>292</v>
      </c>
      <c r="BJ15" s="1852" t="s">
        <v>2289</v>
      </c>
      <c r="BK15" s="1818">
        <v>373.47250000000003</v>
      </c>
      <c r="BL15" s="1816">
        <v>91</v>
      </c>
      <c r="BM15" s="1843" t="s">
        <v>2499</v>
      </c>
      <c r="BN15" s="1815">
        <v>9</v>
      </c>
      <c r="BO15" s="1815" t="s">
        <v>2501</v>
      </c>
      <c r="BP15" s="1815" t="s">
        <v>2502</v>
      </c>
      <c r="BQ15" s="1837" t="s">
        <v>2289</v>
      </c>
      <c r="BR15" s="1815" t="s">
        <v>292</v>
      </c>
      <c r="BS15" s="1852" t="s">
        <v>2289</v>
      </c>
      <c r="BT15" s="1818">
        <v>16.989999999999998</v>
      </c>
    </row>
    <row r="16" spans="1:72" s="1771" customFormat="1" ht="12" customHeight="1">
      <c r="A16" s="1810">
        <v>11</v>
      </c>
      <c r="B16" s="1820" t="s">
        <v>2702</v>
      </c>
      <c r="C16" s="1810">
        <v>2</v>
      </c>
      <c r="D16" s="1810" t="s">
        <v>2703</v>
      </c>
      <c r="E16" s="1810" t="s">
        <v>2704</v>
      </c>
      <c r="F16" s="1811">
        <v>10.17</v>
      </c>
      <c r="G16" s="1817" t="s">
        <v>2714</v>
      </c>
      <c r="H16" s="1811">
        <v>9.44</v>
      </c>
      <c r="I16" s="1811">
        <v>6000</v>
      </c>
      <c r="J16" s="1813">
        <v>57</v>
      </c>
      <c r="K16" s="1813" t="s">
        <v>1769</v>
      </c>
      <c r="L16" s="1813">
        <v>10</v>
      </c>
      <c r="M16" s="1805" t="s">
        <v>1770</v>
      </c>
      <c r="N16" s="1805" t="s">
        <v>1783</v>
      </c>
      <c r="O16" s="1805">
        <v>5.63</v>
      </c>
      <c r="P16" s="1813" t="s">
        <v>1777</v>
      </c>
      <c r="Q16" s="1805">
        <v>5.77</v>
      </c>
      <c r="R16" s="1805">
        <v>4500</v>
      </c>
      <c r="S16" s="1810">
        <v>104</v>
      </c>
      <c r="T16" s="1820" t="s">
        <v>1736</v>
      </c>
      <c r="U16" s="1817">
        <v>15</v>
      </c>
      <c r="V16" s="1817" t="s">
        <v>1604</v>
      </c>
      <c r="W16" s="1811" t="s">
        <v>1793</v>
      </c>
      <c r="X16" s="1811">
        <v>12.29</v>
      </c>
      <c r="Y16" s="1817" t="s">
        <v>292</v>
      </c>
      <c r="Z16" s="1811">
        <v>12.29</v>
      </c>
      <c r="AA16" s="1811">
        <v>150</v>
      </c>
      <c r="AB16" s="1773">
        <v>150</v>
      </c>
      <c r="AC16" s="1820" t="s">
        <v>1731</v>
      </c>
      <c r="AD16" s="1817">
        <v>20</v>
      </c>
      <c r="AE16" s="1817" t="s">
        <v>4</v>
      </c>
      <c r="AF16" s="1811" t="s">
        <v>5</v>
      </c>
      <c r="AG16" s="1811">
        <v>12.98</v>
      </c>
      <c r="AH16" s="1817" t="s">
        <v>292</v>
      </c>
      <c r="AI16" s="1811">
        <v>12.98</v>
      </c>
      <c r="AJ16" s="1811">
        <v>150</v>
      </c>
      <c r="AK16" s="1810">
        <v>196</v>
      </c>
      <c r="AL16" s="1820" t="s">
        <v>1761</v>
      </c>
      <c r="AM16" s="1817">
        <v>20</v>
      </c>
      <c r="AN16" s="1817" t="s">
        <v>1762</v>
      </c>
      <c r="AO16" s="1811" t="s">
        <v>1763</v>
      </c>
      <c r="AP16" s="1811">
        <v>12.479999999999999</v>
      </c>
      <c r="AQ16" s="1817" t="s">
        <v>292</v>
      </c>
      <c r="AR16" s="1811">
        <v>12.479999999999999</v>
      </c>
      <c r="AS16" s="1811">
        <v>100</v>
      </c>
      <c r="AT16" s="1856" t="s">
        <v>1895</v>
      </c>
      <c r="AU16" s="1855"/>
      <c r="AV16" s="1817"/>
      <c r="AW16" s="1817"/>
      <c r="AX16" s="1811"/>
      <c r="AY16" s="1811"/>
      <c r="AZ16" s="1817"/>
      <c r="BA16" s="1811"/>
      <c r="BB16" s="1811"/>
      <c r="BC16" s="1810">
        <v>46</v>
      </c>
      <c r="BD16" s="1844" t="s">
        <v>2371</v>
      </c>
      <c r="BE16" s="1813">
        <v>8</v>
      </c>
      <c r="BF16" s="1805" t="s">
        <v>2367</v>
      </c>
      <c r="BG16" s="1813" t="s">
        <v>2377</v>
      </c>
      <c r="BH16" s="1836" t="s">
        <v>2289</v>
      </c>
      <c r="BI16" s="1813" t="s">
        <v>292</v>
      </c>
      <c r="BJ16" s="1851" t="s">
        <v>2289</v>
      </c>
      <c r="BK16" s="1805">
        <v>42.789400000000001</v>
      </c>
      <c r="BL16" s="1810">
        <v>92</v>
      </c>
      <c r="BM16" s="1844" t="s">
        <v>2500</v>
      </c>
      <c r="BN16" s="1813">
        <v>9</v>
      </c>
      <c r="BO16" s="1805" t="s">
        <v>2501</v>
      </c>
      <c r="BP16" s="1813" t="s">
        <v>2502</v>
      </c>
      <c r="BQ16" s="1836" t="s">
        <v>2289</v>
      </c>
      <c r="BR16" s="1813" t="s">
        <v>292</v>
      </c>
      <c r="BS16" s="1851" t="s">
        <v>2289</v>
      </c>
      <c r="BT16" s="1805">
        <v>860.16669999999999</v>
      </c>
    </row>
    <row r="17" spans="1:72" s="1771" customFormat="1" ht="12" customHeight="1">
      <c r="A17" s="1816">
        <v>12</v>
      </c>
      <c r="B17" s="1816" t="s">
        <v>2733</v>
      </c>
      <c r="C17" s="1816">
        <v>2</v>
      </c>
      <c r="D17" s="1816" t="s">
        <v>2734</v>
      </c>
      <c r="E17" s="1816" t="s">
        <v>2735</v>
      </c>
      <c r="F17" s="1808">
        <v>10.1</v>
      </c>
      <c r="G17" s="1816" t="s">
        <v>2764</v>
      </c>
      <c r="H17" s="1808">
        <v>10.719900000000001</v>
      </c>
      <c r="I17" s="1804">
        <v>7500</v>
      </c>
      <c r="J17" s="1815">
        <v>58</v>
      </c>
      <c r="K17" s="1815" t="s">
        <v>1787</v>
      </c>
      <c r="L17" s="1815">
        <v>10</v>
      </c>
      <c r="M17" s="1818" t="s">
        <v>1788</v>
      </c>
      <c r="N17" s="1818" t="s">
        <v>1789</v>
      </c>
      <c r="O17" s="1818">
        <v>6.01</v>
      </c>
      <c r="P17" s="1815" t="s">
        <v>1843</v>
      </c>
      <c r="Q17" s="1818">
        <v>5.99</v>
      </c>
      <c r="R17" s="1818">
        <v>4500</v>
      </c>
      <c r="S17" s="1816">
        <v>105</v>
      </c>
      <c r="T17" s="1816" t="s">
        <v>2422</v>
      </c>
      <c r="U17" s="1816">
        <v>15</v>
      </c>
      <c r="V17" s="1819" t="s">
        <v>999</v>
      </c>
      <c r="W17" s="1816" t="s">
        <v>2423</v>
      </c>
      <c r="X17" s="1804">
        <v>12.29</v>
      </c>
      <c r="Y17" s="1816" t="s">
        <v>292</v>
      </c>
      <c r="Z17" s="1804">
        <v>12.29</v>
      </c>
      <c r="AA17" s="1804">
        <v>150</v>
      </c>
      <c r="AB17" s="1816">
        <v>151</v>
      </c>
      <c r="AC17" s="1816" t="s">
        <v>1737</v>
      </c>
      <c r="AD17" s="1816">
        <v>20</v>
      </c>
      <c r="AE17" s="1819" t="s">
        <v>6</v>
      </c>
      <c r="AF17" s="1816" t="s">
        <v>7</v>
      </c>
      <c r="AG17" s="1804">
        <v>11.48</v>
      </c>
      <c r="AH17" s="1816" t="s">
        <v>292</v>
      </c>
      <c r="AI17" s="1804">
        <v>11.48</v>
      </c>
      <c r="AJ17" s="1804">
        <v>150</v>
      </c>
      <c r="AK17" s="1816">
        <v>197</v>
      </c>
      <c r="AL17" s="1816" t="s">
        <v>1562</v>
      </c>
      <c r="AM17" s="1816">
        <v>20</v>
      </c>
      <c r="AN17" s="1819" t="s">
        <v>1563</v>
      </c>
      <c r="AO17" s="1816" t="s">
        <v>1564</v>
      </c>
      <c r="AP17" s="1804">
        <v>12.47</v>
      </c>
      <c r="AQ17" s="1816" t="s">
        <v>292</v>
      </c>
      <c r="AR17" s="1804">
        <v>12.47</v>
      </c>
      <c r="AS17" s="1804">
        <v>100</v>
      </c>
      <c r="AT17" s="1816">
        <v>1</v>
      </c>
      <c r="AU17" s="1842" t="s">
        <v>1803</v>
      </c>
      <c r="AV17" s="1816">
        <v>7</v>
      </c>
      <c r="AW17" s="1819" t="s">
        <v>1801</v>
      </c>
      <c r="AX17" s="1816" t="s">
        <v>1802</v>
      </c>
      <c r="AY17" s="1804">
        <v>5</v>
      </c>
      <c r="AZ17" s="1816" t="s">
        <v>292</v>
      </c>
      <c r="BA17" s="1804">
        <v>5</v>
      </c>
      <c r="BB17" s="1804">
        <v>1438.54</v>
      </c>
      <c r="BC17" s="1816">
        <v>47</v>
      </c>
      <c r="BD17" s="1843" t="s">
        <v>2372</v>
      </c>
      <c r="BE17" s="1815">
        <v>9</v>
      </c>
      <c r="BF17" s="1815" t="s">
        <v>1822</v>
      </c>
      <c r="BG17" s="1815" t="s">
        <v>2378</v>
      </c>
      <c r="BH17" s="1837" t="s">
        <v>2289</v>
      </c>
      <c r="BI17" s="1815" t="s">
        <v>292</v>
      </c>
      <c r="BJ17" s="1852" t="s">
        <v>2289</v>
      </c>
      <c r="BK17" s="1818">
        <v>2351.3143</v>
      </c>
      <c r="BL17" s="1816">
        <v>93</v>
      </c>
      <c r="BM17" s="1843" t="s">
        <v>2395</v>
      </c>
      <c r="BN17" s="1815">
        <v>9</v>
      </c>
      <c r="BO17" s="1815" t="s">
        <v>2501</v>
      </c>
      <c r="BP17" s="1815" t="s">
        <v>2502</v>
      </c>
      <c r="BQ17" s="1837" t="s">
        <v>2289</v>
      </c>
      <c r="BR17" s="1815" t="s">
        <v>292</v>
      </c>
      <c r="BS17" s="1852" t="s">
        <v>2289</v>
      </c>
      <c r="BT17" s="1818">
        <v>561.82989999999995</v>
      </c>
    </row>
    <row r="18" spans="1:72" s="1771" customFormat="1" ht="12" customHeight="1">
      <c r="A18" s="1810">
        <v>13</v>
      </c>
      <c r="B18" s="1820" t="s">
        <v>2491</v>
      </c>
      <c r="C18" s="1810">
        <v>3</v>
      </c>
      <c r="D18" s="1810" t="s">
        <v>2489</v>
      </c>
      <c r="E18" s="1810" t="s">
        <v>2492</v>
      </c>
      <c r="F18" s="1811">
        <v>11.67</v>
      </c>
      <c r="G18" s="1817" t="s">
        <v>2531</v>
      </c>
      <c r="H18" s="1811">
        <v>13.18</v>
      </c>
      <c r="I18" s="1811">
        <v>929.76</v>
      </c>
      <c r="J18" s="1813">
        <v>59</v>
      </c>
      <c r="K18" s="1820" t="s">
        <v>1797</v>
      </c>
      <c r="L18" s="1820">
        <v>10</v>
      </c>
      <c r="M18" s="1811" t="s">
        <v>1798</v>
      </c>
      <c r="N18" s="1811" t="s">
        <v>1799</v>
      </c>
      <c r="O18" s="1811">
        <v>5.8</v>
      </c>
      <c r="P18" s="1820" t="s">
        <v>1809</v>
      </c>
      <c r="Q18" s="1811">
        <v>5.38</v>
      </c>
      <c r="R18" s="1811">
        <v>4500</v>
      </c>
      <c r="S18" s="1810">
        <v>106</v>
      </c>
      <c r="T18" s="1820" t="s">
        <v>1747</v>
      </c>
      <c r="U18" s="1817">
        <v>15</v>
      </c>
      <c r="V18" s="1817" t="s">
        <v>1002</v>
      </c>
      <c r="W18" s="1811" t="s">
        <v>1004</v>
      </c>
      <c r="X18" s="1811">
        <v>12.2</v>
      </c>
      <c r="Y18" s="1817" t="s">
        <v>292</v>
      </c>
      <c r="Z18" s="1811">
        <v>12.2</v>
      </c>
      <c r="AA18" s="1811">
        <v>150</v>
      </c>
      <c r="AB18" s="1773">
        <v>152</v>
      </c>
      <c r="AC18" s="1820" t="s">
        <v>1742</v>
      </c>
      <c r="AD18" s="1817">
        <v>20</v>
      </c>
      <c r="AE18" s="1817" t="s">
        <v>8</v>
      </c>
      <c r="AF18" s="1811" t="s">
        <v>9</v>
      </c>
      <c r="AG18" s="1811">
        <v>11.09</v>
      </c>
      <c r="AH18" s="1817" t="s">
        <v>292</v>
      </c>
      <c r="AI18" s="1811">
        <v>11.09</v>
      </c>
      <c r="AJ18" s="1811">
        <v>3633.2</v>
      </c>
      <c r="AK18" s="1810">
        <v>198</v>
      </c>
      <c r="AL18" s="1820" t="s">
        <v>1568</v>
      </c>
      <c r="AM18" s="1817">
        <v>20</v>
      </c>
      <c r="AN18" s="1817" t="s">
        <v>1569</v>
      </c>
      <c r="AO18" s="1811" t="s">
        <v>1570</v>
      </c>
      <c r="AP18" s="1811">
        <v>12.479999999999999</v>
      </c>
      <c r="AQ18" s="1817" t="s">
        <v>292</v>
      </c>
      <c r="AR18" s="1811">
        <v>12.479999999999999</v>
      </c>
      <c r="AS18" s="1811">
        <v>100</v>
      </c>
      <c r="AT18" s="1810">
        <v>2</v>
      </c>
      <c r="AU18" s="1855" t="s">
        <v>1803</v>
      </c>
      <c r="AV18" s="1817">
        <v>7</v>
      </c>
      <c r="AW18" s="1817" t="s">
        <v>1801</v>
      </c>
      <c r="AX18" s="1811" t="s">
        <v>1802</v>
      </c>
      <c r="AY18" s="1811" t="s">
        <v>1800</v>
      </c>
      <c r="AZ18" s="1817" t="s">
        <v>292</v>
      </c>
      <c r="BA18" s="1811" t="s">
        <v>1800</v>
      </c>
      <c r="BB18" s="1811">
        <v>554</v>
      </c>
      <c r="BC18" s="1810">
        <v>48</v>
      </c>
      <c r="BD18" s="1844" t="s">
        <v>2373</v>
      </c>
      <c r="BE18" s="1813">
        <v>8</v>
      </c>
      <c r="BF18" s="1813" t="s">
        <v>1822</v>
      </c>
      <c r="BG18" s="1813" t="s">
        <v>2366</v>
      </c>
      <c r="BH18" s="1836" t="s">
        <v>2289</v>
      </c>
      <c r="BI18" s="1813" t="s">
        <v>292</v>
      </c>
      <c r="BJ18" s="1851" t="s">
        <v>2289</v>
      </c>
      <c r="BK18" s="1805">
        <v>37.255499999999998</v>
      </c>
      <c r="BL18" s="1810">
        <v>94</v>
      </c>
      <c r="BM18" s="1844" t="s">
        <v>2392</v>
      </c>
      <c r="BN18" s="1813">
        <v>9</v>
      </c>
      <c r="BO18" s="1813" t="s">
        <v>2501</v>
      </c>
      <c r="BP18" s="1813" t="s">
        <v>2502</v>
      </c>
      <c r="BQ18" s="1836" t="s">
        <v>2289</v>
      </c>
      <c r="BR18" s="1813" t="s">
        <v>292</v>
      </c>
      <c r="BS18" s="1851" t="s">
        <v>2289</v>
      </c>
      <c r="BT18" s="1805">
        <v>176.00030000000001</v>
      </c>
    </row>
    <row r="19" spans="1:72" s="1771" customFormat="1" ht="12" customHeight="1">
      <c r="A19" s="1816">
        <v>14</v>
      </c>
      <c r="B19" s="1816" t="s">
        <v>2546</v>
      </c>
      <c r="C19" s="1816">
        <v>3</v>
      </c>
      <c r="D19" s="1816" t="s">
        <v>2547</v>
      </c>
      <c r="E19" s="1816" t="s">
        <v>2548</v>
      </c>
      <c r="F19" s="1808">
        <v>11.59</v>
      </c>
      <c r="G19" s="1816" t="s">
        <v>292</v>
      </c>
      <c r="H19" s="1808">
        <v>13.19</v>
      </c>
      <c r="I19" s="1804">
        <v>300</v>
      </c>
      <c r="J19" s="1815">
        <v>60</v>
      </c>
      <c r="K19" s="1815" t="s">
        <v>1844</v>
      </c>
      <c r="L19" s="1815">
        <v>10</v>
      </c>
      <c r="M19" s="1815" t="s">
        <v>1845</v>
      </c>
      <c r="N19" s="1815" t="s">
        <v>1846</v>
      </c>
      <c r="O19" s="1818">
        <v>5.4</v>
      </c>
      <c r="P19" s="1815" t="s">
        <v>1848</v>
      </c>
      <c r="Q19" s="1818">
        <v>6.33</v>
      </c>
      <c r="R19" s="1818">
        <v>4000</v>
      </c>
      <c r="S19" s="1816">
        <v>107</v>
      </c>
      <c r="T19" s="1816" t="s">
        <v>1753</v>
      </c>
      <c r="U19" s="1816">
        <v>15</v>
      </c>
      <c r="V19" s="1819" t="s">
        <v>1005</v>
      </c>
      <c r="W19" s="1816" t="s">
        <v>1007</v>
      </c>
      <c r="X19" s="1804">
        <v>12.1</v>
      </c>
      <c r="Y19" s="1816" t="s">
        <v>292</v>
      </c>
      <c r="Z19" s="1804">
        <v>12.1</v>
      </c>
      <c r="AA19" s="1804">
        <v>150</v>
      </c>
      <c r="AB19" s="1816">
        <v>153</v>
      </c>
      <c r="AC19" s="1816" t="s">
        <v>1748</v>
      </c>
      <c r="AD19" s="1816">
        <v>20</v>
      </c>
      <c r="AE19" s="1819" t="s">
        <v>10</v>
      </c>
      <c r="AF19" s="1816" t="s">
        <v>11</v>
      </c>
      <c r="AG19" s="1804">
        <v>10.07</v>
      </c>
      <c r="AH19" s="1816" t="s">
        <v>292</v>
      </c>
      <c r="AI19" s="1804">
        <v>10.07</v>
      </c>
      <c r="AJ19" s="1804">
        <v>80</v>
      </c>
      <c r="AK19" s="1816">
        <v>199</v>
      </c>
      <c r="AL19" s="1816" t="s">
        <v>1576</v>
      </c>
      <c r="AM19" s="1816">
        <v>20</v>
      </c>
      <c r="AN19" s="1819" t="s">
        <v>1577</v>
      </c>
      <c r="AO19" s="1816" t="s">
        <v>1578</v>
      </c>
      <c r="AP19" s="1804">
        <v>12.479999999999999</v>
      </c>
      <c r="AQ19" s="1816" t="s">
        <v>292</v>
      </c>
      <c r="AR19" s="1804">
        <v>12.479999999999999</v>
      </c>
      <c r="AS19" s="1804">
        <v>150</v>
      </c>
      <c r="AT19" s="1816">
        <v>3</v>
      </c>
      <c r="AU19" s="1842" t="s">
        <v>2286</v>
      </c>
      <c r="AV19" s="1816">
        <v>8</v>
      </c>
      <c r="AW19" s="1819" t="s">
        <v>2287</v>
      </c>
      <c r="AX19" s="1816" t="s">
        <v>2288</v>
      </c>
      <c r="AY19" s="1804" t="s">
        <v>2289</v>
      </c>
      <c r="AZ19" s="1816" t="s">
        <v>292</v>
      </c>
      <c r="BA19" s="1804" t="s">
        <v>2289</v>
      </c>
      <c r="BB19" s="1804">
        <v>459.26</v>
      </c>
      <c r="BC19" s="1816">
        <v>49</v>
      </c>
      <c r="BD19" s="1843" t="s">
        <v>2374</v>
      </c>
      <c r="BE19" s="1815">
        <v>10</v>
      </c>
      <c r="BF19" s="1815" t="s">
        <v>2368</v>
      </c>
      <c r="BG19" s="1815" t="s">
        <v>1014</v>
      </c>
      <c r="BH19" s="1837" t="s">
        <v>2289</v>
      </c>
      <c r="BI19" s="1815" t="s">
        <v>292</v>
      </c>
      <c r="BJ19" s="1852" t="s">
        <v>2289</v>
      </c>
      <c r="BK19" s="1818">
        <v>479.90859999999998</v>
      </c>
      <c r="BL19" s="1816">
        <v>95</v>
      </c>
      <c r="BM19" s="1843" t="s">
        <v>2503</v>
      </c>
      <c r="BN19" s="1815">
        <v>9</v>
      </c>
      <c r="BO19" s="1815" t="s">
        <v>2501</v>
      </c>
      <c r="BP19" s="1815" t="s">
        <v>2502</v>
      </c>
      <c r="BQ19" s="1837" t="s">
        <v>2289</v>
      </c>
      <c r="BR19" s="1815" t="s">
        <v>292</v>
      </c>
      <c r="BS19" s="1852" t="s">
        <v>2289</v>
      </c>
      <c r="BT19" s="1818">
        <v>100</v>
      </c>
    </row>
    <row r="20" spans="1:72" s="1771" customFormat="1" ht="12" customHeight="1">
      <c r="A20" s="1810">
        <v>15</v>
      </c>
      <c r="B20" s="1820" t="s">
        <v>2560</v>
      </c>
      <c r="C20" s="1810">
        <v>3</v>
      </c>
      <c r="D20" s="1810" t="s">
        <v>2558</v>
      </c>
      <c r="E20" s="1810" t="s">
        <v>2561</v>
      </c>
      <c r="F20" s="1811">
        <v>13.19</v>
      </c>
      <c r="G20" s="1817" t="s">
        <v>2610</v>
      </c>
      <c r="H20" s="1811">
        <v>13.15</v>
      </c>
      <c r="I20" s="1811">
        <v>1888.36</v>
      </c>
      <c r="J20" s="1813">
        <v>61</v>
      </c>
      <c r="K20" s="1813" t="s">
        <v>1870</v>
      </c>
      <c r="L20" s="1813">
        <v>10</v>
      </c>
      <c r="M20" s="1813" t="s">
        <v>1871</v>
      </c>
      <c r="N20" s="1813" t="s">
        <v>1872</v>
      </c>
      <c r="O20" s="1805">
        <v>6.8</v>
      </c>
      <c r="P20" s="1813" t="s">
        <v>1908</v>
      </c>
      <c r="Q20" s="1805">
        <v>7.4</v>
      </c>
      <c r="R20" s="1805">
        <v>4500</v>
      </c>
      <c r="S20" s="1810">
        <v>108</v>
      </c>
      <c r="T20" s="1820" t="s">
        <v>1759</v>
      </c>
      <c r="U20" s="1817">
        <v>15</v>
      </c>
      <c r="V20" s="1817" t="s">
        <v>1009</v>
      </c>
      <c r="W20" s="1811" t="s">
        <v>1010</v>
      </c>
      <c r="X20" s="1811">
        <v>12</v>
      </c>
      <c r="Y20" s="1817" t="s">
        <v>292</v>
      </c>
      <c r="Z20" s="1811">
        <v>12</v>
      </c>
      <c r="AA20" s="1811">
        <v>350</v>
      </c>
      <c r="AB20" s="1773">
        <v>154</v>
      </c>
      <c r="AC20" s="1820" t="s">
        <v>1754</v>
      </c>
      <c r="AD20" s="1817">
        <v>20</v>
      </c>
      <c r="AE20" s="1817" t="s">
        <v>12</v>
      </c>
      <c r="AF20" s="1811" t="s">
        <v>13</v>
      </c>
      <c r="AG20" s="1811">
        <v>8.9700000000000006</v>
      </c>
      <c r="AH20" s="1817" t="s">
        <v>292</v>
      </c>
      <c r="AI20" s="1811">
        <v>8.9700000000000006</v>
      </c>
      <c r="AJ20" s="1811">
        <v>125</v>
      </c>
      <c r="AK20" s="1810">
        <v>200</v>
      </c>
      <c r="AL20" s="1820" t="s">
        <v>1582</v>
      </c>
      <c r="AM20" s="1817">
        <v>20</v>
      </c>
      <c r="AN20" s="1817" t="s">
        <v>1583</v>
      </c>
      <c r="AO20" s="1811" t="s">
        <v>1584</v>
      </c>
      <c r="AP20" s="1811">
        <v>12.479999999999999</v>
      </c>
      <c r="AQ20" s="1817" t="s">
        <v>292</v>
      </c>
      <c r="AR20" s="1811">
        <v>12.479999999999999</v>
      </c>
      <c r="AS20" s="1811">
        <v>150</v>
      </c>
      <c r="AT20" s="1810">
        <v>4</v>
      </c>
      <c r="AU20" s="1855" t="s">
        <v>2290</v>
      </c>
      <c r="AV20" s="1817">
        <v>9</v>
      </c>
      <c r="AW20" s="1817" t="s">
        <v>2287</v>
      </c>
      <c r="AX20" s="1811" t="s">
        <v>2291</v>
      </c>
      <c r="AY20" s="1811" t="s">
        <v>2289</v>
      </c>
      <c r="AZ20" s="1817" t="s">
        <v>292</v>
      </c>
      <c r="BA20" s="1811" t="s">
        <v>2289</v>
      </c>
      <c r="BB20" s="1811">
        <v>2557.0700000000002</v>
      </c>
      <c r="BC20" s="1810">
        <v>50</v>
      </c>
      <c r="BD20" s="1844" t="s">
        <v>2375</v>
      </c>
      <c r="BE20" s="1813">
        <v>10</v>
      </c>
      <c r="BF20" s="1813" t="s">
        <v>2368</v>
      </c>
      <c r="BG20" s="1813" t="s">
        <v>1014</v>
      </c>
      <c r="BH20" s="1836" t="s">
        <v>2289</v>
      </c>
      <c r="BI20" s="1813" t="s">
        <v>292</v>
      </c>
      <c r="BJ20" s="1851" t="s">
        <v>2289</v>
      </c>
      <c r="BK20" s="1805">
        <v>391.9316</v>
      </c>
      <c r="BL20" s="1810">
        <v>96</v>
      </c>
      <c r="BM20" s="1844" t="s">
        <v>2504</v>
      </c>
      <c r="BN20" s="1813">
        <v>9</v>
      </c>
      <c r="BO20" s="1813" t="s">
        <v>2501</v>
      </c>
      <c r="BP20" s="1813" t="s">
        <v>2502</v>
      </c>
      <c r="BQ20" s="1836" t="s">
        <v>2289</v>
      </c>
      <c r="BR20" s="1813" t="s">
        <v>292</v>
      </c>
      <c r="BS20" s="1851" t="s">
        <v>2289</v>
      </c>
      <c r="BT20" s="1805">
        <v>25</v>
      </c>
    </row>
    <row r="21" spans="1:72" s="1771" customFormat="1" ht="12" customHeight="1">
      <c r="A21" s="1816">
        <v>16</v>
      </c>
      <c r="B21" s="1816" t="s">
        <v>2628</v>
      </c>
      <c r="C21" s="1816">
        <v>3</v>
      </c>
      <c r="D21" s="1816" t="s">
        <v>2626</v>
      </c>
      <c r="E21" s="1816" t="s">
        <v>2629</v>
      </c>
      <c r="F21" s="1808">
        <v>11.79</v>
      </c>
      <c r="G21" s="1816" t="s">
        <v>292</v>
      </c>
      <c r="H21" s="1808">
        <v>12.94</v>
      </c>
      <c r="I21" s="1804">
        <v>500</v>
      </c>
      <c r="J21" s="1815">
        <v>62</v>
      </c>
      <c r="K21" s="1815" t="s">
        <v>1985</v>
      </c>
      <c r="L21" s="1815">
        <v>10</v>
      </c>
      <c r="M21" s="1815" t="s">
        <v>1986</v>
      </c>
      <c r="N21" s="1815" t="s">
        <v>1987</v>
      </c>
      <c r="O21" s="1818">
        <v>7.1</v>
      </c>
      <c r="P21" s="1815" t="s">
        <v>2020</v>
      </c>
      <c r="Q21" s="1818">
        <v>7.75</v>
      </c>
      <c r="R21" s="1818">
        <v>4500</v>
      </c>
      <c r="S21" s="1816">
        <v>109</v>
      </c>
      <c r="T21" s="1816" t="s">
        <v>1560</v>
      </c>
      <c r="U21" s="1816">
        <v>15</v>
      </c>
      <c r="V21" s="1819" t="s">
        <v>1011</v>
      </c>
      <c r="W21" s="1816" t="s">
        <v>1012</v>
      </c>
      <c r="X21" s="1804">
        <v>11.97</v>
      </c>
      <c r="Y21" s="1816" t="s">
        <v>292</v>
      </c>
      <c r="Z21" s="1804">
        <v>11.97</v>
      </c>
      <c r="AA21" s="1804">
        <v>350</v>
      </c>
      <c r="AB21" s="1816">
        <v>155</v>
      </c>
      <c r="AC21" s="1816" t="s">
        <v>1760</v>
      </c>
      <c r="AD21" s="1816">
        <v>20</v>
      </c>
      <c r="AE21" s="1819" t="s">
        <v>14</v>
      </c>
      <c r="AF21" s="1816" t="s">
        <v>15</v>
      </c>
      <c r="AG21" s="1804">
        <v>8.59</v>
      </c>
      <c r="AH21" s="1816" t="s">
        <v>292</v>
      </c>
      <c r="AI21" s="1804">
        <v>8.59</v>
      </c>
      <c r="AJ21" s="1804">
        <v>3</v>
      </c>
      <c r="AK21" s="1816">
        <v>201</v>
      </c>
      <c r="AL21" s="1816" t="s">
        <v>1591</v>
      </c>
      <c r="AM21" s="1816">
        <v>20</v>
      </c>
      <c r="AN21" s="1819" t="s">
        <v>1592</v>
      </c>
      <c r="AO21" s="1816" t="s">
        <v>1593</v>
      </c>
      <c r="AP21" s="1804">
        <v>12.479999999999999</v>
      </c>
      <c r="AQ21" s="1816" t="s">
        <v>292</v>
      </c>
      <c r="AR21" s="1804">
        <v>12.479999999999999</v>
      </c>
      <c r="AS21" s="1804">
        <v>150</v>
      </c>
      <c r="AT21" s="1816">
        <v>5</v>
      </c>
      <c r="AU21" s="1842" t="s">
        <v>2292</v>
      </c>
      <c r="AV21" s="1816">
        <v>9</v>
      </c>
      <c r="AW21" s="1819" t="s">
        <v>2293</v>
      </c>
      <c r="AX21" s="1816" t="s">
        <v>2294</v>
      </c>
      <c r="AY21" s="1804" t="s">
        <v>2289</v>
      </c>
      <c r="AZ21" s="1816" t="s">
        <v>292</v>
      </c>
      <c r="BA21" s="1804" t="s">
        <v>2289</v>
      </c>
      <c r="BB21" s="1804">
        <v>1896.7</v>
      </c>
      <c r="BC21" s="1816">
        <v>51</v>
      </c>
      <c r="BD21" s="1843" t="s">
        <v>2376</v>
      </c>
      <c r="BE21" s="1815">
        <v>10</v>
      </c>
      <c r="BF21" s="1815" t="s">
        <v>2368</v>
      </c>
      <c r="BG21" s="1815" t="s">
        <v>1014</v>
      </c>
      <c r="BH21" s="1837" t="s">
        <v>2289</v>
      </c>
      <c r="BI21" s="1815" t="s">
        <v>292</v>
      </c>
      <c r="BJ21" s="1852" t="s">
        <v>2289</v>
      </c>
      <c r="BK21" s="1818">
        <v>614.84180000000003</v>
      </c>
      <c r="BL21" s="1816">
        <v>97</v>
      </c>
      <c r="BM21" s="1843" t="s">
        <v>2505</v>
      </c>
      <c r="BN21" s="1815">
        <v>9</v>
      </c>
      <c r="BO21" s="1815" t="s">
        <v>2501</v>
      </c>
      <c r="BP21" s="1815" t="s">
        <v>2502</v>
      </c>
      <c r="BQ21" s="1837" t="s">
        <v>2289</v>
      </c>
      <c r="BR21" s="1815" t="s">
        <v>292</v>
      </c>
      <c r="BS21" s="1852" t="s">
        <v>2289</v>
      </c>
      <c r="BT21" s="1818">
        <v>10.816599999999999</v>
      </c>
    </row>
    <row r="22" spans="1:72" s="1771" customFormat="1" ht="12" customHeight="1">
      <c r="A22" s="1810">
        <v>17</v>
      </c>
      <c r="B22" s="1820" t="s">
        <v>2641</v>
      </c>
      <c r="C22" s="1810">
        <v>3</v>
      </c>
      <c r="D22" s="1810" t="s">
        <v>2642</v>
      </c>
      <c r="E22" s="1810" t="s">
        <v>2644</v>
      </c>
      <c r="F22" s="1811">
        <v>13.19</v>
      </c>
      <c r="G22" s="1817" t="s">
        <v>292</v>
      </c>
      <c r="H22" s="1811">
        <v>13.19</v>
      </c>
      <c r="I22" s="1811">
        <v>500</v>
      </c>
      <c r="J22" s="1813">
        <v>63</v>
      </c>
      <c r="K22" s="1813" t="s">
        <v>2026</v>
      </c>
      <c r="L22" s="1813">
        <v>10</v>
      </c>
      <c r="M22" s="1813" t="s">
        <v>2027</v>
      </c>
      <c r="N22" s="1813" t="s">
        <v>2028</v>
      </c>
      <c r="O22" s="1805">
        <v>8</v>
      </c>
      <c r="P22" s="1813" t="s">
        <v>2954</v>
      </c>
      <c r="Q22" s="1805">
        <v>9.7894000000000005</v>
      </c>
      <c r="R22" s="1805">
        <v>9800</v>
      </c>
      <c r="S22" s="1810">
        <v>110</v>
      </c>
      <c r="T22" s="1820" t="s">
        <v>1566</v>
      </c>
      <c r="U22" s="1817">
        <v>15</v>
      </c>
      <c r="V22" s="1817" t="s">
        <v>1015</v>
      </c>
      <c r="W22" s="1811" t="s">
        <v>1019</v>
      </c>
      <c r="X22" s="1811">
        <v>11.97</v>
      </c>
      <c r="Y22" s="1817" t="s">
        <v>292</v>
      </c>
      <c r="Z22" s="1811">
        <v>11.97</v>
      </c>
      <c r="AA22" s="1811">
        <v>400</v>
      </c>
      <c r="AB22" s="1773">
        <v>156</v>
      </c>
      <c r="AC22" s="1820" t="s">
        <v>1561</v>
      </c>
      <c r="AD22" s="1817">
        <v>20</v>
      </c>
      <c r="AE22" s="1817" t="s">
        <v>336</v>
      </c>
      <c r="AF22" s="1811" t="s">
        <v>337</v>
      </c>
      <c r="AG22" s="1811">
        <v>9.1</v>
      </c>
      <c r="AH22" s="1817" t="s">
        <v>292</v>
      </c>
      <c r="AI22" s="1811">
        <v>9.1</v>
      </c>
      <c r="AJ22" s="1811">
        <v>125</v>
      </c>
      <c r="AK22" s="1810">
        <v>202</v>
      </c>
      <c r="AL22" s="1820" t="s">
        <v>1596</v>
      </c>
      <c r="AM22" s="1817">
        <v>20</v>
      </c>
      <c r="AN22" s="1817" t="s">
        <v>1597</v>
      </c>
      <c r="AO22" s="1811" t="s">
        <v>1598</v>
      </c>
      <c r="AP22" s="1811">
        <v>12.479999999999999</v>
      </c>
      <c r="AQ22" s="1817" t="s">
        <v>292</v>
      </c>
      <c r="AR22" s="1811">
        <v>12.479999999999999</v>
      </c>
      <c r="AS22" s="1811">
        <v>150</v>
      </c>
      <c r="AT22" s="1810">
        <v>6</v>
      </c>
      <c r="AU22" s="1855" t="s">
        <v>2295</v>
      </c>
      <c r="AV22" s="1817">
        <v>9</v>
      </c>
      <c r="AW22" s="1817" t="s">
        <v>2296</v>
      </c>
      <c r="AX22" s="1811" t="s">
        <v>2297</v>
      </c>
      <c r="AY22" s="1811" t="s">
        <v>2289</v>
      </c>
      <c r="AZ22" s="1817" t="s">
        <v>292</v>
      </c>
      <c r="BA22" s="1811" t="s">
        <v>2289</v>
      </c>
      <c r="BB22" s="1811">
        <v>822.27</v>
      </c>
      <c r="BC22" s="1810">
        <v>52</v>
      </c>
      <c r="BD22" s="1844" t="s">
        <v>2379</v>
      </c>
      <c r="BE22" s="1813">
        <v>10</v>
      </c>
      <c r="BF22" s="1813" t="s">
        <v>2368</v>
      </c>
      <c r="BG22" s="1813" t="s">
        <v>1014</v>
      </c>
      <c r="BH22" s="1836" t="s">
        <v>2289</v>
      </c>
      <c r="BI22" s="1813" t="s">
        <v>292</v>
      </c>
      <c r="BJ22" s="1851" t="s">
        <v>2289</v>
      </c>
      <c r="BK22" s="1805">
        <v>155.9222</v>
      </c>
      <c r="BL22" s="1810">
        <v>98</v>
      </c>
      <c r="BM22" s="1844" t="s">
        <v>2506</v>
      </c>
      <c r="BN22" s="1813">
        <v>9</v>
      </c>
      <c r="BO22" s="1813" t="s">
        <v>2497</v>
      </c>
      <c r="BP22" s="1813" t="s">
        <v>2514</v>
      </c>
      <c r="BQ22" s="1836" t="s">
        <v>2289</v>
      </c>
      <c r="BR22" s="1813" t="s">
        <v>292</v>
      </c>
      <c r="BS22" s="1851" t="s">
        <v>2289</v>
      </c>
      <c r="BT22" s="1805">
        <v>309.88069999999999</v>
      </c>
    </row>
    <row r="23" spans="1:72" s="1771" customFormat="1" ht="12" customHeight="1">
      <c r="A23" s="1816">
        <v>18</v>
      </c>
      <c r="B23" s="1816" t="s">
        <v>2656</v>
      </c>
      <c r="C23" s="1816">
        <v>3</v>
      </c>
      <c r="D23" s="1816" t="s">
        <v>2654</v>
      </c>
      <c r="E23" s="1816" t="s">
        <v>2657</v>
      </c>
      <c r="F23" s="1808">
        <v>11.12</v>
      </c>
      <c r="G23" s="1816" t="s">
        <v>2703</v>
      </c>
      <c r="H23" s="1808">
        <v>11.75</v>
      </c>
      <c r="I23" s="1804">
        <v>1500</v>
      </c>
      <c r="J23" s="1815">
        <v>64</v>
      </c>
      <c r="K23" s="1815" t="s">
        <v>2048</v>
      </c>
      <c r="L23" s="1815">
        <v>10</v>
      </c>
      <c r="M23" s="1815" t="s">
        <v>2049</v>
      </c>
      <c r="N23" s="1815" t="s">
        <v>2050</v>
      </c>
      <c r="O23" s="1818">
        <v>8.1</v>
      </c>
      <c r="P23" s="1815" t="s">
        <v>2060</v>
      </c>
      <c r="Q23" s="1818">
        <v>7.89</v>
      </c>
      <c r="R23" s="1818">
        <v>4500</v>
      </c>
      <c r="S23" s="1816">
        <v>111</v>
      </c>
      <c r="T23" s="1816" t="s">
        <v>1574</v>
      </c>
      <c r="U23" s="1816">
        <v>15</v>
      </c>
      <c r="V23" s="1819" t="s">
        <v>1018</v>
      </c>
      <c r="W23" s="1816" t="s">
        <v>1020</v>
      </c>
      <c r="X23" s="1804">
        <v>11.97</v>
      </c>
      <c r="Y23" s="1816" t="s">
        <v>292</v>
      </c>
      <c r="Z23" s="1804">
        <v>11.97</v>
      </c>
      <c r="AA23" s="1804">
        <v>400</v>
      </c>
      <c r="AB23" s="1816">
        <v>157</v>
      </c>
      <c r="AC23" s="1816" t="s">
        <v>1567</v>
      </c>
      <c r="AD23" s="1816">
        <v>20</v>
      </c>
      <c r="AE23" s="1819" t="s">
        <v>338</v>
      </c>
      <c r="AF23" s="1816" t="s">
        <v>339</v>
      </c>
      <c r="AG23" s="1804">
        <v>9.1</v>
      </c>
      <c r="AH23" s="1816" t="s">
        <v>292</v>
      </c>
      <c r="AI23" s="1804">
        <v>9.1</v>
      </c>
      <c r="AJ23" s="1804">
        <v>150</v>
      </c>
      <c r="AK23" s="1816">
        <v>203</v>
      </c>
      <c r="AL23" s="1816" t="s">
        <v>1603</v>
      </c>
      <c r="AM23" s="1816">
        <v>20</v>
      </c>
      <c r="AN23" s="1819" t="s">
        <v>1604</v>
      </c>
      <c r="AO23" s="1816" t="s">
        <v>1605</v>
      </c>
      <c r="AP23" s="1804">
        <v>12.33</v>
      </c>
      <c r="AQ23" s="1816" t="s">
        <v>292</v>
      </c>
      <c r="AR23" s="1804">
        <v>12.33</v>
      </c>
      <c r="AS23" s="1804">
        <v>150</v>
      </c>
      <c r="AT23" s="1816">
        <v>7</v>
      </c>
      <c r="AU23" s="1842" t="s">
        <v>2298</v>
      </c>
      <c r="AV23" s="1816">
        <v>9</v>
      </c>
      <c r="AW23" s="1819" t="s">
        <v>2299</v>
      </c>
      <c r="AX23" s="1816" t="s">
        <v>2300</v>
      </c>
      <c r="AY23" s="1804" t="s">
        <v>2289</v>
      </c>
      <c r="AZ23" s="1816" t="s">
        <v>292</v>
      </c>
      <c r="BA23" s="1804" t="s">
        <v>2289</v>
      </c>
      <c r="BB23" s="1804">
        <v>135.59</v>
      </c>
      <c r="BC23" s="1816">
        <v>53</v>
      </c>
      <c r="BD23" s="1843" t="s">
        <v>2380</v>
      </c>
      <c r="BE23" s="1815">
        <v>10</v>
      </c>
      <c r="BF23" s="1815" t="s">
        <v>2368</v>
      </c>
      <c r="BG23" s="1815" t="s">
        <v>1014</v>
      </c>
      <c r="BH23" s="1837" t="s">
        <v>2289</v>
      </c>
      <c r="BI23" s="1815" t="s">
        <v>292</v>
      </c>
      <c r="BJ23" s="1852" t="s">
        <v>2289</v>
      </c>
      <c r="BK23" s="1818">
        <v>187.30029999999999</v>
      </c>
      <c r="BL23" s="1816">
        <v>99</v>
      </c>
      <c r="BM23" s="1843" t="s">
        <v>2507</v>
      </c>
      <c r="BN23" s="1815">
        <v>9</v>
      </c>
      <c r="BO23" s="1815" t="s">
        <v>2497</v>
      </c>
      <c r="BP23" s="1815" t="s">
        <v>2514</v>
      </c>
      <c r="BQ23" s="1837" t="s">
        <v>2289</v>
      </c>
      <c r="BR23" s="1815" t="s">
        <v>292</v>
      </c>
      <c r="BS23" s="1852" t="s">
        <v>2289</v>
      </c>
      <c r="BT23" s="1818">
        <v>5.1437999999999997</v>
      </c>
    </row>
    <row r="24" spans="1:72" s="1771" customFormat="1" ht="12" customHeight="1">
      <c r="A24" s="1810">
        <v>19</v>
      </c>
      <c r="B24" s="1820" t="s">
        <v>2713</v>
      </c>
      <c r="C24" s="1810">
        <v>3</v>
      </c>
      <c r="D24" s="1810" t="s">
        <v>2714</v>
      </c>
      <c r="E24" s="1810" t="s">
        <v>2715</v>
      </c>
      <c r="F24" s="1811">
        <v>10.33</v>
      </c>
      <c r="G24" s="1817" t="s">
        <v>2764</v>
      </c>
      <c r="H24" s="1811">
        <v>11.0846</v>
      </c>
      <c r="I24" s="1811">
        <v>1500</v>
      </c>
      <c r="J24" s="1813">
        <v>65</v>
      </c>
      <c r="K24" s="1813" t="s">
        <v>2096</v>
      </c>
      <c r="L24" s="1813">
        <v>10</v>
      </c>
      <c r="M24" s="1813" t="s">
        <v>2097</v>
      </c>
      <c r="N24" s="1813" t="s">
        <v>2098</v>
      </c>
      <c r="O24" s="1805">
        <v>8.1</v>
      </c>
      <c r="P24" s="1813" t="s">
        <v>2254</v>
      </c>
      <c r="Q24" s="1805">
        <v>11.9</v>
      </c>
      <c r="R24" s="1805">
        <v>5445.45</v>
      </c>
      <c r="S24" s="1810">
        <v>112</v>
      </c>
      <c r="T24" s="1820" t="s">
        <v>1580</v>
      </c>
      <c r="U24" s="1817">
        <v>15</v>
      </c>
      <c r="V24" s="1817" t="s">
        <v>1034</v>
      </c>
      <c r="W24" s="1811" t="s">
        <v>1035</v>
      </c>
      <c r="X24" s="1811">
        <v>11.87</v>
      </c>
      <c r="Y24" s="1817" t="s">
        <v>292</v>
      </c>
      <c r="Z24" s="1811">
        <v>11.87</v>
      </c>
      <c r="AA24" s="1811">
        <v>250</v>
      </c>
      <c r="AB24" s="1773">
        <v>158</v>
      </c>
      <c r="AC24" s="1820" t="s">
        <v>1575</v>
      </c>
      <c r="AD24" s="1817">
        <v>20</v>
      </c>
      <c r="AE24" s="1817" t="s">
        <v>340</v>
      </c>
      <c r="AF24" s="1811" t="s">
        <v>341</v>
      </c>
      <c r="AG24" s="1811">
        <v>9.11</v>
      </c>
      <c r="AH24" s="1817" t="s">
        <v>292</v>
      </c>
      <c r="AI24" s="1811">
        <v>9.11</v>
      </c>
      <c r="AJ24" s="1811">
        <v>100</v>
      </c>
      <c r="AK24" s="1810">
        <v>204</v>
      </c>
      <c r="AL24" s="1820" t="s">
        <v>1609</v>
      </c>
      <c r="AM24" s="1817">
        <v>20</v>
      </c>
      <c r="AN24" s="1817" t="s">
        <v>999</v>
      </c>
      <c r="AO24" s="1811" t="s">
        <v>1000</v>
      </c>
      <c r="AP24" s="1811">
        <v>12.33</v>
      </c>
      <c r="AQ24" s="1817" t="s">
        <v>292</v>
      </c>
      <c r="AR24" s="1811">
        <v>12.33</v>
      </c>
      <c r="AS24" s="1811">
        <v>150</v>
      </c>
      <c r="AT24" s="1810">
        <v>8</v>
      </c>
      <c r="AU24" s="1855" t="s">
        <v>2301</v>
      </c>
      <c r="AV24" s="1817">
        <v>9</v>
      </c>
      <c r="AW24" s="1817" t="s">
        <v>2299</v>
      </c>
      <c r="AX24" s="1811" t="s">
        <v>2300</v>
      </c>
      <c r="AY24" s="1811" t="s">
        <v>2289</v>
      </c>
      <c r="AZ24" s="1817" t="s">
        <v>292</v>
      </c>
      <c r="BA24" s="1811" t="s">
        <v>2289</v>
      </c>
      <c r="BB24" s="1811">
        <v>186.7</v>
      </c>
      <c r="BC24" s="1810">
        <v>54</v>
      </c>
      <c r="BD24" s="1844" t="s">
        <v>2381</v>
      </c>
      <c r="BE24" s="1813">
        <v>10</v>
      </c>
      <c r="BF24" s="1813" t="s">
        <v>2358</v>
      </c>
      <c r="BG24" s="1813" t="s">
        <v>2390</v>
      </c>
      <c r="BH24" s="1836" t="s">
        <v>2289</v>
      </c>
      <c r="BI24" s="1813" t="s">
        <v>292</v>
      </c>
      <c r="BJ24" s="1851" t="s">
        <v>2289</v>
      </c>
      <c r="BK24" s="1805">
        <v>98.564999999999998</v>
      </c>
      <c r="BL24" s="1810">
        <v>100</v>
      </c>
      <c r="BM24" s="1844" t="s">
        <v>2508</v>
      </c>
      <c r="BN24" s="1813">
        <v>10</v>
      </c>
      <c r="BO24" s="1813" t="s">
        <v>2497</v>
      </c>
      <c r="BP24" s="1813" t="s">
        <v>2515</v>
      </c>
      <c r="BQ24" s="1836" t="s">
        <v>2289</v>
      </c>
      <c r="BR24" s="1813" t="s">
        <v>292</v>
      </c>
      <c r="BS24" s="1851" t="s">
        <v>2289</v>
      </c>
      <c r="BT24" s="1805">
        <v>303.56979999999999</v>
      </c>
    </row>
    <row r="25" spans="1:72" s="1771" customFormat="1" ht="12" customHeight="1">
      <c r="A25" s="1816">
        <v>20</v>
      </c>
      <c r="B25" s="1816" t="s">
        <v>2775</v>
      </c>
      <c r="C25" s="1816">
        <v>3</v>
      </c>
      <c r="D25" s="1816" t="s">
        <v>2776</v>
      </c>
      <c r="E25" s="1816" t="s">
        <v>2777</v>
      </c>
      <c r="F25" s="1808">
        <v>10.62</v>
      </c>
      <c r="G25" s="1816" t="s">
        <v>2847</v>
      </c>
      <c r="H25" s="1808">
        <v>10.56</v>
      </c>
      <c r="I25" s="1804">
        <v>3000</v>
      </c>
      <c r="J25" s="1815">
        <v>66</v>
      </c>
      <c r="K25" s="1815" t="s">
        <v>2117</v>
      </c>
      <c r="L25" s="1815">
        <v>10</v>
      </c>
      <c r="M25" s="1818" t="s">
        <v>2118</v>
      </c>
      <c r="N25" s="1818" t="s">
        <v>2119</v>
      </c>
      <c r="O25" s="1818">
        <v>8.33</v>
      </c>
      <c r="P25" s="1815" t="s">
        <v>2131</v>
      </c>
      <c r="Q25" s="1818">
        <v>8.33</v>
      </c>
      <c r="R25" s="1818">
        <v>5500</v>
      </c>
      <c r="S25" s="1816">
        <v>113</v>
      </c>
      <c r="T25" s="1816" t="s">
        <v>1587</v>
      </c>
      <c r="U25" s="1816">
        <v>15</v>
      </c>
      <c r="V25" s="1819" t="s">
        <v>1036</v>
      </c>
      <c r="W25" s="1816" t="s">
        <v>1037</v>
      </c>
      <c r="X25" s="1804">
        <v>11.59</v>
      </c>
      <c r="Y25" s="1816" t="s">
        <v>292</v>
      </c>
      <c r="Z25" s="1804">
        <v>11.59</v>
      </c>
      <c r="AA25" s="1804">
        <v>250</v>
      </c>
      <c r="AB25" s="1816">
        <v>159</v>
      </c>
      <c r="AC25" s="1816" t="s">
        <v>1581</v>
      </c>
      <c r="AD25" s="1816">
        <v>20</v>
      </c>
      <c r="AE25" s="1819" t="s">
        <v>342</v>
      </c>
      <c r="AF25" s="1816" t="s">
        <v>343</v>
      </c>
      <c r="AG25" s="1804">
        <v>9.15</v>
      </c>
      <c r="AH25" s="1816" t="s">
        <v>292</v>
      </c>
      <c r="AI25" s="1804">
        <v>9.15</v>
      </c>
      <c r="AJ25" s="1804">
        <v>100</v>
      </c>
      <c r="AK25" s="1816">
        <v>205</v>
      </c>
      <c r="AL25" s="1816" t="s">
        <v>1612</v>
      </c>
      <c r="AM25" s="1816">
        <v>20</v>
      </c>
      <c r="AN25" s="1819" t="s">
        <v>1002</v>
      </c>
      <c r="AO25" s="1816" t="s">
        <v>1003</v>
      </c>
      <c r="AP25" s="1804">
        <v>12.26</v>
      </c>
      <c r="AQ25" s="1816" t="s">
        <v>292</v>
      </c>
      <c r="AR25" s="1804">
        <v>12.26</v>
      </c>
      <c r="AS25" s="1804">
        <v>150</v>
      </c>
      <c r="AT25" s="1816">
        <v>9</v>
      </c>
      <c r="AU25" s="1842" t="s">
        <v>2302</v>
      </c>
      <c r="AV25" s="1816">
        <v>9</v>
      </c>
      <c r="AW25" s="1819" t="s">
        <v>2299</v>
      </c>
      <c r="AX25" s="1816" t="s">
        <v>2300</v>
      </c>
      <c r="AY25" s="1804" t="s">
        <v>2289</v>
      </c>
      <c r="AZ25" s="1816" t="s">
        <v>292</v>
      </c>
      <c r="BA25" s="1804" t="s">
        <v>2289</v>
      </c>
      <c r="BB25" s="1804">
        <v>752.77</v>
      </c>
      <c r="BC25" s="1816">
        <v>55</v>
      </c>
      <c r="BD25" s="1843" t="s">
        <v>2387</v>
      </c>
      <c r="BE25" s="1827">
        <v>10</v>
      </c>
      <c r="BF25" s="1823" t="s">
        <v>2358</v>
      </c>
      <c r="BG25" s="1823" t="s">
        <v>2390</v>
      </c>
      <c r="BH25" s="1852" t="s">
        <v>2289</v>
      </c>
      <c r="BI25" s="1816" t="s">
        <v>292</v>
      </c>
      <c r="BJ25" s="1852" t="s">
        <v>2289</v>
      </c>
      <c r="BK25" s="1804">
        <v>115.5348</v>
      </c>
      <c r="BL25" s="1816">
        <v>101</v>
      </c>
      <c r="BM25" s="1843" t="s">
        <v>2509</v>
      </c>
      <c r="BN25" s="1827">
        <v>9</v>
      </c>
      <c r="BO25" s="1823" t="s">
        <v>2497</v>
      </c>
      <c r="BP25" s="1823" t="s">
        <v>2514</v>
      </c>
      <c r="BQ25" s="1852" t="s">
        <v>2289</v>
      </c>
      <c r="BR25" s="1816" t="s">
        <v>292</v>
      </c>
      <c r="BS25" s="1852" t="s">
        <v>2289</v>
      </c>
      <c r="BT25" s="1804">
        <v>319.16800000000001</v>
      </c>
    </row>
    <row r="26" spans="1:72" s="1754" customFormat="1" ht="12" customHeight="1">
      <c r="A26" s="1810">
        <v>21</v>
      </c>
      <c r="B26" s="1820" t="s">
        <v>2959</v>
      </c>
      <c r="C26" s="1810">
        <v>3</v>
      </c>
      <c r="D26" s="1810" t="s">
        <v>2909</v>
      </c>
      <c r="E26" s="1810" t="s">
        <v>3061</v>
      </c>
      <c r="F26" s="1811">
        <v>9.89</v>
      </c>
      <c r="G26" s="1817" t="s">
        <v>292</v>
      </c>
      <c r="H26" s="1811">
        <v>9.92</v>
      </c>
      <c r="I26" s="1811">
        <v>1500</v>
      </c>
      <c r="J26" s="1813">
        <v>67</v>
      </c>
      <c r="K26" s="1813" t="s">
        <v>2133</v>
      </c>
      <c r="L26" s="1813">
        <v>10</v>
      </c>
      <c r="M26" s="1805" t="s">
        <v>2134</v>
      </c>
      <c r="N26" s="1805" t="s">
        <v>2135</v>
      </c>
      <c r="O26" s="1805">
        <v>8.4499999999999993</v>
      </c>
      <c r="P26" s="1813" t="s">
        <v>2140</v>
      </c>
      <c r="Q26" s="1805">
        <v>8.6</v>
      </c>
      <c r="R26" s="1805">
        <v>6000</v>
      </c>
      <c r="S26" s="1810">
        <v>114</v>
      </c>
      <c r="T26" s="1820" t="s">
        <v>1594</v>
      </c>
      <c r="U26" s="1817">
        <v>15</v>
      </c>
      <c r="V26" s="1817" t="s">
        <v>1040</v>
      </c>
      <c r="W26" s="1811" t="s">
        <v>1041</v>
      </c>
      <c r="X26" s="1811">
        <v>11.5</v>
      </c>
      <c r="Y26" s="1817" t="s">
        <v>292</v>
      </c>
      <c r="Z26" s="1811">
        <v>11.5</v>
      </c>
      <c r="AA26" s="1811">
        <v>250</v>
      </c>
      <c r="AB26" s="1773">
        <v>160</v>
      </c>
      <c r="AC26" s="1820" t="s">
        <v>1588</v>
      </c>
      <c r="AD26" s="1817">
        <v>20</v>
      </c>
      <c r="AE26" s="1817" t="s">
        <v>1589</v>
      </c>
      <c r="AF26" s="1811" t="s">
        <v>1590</v>
      </c>
      <c r="AG26" s="1811">
        <v>9.17</v>
      </c>
      <c r="AH26" s="1817" t="s">
        <v>292</v>
      </c>
      <c r="AI26" s="1811">
        <v>9.17</v>
      </c>
      <c r="AJ26" s="1811">
        <v>80</v>
      </c>
      <c r="AK26" s="1810">
        <v>206</v>
      </c>
      <c r="AL26" s="1820" t="s">
        <v>1615</v>
      </c>
      <c r="AM26" s="1817">
        <v>20</v>
      </c>
      <c r="AN26" s="1817" t="s">
        <v>1005</v>
      </c>
      <c r="AO26" s="1811" t="s">
        <v>1006</v>
      </c>
      <c r="AP26" s="1811">
        <v>12.24</v>
      </c>
      <c r="AQ26" s="1817" t="s">
        <v>292</v>
      </c>
      <c r="AR26" s="1811">
        <v>12.24</v>
      </c>
      <c r="AS26" s="1811">
        <v>150</v>
      </c>
      <c r="AT26" s="1810">
        <v>10</v>
      </c>
      <c r="AU26" s="1855" t="s">
        <v>2303</v>
      </c>
      <c r="AV26" s="1817">
        <v>9</v>
      </c>
      <c r="AW26" s="1817" t="s">
        <v>2299</v>
      </c>
      <c r="AX26" s="1811" t="s">
        <v>2300</v>
      </c>
      <c r="AY26" s="1811" t="s">
        <v>2289</v>
      </c>
      <c r="AZ26" s="1817" t="s">
        <v>292</v>
      </c>
      <c r="BA26" s="1811" t="s">
        <v>2289</v>
      </c>
      <c r="BB26" s="1811">
        <v>274.25</v>
      </c>
      <c r="BC26" s="1810">
        <v>56</v>
      </c>
      <c r="BD26" s="1844" t="s">
        <v>2382</v>
      </c>
      <c r="BE26" s="1826">
        <v>10</v>
      </c>
      <c r="BF26" s="1824" t="s">
        <v>2358</v>
      </c>
      <c r="BG26" s="1813" t="s">
        <v>2390</v>
      </c>
      <c r="BH26" s="1851" t="s">
        <v>2289</v>
      </c>
      <c r="BI26" s="1810" t="s">
        <v>292</v>
      </c>
      <c r="BJ26" s="1851" t="s">
        <v>2289</v>
      </c>
      <c r="BK26" s="1803">
        <v>36.376100000000001</v>
      </c>
      <c r="BL26" s="1810">
        <v>102</v>
      </c>
      <c r="BM26" s="1844" t="s">
        <v>2510</v>
      </c>
      <c r="BN26" s="1826">
        <v>9</v>
      </c>
      <c r="BO26" s="1824" t="s">
        <v>2497</v>
      </c>
      <c r="BP26" s="1813" t="s">
        <v>2514</v>
      </c>
      <c r="BQ26" s="1851" t="s">
        <v>2289</v>
      </c>
      <c r="BR26" s="1810" t="s">
        <v>292</v>
      </c>
      <c r="BS26" s="1851" t="s">
        <v>2289</v>
      </c>
      <c r="BT26" s="1803">
        <v>484.4862</v>
      </c>
    </row>
    <row r="27" spans="1:72" s="1754" customFormat="1" ht="12" customHeight="1">
      <c r="A27" s="1816">
        <v>22</v>
      </c>
      <c r="B27" s="1816" t="s">
        <v>2960</v>
      </c>
      <c r="C27" s="1816">
        <v>3</v>
      </c>
      <c r="D27" s="1816" t="s">
        <v>2642</v>
      </c>
      <c r="E27" s="1816" t="s">
        <v>2644</v>
      </c>
      <c r="F27" s="1808" t="s">
        <v>2961</v>
      </c>
      <c r="G27" s="1816" t="s">
        <v>292</v>
      </c>
      <c r="H27" s="1808">
        <v>11.38</v>
      </c>
      <c r="I27" s="1804">
        <v>500</v>
      </c>
      <c r="J27" s="1815">
        <v>68</v>
      </c>
      <c r="K27" s="1815" t="s">
        <v>2191</v>
      </c>
      <c r="L27" s="1815">
        <v>10</v>
      </c>
      <c r="M27" s="1815" t="s">
        <v>2192</v>
      </c>
      <c r="N27" s="1815" t="s">
        <v>2193</v>
      </c>
      <c r="O27" s="1818">
        <v>9.1999999999999993</v>
      </c>
      <c r="P27" s="1815" t="s">
        <v>2242</v>
      </c>
      <c r="Q27" s="1818">
        <v>10.82</v>
      </c>
      <c r="R27" s="1818">
        <v>7915.03</v>
      </c>
      <c r="S27" s="1816">
        <v>115</v>
      </c>
      <c r="T27" s="1816" t="s">
        <v>1599</v>
      </c>
      <c r="U27" s="1816">
        <v>15</v>
      </c>
      <c r="V27" s="1819" t="s">
        <v>1050</v>
      </c>
      <c r="W27" s="1816" t="s">
        <v>1051</v>
      </c>
      <c r="X27" s="1804">
        <v>11.42</v>
      </c>
      <c r="Y27" s="1816" t="s">
        <v>292</v>
      </c>
      <c r="Z27" s="1804">
        <v>11.42</v>
      </c>
      <c r="AA27" s="1804">
        <v>250</v>
      </c>
      <c r="AB27" s="1816">
        <v>161</v>
      </c>
      <c r="AC27" s="1816" t="s">
        <v>1595</v>
      </c>
      <c r="AD27" s="1816">
        <v>20</v>
      </c>
      <c r="AE27" s="1819" t="s">
        <v>655</v>
      </c>
      <c r="AF27" s="1816" t="s">
        <v>656</v>
      </c>
      <c r="AG27" s="1804">
        <v>9.1999999999999993</v>
      </c>
      <c r="AH27" s="1816" t="s">
        <v>292</v>
      </c>
      <c r="AI27" s="1804">
        <v>9.1999999999999993</v>
      </c>
      <c r="AJ27" s="1804">
        <v>75</v>
      </c>
      <c r="AK27" s="1816">
        <v>207</v>
      </c>
      <c r="AL27" s="1816" t="s">
        <v>1619</v>
      </c>
      <c r="AM27" s="1816">
        <v>20</v>
      </c>
      <c r="AN27" s="1819" t="s">
        <v>1009</v>
      </c>
      <c r="AO27" s="1816" t="s">
        <v>1013</v>
      </c>
      <c r="AP27" s="1804">
        <v>12.139999999999999</v>
      </c>
      <c r="AQ27" s="1816" t="s">
        <v>292</v>
      </c>
      <c r="AR27" s="1804">
        <v>12.139999999999999</v>
      </c>
      <c r="AS27" s="1804">
        <v>300</v>
      </c>
      <c r="AT27" s="1816">
        <v>11</v>
      </c>
      <c r="AU27" s="1842" t="s">
        <v>2304</v>
      </c>
      <c r="AV27" s="1816">
        <v>9</v>
      </c>
      <c r="AW27" s="1819" t="s">
        <v>2305</v>
      </c>
      <c r="AX27" s="1816" t="s">
        <v>2306</v>
      </c>
      <c r="AY27" s="1804" t="s">
        <v>2289</v>
      </c>
      <c r="AZ27" s="1816" t="s">
        <v>292</v>
      </c>
      <c r="BA27" s="1804" t="s">
        <v>2289</v>
      </c>
      <c r="BB27" s="1804">
        <v>48.24</v>
      </c>
      <c r="BC27" s="1816">
        <v>57</v>
      </c>
      <c r="BD27" s="1843" t="s">
        <v>2383</v>
      </c>
      <c r="BE27" s="1815">
        <v>10</v>
      </c>
      <c r="BF27" s="1815" t="s">
        <v>2358</v>
      </c>
      <c r="BG27" s="1815" t="s">
        <v>2390</v>
      </c>
      <c r="BH27" s="1837" t="s">
        <v>2289</v>
      </c>
      <c r="BI27" s="1815" t="s">
        <v>292</v>
      </c>
      <c r="BJ27" s="1852" t="s">
        <v>2289</v>
      </c>
      <c r="BK27" s="1818">
        <v>64.739999999999995</v>
      </c>
      <c r="BL27" s="1816">
        <v>103</v>
      </c>
      <c r="BM27" s="1843" t="s">
        <v>2511</v>
      </c>
      <c r="BN27" s="1815">
        <v>9</v>
      </c>
      <c r="BO27" s="1815" t="s">
        <v>2497</v>
      </c>
      <c r="BP27" s="1815" t="s">
        <v>2514</v>
      </c>
      <c r="BQ27" s="1837" t="s">
        <v>2289</v>
      </c>
      <c r="BR27" s="1815" t="s">
        <v>292</v>
      </c>
      <c r="BS27" s="1852" t="s">
        <v>2289</v>
      </c>
      <c r="BT27" s="1818">
        <v>75.039400000000001</v>
      </c>
    </row>
    <row r="28" spans="1:72" s="1754" customFormat="1" ht="12" customHeight="1">
      <c r="A28" s="1810">
        <v>23</v>
      </c>
      <c r="B28" s="1820" t="s">
        <v>1849</v>
      </c>
      <c r="C28" s="1810">
        <v>5</v>
      </c>
      <c r="D28" s="1810" t="s">
        <v>1850</v>
      </c>
      <c r="E28" s="1810" t="s">
        <v>1851</v>
      </c>
      <c r="F28" s="1811">
        <v>4.97</v>
      </c>
      <c r="G28" s="1817" t="s">
        <v>1907</v>
      </c>
      <c r="H28" s="1811">
        <v>6.5</v>
      </c>
      <c r="I28" s="1811">
        <v>4063.34</v>
      </c>
      <c r="J28" s="1813">
        <v>69</v>
      </c>
      <c r="K28" s="1813" t="s">
        <v>2270</v>
      </c>
      <c r="L28" s="1813">
        <v>10</v>
      </c>
      <c r="M28" s="1813" t="s">
        <v>2271</v>
      </c>
      <c r="N28" s="1813" t="s">
        <v>2272</v>
      </c>
      <c r="O28" s="1805">
        <v>12.05</v>
      </c>
      <c r="P28" s="1813" t="s">
        <v>2496</v>
      </c>
      <c r="Q28" s="1805">
        <v>12.45</v>
      </c>
      <c r="R28" s="1805">
        <v>7124.8</v>
      </c>
      <c r="S28" s="1810">
        <v>116</v>
      </c>
      <c r="T28" s="1820" t="s">
        <v>1606</v>
      </c>
      <c r="U28" s="1817">
        <v>15</v>
      </c>
      <c r="V28" s="1817" t="s">
        <v>1052</v>
      </c>
      <c r="W28" s="1811" t="s">
        <v>1053</v>
      </c>
      <c r="X28" s="1811">
        <v>11.469999999999999</v>
      </c>
      <c r="Y28" s="1817" t="s">
        <v>1607</v>
      </c>
      <c r="Z28" s="1811">
        <v>11.4</v>
      </c>
      <c r="AA28" s="1811">
        <v>680</v>
      </c>
      <c r="AB28" s="1773">
        <v>162</v>
      </c>
      <c r="AC28" s="1820" t="s">
        <v>1600</v>
      </c>
      <c r="AD28" s="1817">
        <v>20</v>
      </c>
      <c r="AE28" s="1817" t="s">
        <v>1601</v>
      </c>
      <c r="AF28" s="1811" t="s">
        <v>1602</v>
      </c>
      <c r="AG28" s="1811">
        <v>9.15</v>
      </c>
      <c r="AH28" s="1817" t="s">
        <v>292</v>
      </c>
      <c r="AI28" s="1811">
        <v>9.15</v>
      </c>
      <c r="AJ28" s="1811">
        <v>75</v>
      </c>
      <c r="AK28" s="1810">
        <v>208</v>
      </c>
      <c r="AL28" s="1820" t="s">
        <v>1623</v>
      </c>
      <c r="AM28" s="1817">
        <v>20</v>
      </c>
      <c r="AN28" s="1817" t="s">
        <v>1011</v>
      </c>
      <c r="AO28" s="1811" t="s">
        <v>1014</v>
      </c>
      <c r="AP28" s="1811">
        <v>12.139999999999999</v>
      </c>
      <c r="AQ28" s="1817" t="s">
        <v>292</v>
      </c>
      <c r="AR28" s="1811">
        <v>12.139999999999999</v>
      </c>
      <c r="AS28" s="1811">
        <v>300</v>
      </c>
      <c r="AT28" s="1810">
        <v>12</v>
      </c>
      <c r="AU28" s="1855" t="s">
        <v>2307</v>
      </c>
      <c r="AV28" s="1817">
        <v>9</v>
      </c>
      <c r="AW28" s="1817" t="s">
        <v>2305</v>
      </c>
      <c r="AX28" s="1811" t="s">
        <v>2306</v>
      </c>
      <c r="AY28" s="1811" t="s">
        <v>2289</v>
      </c>
      <c r="AZ28" s="1817" t="s">
        <v>292</v>
      </c>
      <c r="BA28" s="1811" t="s">
        <v>2289</v>
      </c>
      <c r="BB28" s="1811">
        <v>51.7</v>
      </c>
      <c r="BC28" s="1810">
        <v>58</v>
      </c>
      <c r="BD28" s="1844" t="s">
        <v>2384</v>
      </c>
      <c r="BE28" s="1813">
        <v>10</v>
      </c>
      <c r="BF28" s="1805" t="s">
        <v>2358</v>
      </c>
      <c r="BG28" s="1813" t="s">
        <v>2390</v>
      </c>
      <c r="BH28" s="1836" t="s">
        <v>2289</v>
      </c>
      <c r="BI28" s="1813" t="s">
        <v>292</v>
      </c>
      <c r="BJ28" s="1851" t="s">
        <v>2289</v>
      </c>
      <c r="BK28" s="1805">
        <v>75.4863</v>
      </c>
      <c r="BL28" s="1810">
        <v>104</v>
      </c>
      <c r="BM28" s="1844" t="s">
        <v>2512</v>
      </c>
      <c r="BN28" s="1813">
        <v>9</v>
      </c>
      <c r="BO28" s="1805" t="s">
        <v>2497</v>
      </c>
      <c r="BP28" s="1813" t="s">
        <v>2514</v>
      </c>
      <c r="BQ28" s="1836" t="s">
        <v>2289</v>
      </c>
      <c r="BR28" s="1813" t="s">
        <v>292</v>
      </c>
      <c r="BS28" s="1851" t="s">
        <v>2289</v>
      </c>
      <c r="BT28" s="1805">
        <v>273.71629999999999</v>
      </c>
    </row>
    <row r="29" spans="1:72" s="1754" customFormat="1" ht="12" customHeight="1">
      <c r="A29" s="1816">
        <v>24</v>
      </c>
      <c r="B29" s="1816" t="s">
        <v>1901</v>
      </c>
      <c r="C29" s="1816">
        <v>5</v>
      </c>
      <c r="D29" s="1816" t="s">
        <v>957</v>
      </c>
      <c r="E29" s="1816" t="s">
        <v>1902</v>
      </c>
      <c r="F29" s="1808">
        <v>6.5</v>
      </c>
      <c r="G29" s="1816" t="s">
        <v>1995</v>
      </c>
      <c r="H29" s="1808">
        <v>5.75</v>
      </c>
      <c r="I29" s="1804">
        <v>4500</v>
      </c>
      <c r="J29" s="1815">
        <v>70</v>
      </c>
      <c r="K29" s="1815" t="s">
        <v>2355</v>
      </c>
      <c r="L29" s="1815">
        <v>10</v>
      </c>
      <c r="M29" s="1815" t="s">
        <v>2356</v>
      </c>
      <c r="N29" s="1815" t="s">
        <v>2357</v>
      </c>
      <c r="O29" s="1818">
        <v>12.15</v>
      </c>
      <c r="P29" s="1815" t="s">
        <v>2533</v>
      </c>
      <c r="Q29" s="1818">
        <v>12.57</v>
      </c>
      <c r="R29" s="1818">
        <v>6404.73</v>
      </c>
      <c r="S29" s="1816">
        <v>117</v>
      </c>
      <c r="T29" s="1816" t="s">
        <v>1610</v>
      </c>
      <c r="U29" s="1816">
        <v>15</v>
      </c>
      <c r="V29" s="1819" t="s">
        <v>1155</v>
      </c>
      <c r="W29" s="1816" t="s">
        <v>658</v>
      </c>
      <c r="X29" s="1804">
        <v>10.059999999999999</v>
      </c>
      <c r="Y29" s="1816" t="s">
        <v>1504</v>
      </c>
      <c r="Z29" s="1804">
        <v>9.09</v>
      </c>
      <c r="AA29" s="1804">
        <v>3000</v>
      </c>
      <c r="AB29" s="1816">
        <v>163</v>
      </c>
      <c r="AC29" s="1816" t="s">
        <v>1608</v>
      </c>
      <c r="AD29" s="1816">
        <v>20</v>
      </c>
      <c r="AE29" s="1819" t="s">
        <v>657</v>
      </c>
      <c r="AF29" s="1816" t="s">
        <v>658</v>
      </c>
      <c r="AG29" s="1804">
        <v>9.1999999999999993</v>
      </c>
      <c r="AH29" s="1816" t="s">
        <v>292</v>
      </c>
      <c r="AI29" s="1804">
        <v>9.1999999999999993</v>
      </c>
      <c r="AJ29" s="1804">
        <v>125</v>
      </c>
      <c r="AK29" s="1816">
        <v>209</v>
      </c>
      <c r="AL29" s="1816" t="s">
        <v>1630</v>
      </c>
      <c r="AM29" s="1816">
        <v>20</v>
      </c>
      <c r="AN29" s="1819" t="s">
        <v>1015</v>
      </c>
      <c r="AO29" s="1816" t="s">
        <v>1016</v>
      </c>
      <c r="AP29" s="1804">
        <v>12.139999999999999</v>
      </c>
      <c r="AQ29" s="1816" t="s">
        <v>292</v>
      </c>
      <c r="AR29" s="1804">
        <v>12.139999999999999</v>
      </c>
      <c r="AS29" s="1804">
        <v>350</v>
      </c>
      <c r="AT29" s="1816">
        <v>13</v>
      </c>
      <c r="AU29" s="1842" t="s">
        <v>2308</v>
      </c>
      <c r="AV29" s="1816">
        <v>9</v>
      </c>
      <c r="AW29" s="1819" t="s">
        <v>2305</v>
      </c>
      <c r="AX29" s="1816" t="s">
        <v>2306</v>
      </c>
      <c r="AY29" s="1804" t="s">
        <v>2289</v>
      </c>
      <c r="AZ29" s="1816" t="s">
        <v>292</v>
      </c>
      <c r="BA29" s="1804" t="s">
        <v>2289</v>
      </c>
      <c r="BB29" s="1804">
        <v>51.47</v>
      </c>
      <c r="BC29" s="1816">
        <v>59</v>
      </c>
      <c r="BD29" s="1843" t="s">
        <v>2385</v>
      </c>
      <c r="BE29" s="1815">
        <v>10</v>
      </c>
      <c r="BF29" s="1815" t="s">
        <v>2388</v>
      </c>
      <c r="BG29" s="1815" t="s">
        <v>2391</v>
      </c>
      <c r="BH29" s="1837" t="s">
        <v>2289</v>
      </c>
      <c r="BI29" s="1815" t="s">
        <v>292</v>
      </c>
      <c r="BJ29" s="1852" t="s">
        <v>2289</v>
      </c>
      <c r="BK29" s="1818">
        <v>20.03</v>
      </c>
      <c r="BL29" s="1816">
        <v>105</v>
      </c>
      <c r="BM29" s="1843" t="s">
        <v>2513</v>
      </c>
      <c r="BN29" s="1815">
        <v>9</v>
      </c>
      <c r="BO29" s="1815" t="s">
        <v>2497</v>
      </c>
      <c r="BP29" s="1815" t="s">
        <v>2514</v>
      </c>
      <c r="BQ29" s="1837" t="s">
        <v>2289</v>
      </c>
      <c r="BR29" s="1815" t="s">
        <v>292</v>
      </c>
      <c r="BS29" s="1852" t="s">
        <v>2289</v>
      </c>
      <c r="BT29" s="1818">
        <v>35</v>
      </c>
    </row>
    <row r="30" spans="1:72" s="1754" customFormat="1" ht="12" customHeight="1">
      <c r="A30" s="1810">
        <v>25</v>
      </c>
      <c r="B30" s="1820" t="s">
        <v>1996</v>
      </c>
      <c r="C30" s="1810">
        <v>5</v>
      </c>
      <c r="D30" s="1810" t="s">
        <v>1997</v>
      </c>
      <c r="E30" s="1810" t="s">
        <v>1998</v>
      </c>
      <c r="F30" s="1811">
        <v>6.25</v>
      </c>
      <c r="G30" s="1817" t="s">
        <v>2105</v>
      </c>
      <c r="H30" s="1811">
        <v>7.72</v>
      </c>
      <c r="I30" s="1811">
        <v>4499.41</v>
      </c>
      <c r="J30" s="1813">
        <v>71</v>
      </c>
      <c r="K30" s="1814" t="s">
        <v>2419</v>
      </c>
      <c r="L30" s="1814">
        <v>10</v>
      </c>
      <c r="M30" s="1814" t="s">
        <v>2420</v>
      </c>
      <c r="N30" s="1814" t="s">
        <v>2421</v>
      </c>
      <c r="O30" s="1812">
        <v>12.6</v>
      </c>
      <c r="P30" s="1814" t="s">
        <v>2551</v>
      </c>
      <c r="Q30" s="1812">
        <v>12.48</v>
      </c>
      <c r="R30" s="1812">
        <v>9000</v>
      </c>
      <c r="S30" s="1810">
        <v>118</v>
      </c>
      <c r="T30" s="1820" t="s">
        <v>1613</v>
      </c>
      <c r="U30" s="1817">
        <v>15</v>
      </c>
      <c r="V30" s="1817" t="s">
        <v>1157</v>
      </c>
      <c r="W30" s="1811" t="s">
        <v>1158</v>
      </c>
      <c r="X30" s="1811">
        <v>8.44</v>
      </c>
      <c r="Y30" s="1817" t="s">
        <v>1392</v>
      </c>
      <c r="Z30" s="1811">
        <v>7.99</v>
      </c>
      <c r="AA30" s="1811">
        <v>3000</v>
      </c>
      <c r="AB30" s="1773">
        <v>164</v>
      </c>
      <c r="AC30" s="1820" t="s">
        <v>1611</v>
      </c>
      <c r="AD30" s="1817">
        <v>20</v>
      </c>
      <c r="AE30" s="1817" t="s">
        <v>659</v>
      </c>
      <c r="AF30" s="1811" t="s">
        <v>660</v>
      </c>
      <c r="AG30" s="1811">
        <v>9.23</v>
      </c>
      <c r="AH30" s="1817" t="s">
        <v>292</v>
      </c>
      <c r="AI30" s="1811">
        <v>9.23</v>
      </c>
      <c r="AJ30" s="1811">
        <v>125</v>
      </c>
      <c r="AK30" s="1810">
        <v>210</v>
      </c>
      <c r="AL30" s="1820" t="s">
        <v>1636</v>
      </c>
      <c r="AM30" s="1817">
        <v>20</v>
      </c>
      <c r="AN30" s="1817" t="s">
        <v>1018</v>
      </c>
      <c r="AO30" s="1811" t="s">
        <v>1017</v>
      </c>
      <c r="AP30" s="1811">
        <v>12.120000000000001</v>
      </c>
      <c r="AQ30" s="1817" t="s">
        <v>292</v>
      </c>
      <c r="AR30" s="1811">
        <v>12.120000000000001</v>
      </c>
      <c r="AS30" s="1811">
        <v>350</v>
      </c>
      <c r="AT30" s="1810">
        <v>14</v>
      </c>
      <c r="AU30" s="1855" t="s">
        <v>2309</v>
      </c>
      <c r="AV30" s="1817">
        <v>10</v>
      </c>
      <c r="AW30" s="1817" t="s">
        <v>2255</v>
      </c>
      <c r="AX30" s="1811" t="s">
        <v>2310</v>
      </c>
      <c r="AY30" s="1811" t="s">
        <v>2289</v>
      </c>
      <c r="AZ30" s="1817" t="s">
        <v>292</v>
      </c>
      <c r="BA30" s="1811" t="s">
        <v>2289</v>
      </c>
      <c r="BB30" s="1811">
        <v>1985.93</v>
      </c>
      <c r="BC30" s="1810">
        <v>60</v>
      </c>
      <c r="BD30" s="1844" t="s">
        <v>2386</v>
      </c>
      <c r="BE30" s="1813">
        <v>10</v>
      </c>
      <c r="BF30" s="1813" t="s">
        <v>2388</v>
      </c>
      <c r="BG30" s="1813" t="s">
        <v>2391</v>
      </c>
      <c r="BH30" s="1836" t="s">
        <v>2289</v>
      </c>
      <c r="BI30" s="1813" t="s">
        <v>292</v>
      </c>
      <c r="BJ30" s="1851" t="s">
        <v>2289</v>
      </c>
      <c r="BK30" s="1805">
        <v>18.048400000000001</v>
      </c>
      <c r="BL30" s="1810">
        <v>106</v>
      </c>
      <c r="BM30" s="1844" t="s">
        <v>2534</v>
      </c>
      <c r="BN30" s="1813">
        <v>9</v>
      </c>
      <c r="BO30" s="1813" t="s">
        <v>2538</v>
      </c>
      <c r="BP30" s="1813" t="s">
        <v>2539</v>
      </c>
      <c r="BQ30" s="1836" t="s">
        <v>2289</v>
      </c>
      <c r="BR30" s="1813" t="s">
        <v>292</v>
      </c>
      <c r="BS30" s="1851" t="s">
        <v>2289</v>
      </c>
      <c r="BT30" s="1805">
        <v>1581.1470999999999</v>
      </c>
    </row>
    <row r="31" spans="1:72" s="1754" customFormat="1" ht="12" customHeight="1">
      <c r="A31" s="1816">
        <v>26</v>
      </c>
      <c r="B31" s="1816" t="s">
        <v>2029</v>
      </c>
      <c r="C31" s="1816">
        <v>5</v>
      </c>
      <c r="D31" s="1816" t="s">
        <v>2030</v>
      </c>
      <c r="E31" s="1816" t="s">
        <v>2031</v>
      </c>
      <c r="F31" s="1808">
        <v>7.7</v>
      </c>
      <c r="G31" s="1816" t="s">
        <v>2047</v>
      </c>
      <c r="H31" s="1808">
        <v>7.8</v>
      </c>
      <c r="I31" s="1804">
        <v>4499.6000000000004</v>
      </c>
      <c r="J31" s="1815">
        <v>72</v>
      </c>
      <c r="K31" s="1815" t="s">
        <v>2562</v>
      </c>
      <c r="L31" s="1815">
        <v>10</v>
      </c>
      <c r="M31" s="1815" t="s">
        <v>2563</v>
      </c>
      <c r="N31" s="1815" t="s">
        <v>2564</v>
      </c>
      <c r="O31" s="1818">
        <v>12.08</v>
      </c>
      <c r="P31" s="1815" t="s">
        <v>2586</v>
      </c>
      <c r="Q31" s="1818">
        <v>10.32</v>
      </c>
      <c r="R31" s="1818">
        <v>7000</v>
      </c>
      <c r="S31" s="1816">
        <v>119</v>
      </c>
      <c r="T31" s="1816" t="s">
        <v>1617</v>
      </c>
      <c r="U31" s="1816">
        <v>15</v>
      </c>
      <c r="V31" s="1819" t="s">
        <v>1174</v>
      </c>
      <c r="W31" s="1816" t="s">
        <v>674</v>
      </c>
      <c r="X31" s="1804">
        <v>7.79</v>
      </c>
      <c r="Y31" s="1816" t="s">
        <v>1395</v>
      </c>
      <c r="Z31" s="1804">
        <v>7.52</v>
      </c>
      <c r="AA31" s="1804">
        <v>2850</v>
      </c>
      <c r="AB31" s="1816">
        <v>165</v>
      </c>
      <c r="AC31" s="1816" t="s">
        <v>1614</v>
      </c>
      <c r="AD31" s="1816">
        <v>20</v>
      </c>
      <c r="AE31" s="1819" t="s">
        <v>661</v>
      </c>
      <c r="AF31" s="1816" t="s">
        <v>662</v>
      </c>
      <c r="AG31" s="1804">
        <v>9.25</v>
      </c>
      <c r="AH31" s="1816" t="s">
        <v>292</v>
      </c>
      <c r="AI31" s="1804">
        <v>9.25</v>
      </c>
      <c r="AJ31" s="1804">
        <v>125</v>
      </c>
      <c r="AK31" s="1816">
        <v>211</v>
      </c>
      <c r="AL31" s="1816" t="s">
        <v>1642</v>
      </c>
      <c r="AM31" s="1816">
        <v>20</v>
      </c>
      <c r="AN31" s="1819" t="s">
        <v>1034</v>
      </c>
      <c r="AO31" s="1816" t="s">
        <v>1038</v>
      </c>
      <c r="AP31" s="1804">
        <v>12.1</v>
      </c>
      <c r="AQ31" s="1816" t="s">
        <v>292</v>
      </c>
      <c r="AR31" s="1804">
        <v>12.1</v>
      </c>
      <c r="AS31" s="1804">
        <v>250</v>
      </c>
      <c r="AT31" s="1816">
        <v>15</v>
      </c>
      <c r="AU31" s="1842" t="s">
        <v>2311</v>
      </c>
      <c r="AV31" s="1816">
        <v>10</v>
      </c>
      <c r="AW31" s="1819" t="s">
        <v>2255</v>
      </c>
      <c r="AX31" s="1816" t="s">
        <v>2310</v>
      </c>
      <c r="AY31" s="1804" t="s">
        <v>2289</v>
      </c>
      <c r="AZ31" s="1816" t="s">
        <v>292</v>
      </c>
      <c r="BA31" s="1804" t="s">
        <v>2289</v>
      </c>
      <c r="BB31" s="1804">
        <v>77.56</v>
      </c>
      <c r="BC31" s="1816">
        <v>61</v>
      </c>
      <c r="BD31" s="1843" t="s">
        <v>2389</v>
      </c>
      <c r="BE31" s="1815">
        <v>10</v>
      </c>
      <c r="BF31" s="1815" t="s">
        <v>2388</v>
      </c>
      <c r="BG31" s="1815" t="s">
        <v>2391</v>
      </c>
      <c r="BH31" s="1837" t="s">
        <v>2289</v>
      </c>
      <c r="BI31" s="1815" t="s">
        <v>292</v>
      </c>
      <c r="BJ31" s="1852" t="s">
        <v>2289</v>
      </c>
      <c r="BK31" s="1818">
        <v>6.0328999999999997</v>
      </c>
      <c r="BL31" s="1816">
        <v>107</v>
      </c>
      <c r="BM31" s="1843" t="s">
        <v>2535</v>
      </c>
      <c r="BN31" s="1815">
        <v>9</v>
      </c>
      <c r="BO31" s="1815" t="s">
        <v>2538</v>
      </c>
      <c r="BP31" s="1815" t="s">
        <v>2539</v>
      </c>
      <c r="BQ31" s="1837" t="s">
        <v>2289</v>
      </c>
      <c r="BR31" s="1815" t="s">
        <v>292</v>
      </c>
      <c r="BS31" s="1852" t="s">
        <v>2289</v>
      </c>
      <c r="BT31" s="1818">
        <v>249.5</v>
      </c>
    </row>
    <row r="32" spans="1:72" s="1754" customFormat="1" ht="12" customHeight="1">
      <c r="A32" s="1810">
        <v>27</v>
      </c>
      <c r="B32" s="1820" t="s">
        <v>2057</v>
      </c>
      <c r="C32" s="1810">
        <v>5</v>
      </c>
      <c r="D32" s="1810" t="s">
        <v>2058</v>
      </c>
      <c r="E32" s="1810" t="s">
        <v>2059</v>
      </c>
      <c r="F32" s="1811">
        <v>7.89</v>
      </c>
      <c r="G32" s="1817" t="s">
        <v>2094</v>
      </c>
      <c r="H32" s="1811">
        <v>7.8</v>
      </c>
      <c r="I32" s="1811">
        <v>4500</v>
      </c>
      <c r="J32" s="1813">
        <v>73</v>
      </c>
      <c r="K32" s="1814" t="s">
        <v>2596</v>
      </c>
      <c r="L32" s="1814">
        <v>10</v>
      </c>
      <c r="M32" s="1814" t="s">
        <v>3062</v>
      </c>
      <c r="N32" s="1814" t="s">
        <v>2597</v>
      </c>
      <c r="O32" s="1812">
        <v>12.05</v>
      </c>
      <c r="P32" s="1814" t="s">
        <v>2910</v>
      </c>
      <c r="Q32" s="1812">
        <v>10.91</v>
      </c>
      <c r="R32" s="1812">
        <v>10500</v>
      </c>
      <c r="S32" s="1810">
        <v>120</v>
      </c>
      <c r="T32" s="1820" t="s">
        <v>1621</v>
      </c>
      <c r="U32" s="1817">
        <v>15</v>
      </c>
      <c r="V32" s="1817" t="s">
        <v>1432</v>
      </c>
      <c r="W32" s="1811" t="s">
        <v>1433</v>
      </c>
      <c r="X32" s="1811">
        <v>7.1999999999999993</v>
      </c>
      <c r="Y32" s="1817" t="s">
        <v>1496</v>
      </c>
      <c r="Z32" s="1811">
        <v>9.33</v>
      </c>
      <c r="AA32" s="1811">
        <v>4500</v>
      </c>
      <c r="AB32" s="1773">
        <v>166</v>
      </c>
      <c r="AC32" s="1820" t="s">
        <v>1618</v>
      </c>
      <c r="AD32" s="1817">
        <v>20</v>
      </c>
      <c r="AE32" s="1817" t="s">
        <v>663</v>
      </c>
      <c r="AF32" s="1811" t="s">
        <v>664</v>
      </c>
      <c r="AG32" s="1811">
        <v>9.25</v>
      </c>
      <c r="AH32" s="1817" t="s">
        <v>292</v>
      </c>
      <c r="AI32" s="1811">
        <v>9.25</v>
      </c>
      <c r="AJ32" s="1811">
        <v>125</v>
      </c>
      <c r="AK32" s="1810">
        <v>212</v>
      </c>
      <c r="AL32" s="1820" t="s">
        <v>1645</v>
      </c>
      <c r="AM32" s="1817">
        <v>20</v>
      </c>
      <c r="AN32" s="1817" t="s">
        <v>1036</v>
      </c>
      <c r="AO32" s="1811" t="s">
        <v>1039</v>
      </c>
      <c r="AP32" s="1811">
        <v>11.89</v>
      </c>
      <c r="AQ32" s="1817" t="s">
        <v>292</v>
      </c>
      <c r="AR32" s="1811">
        <v>11.89</v>
      </c>
      <c r="AS32" s="1811">
        <v>250</v>
      </c>
      <c r="AT32" s="1810">
        <v>16</v>
      </c>
      <c r="AU32" s="1855" t="s">
        <v>2312</v>
      </c>
      <c r="AV32" s="1817">
        <v>10</v>
      </c>
      <c r="AW32" s="1817" t="s">
        <v>2313</v>
      </c>
      <c r="AX32" s="1811" t="s">
        <v>1003</v>
      </c>
      <c r="AY32" s="1811" t="s">
        <v>2289</v>
      </c>
      <c r="AZ32" s="1817" t="s">
        <v>292</v>
      </c>
      <c r="BA32" s="1811" t="s">
        <v>2289</v>
      </c>
      <c r="BB32" s="1811">
        <v>1050.48</v>
      </c>
      <c r="BC32" s="1810">
        <v>62</v>
      </c>
      <c r="BD32" s="1844" t="s">
        <v>2392</v>
      </c>
      <c r="BE32" s="1813">
        <v>10</v>
      </c>
      <c r="BF32" s="1813" t="s">
        <v>2388</v>
      </c>
      <c r="BG32" s="1813" t="s">
        <v>2391</v>
      </c>
      <c r="BH32" s="1836" t="s">
        <v>1800</v>
      </c>
      <c r="BI32" s="1813" t="s">
        <v>292</v>
      </c>
      <c r="BJ32" s="1851" t="s">
        <v>1800</v>
      </c>
      <c r="BK32" s="1805">
        <v>218.24969999999999</v>
      </c>
      <c r="BL32" s="1810">
        <v>108</v>
      </c>
      <c r="BM32" s="1844" t="s">
        <v>2382</v>
      </c>
      <c r="BN32" s="1813">
        <v>9</v>
      </c>
      <c r="BO32" s="1813" t="s">
        <v>2538</v>
      </c>
      <c r="BP32" s="1813" t="s">
        <v>2539</v>
      </c>
      <c r="BQ32" s="1836" t="s">
        <v>2289</v>
      </c>
      <c r="BR32" s="1813" t="s">
        <v>292</v>
      </c>
      <c r="BS32" s="1851" t="s">
        <v>2289</v>
      </c>
      <c r="BT32" s="1805">
        <v>0.79039999999999999</v>
      </c>
    </row>
    <row r="33" spans="1:72" s="219" customFormat="1" ht="12" customHeight="1">
      <c r="A33" s="1816">
        <v>28</v>
      </c>
      <c r="B33" s="1816" t="s">
        <v>2113</v>
      </c>
      <c r="C33" s="1816">
        <v>5</v>
      </c>
      <c r="D33" s="1816" t="s">
        <v>2114</v>
      </c>
      <c r="E33" s="1816" t="s">
        <v>2115</v>
      </c>
      <c r="F33" s="1808">
        <v>7.85</v>
      </c>
      <c r="G33" s="1816" t="s">
        <v>2130</v>
      </c>
      <c r="H33" s="1808">
        <v>8.1999999999999993</v>
      </c>
      <c r="I33" s="1804">
        <v>5800</v>
      </c>
      <c r="J33" s="1815">
        <v>74</v>
      </c>
      <c r="K33" s="1815" t="s">
        <v>2630</v>
      </c>
      <c r="L33" s="1815">
        <v>10</v>
      </c>
      <c r="M33" s="1815" t="s">
        <v>2631</v>
      </c>
      <c r="N33" s="1815" t="s">
        <v>2632</v>
      </c>
      <c r="O33" s="1818">
        <v>11.88</v>
      </c>
      <c r="P33" s="1815" t="s">
        <v>2640</v>
      </c>
      <c r="Q33" s="1818">
        <v>12.35</v>
      </c>
      <c r="R33" s="1818">
        <v>7742.75</v>
      </c>
      <c r="S33" s="1816">
        <v>121</v>
      </c>
      <c r="T33" s="1816" t="s">
        <v>1627</v>
      </c>
      <c r="U33" s="1816">
        <v>15</v>
      </c>
      <c r="V33" s="1819" t="s">
        <v>1473</v>
      </c>
      <c r="W33" s="1816" t="s">
        <v>1474</v>
      </c>
      <c r="X33" s="1804">
        <v>7.55</v>
      </c>
      <c r="Y33" s="1816" t="s">
        <v>1795</v>
      </c>
      <c r="Z33" s="1804">
        <v>5.87</v>
      </c>
      <c r="AA33" s="1804">
        <v>4150</v>
      </c>
      <c r="AB33" s="1816">
        <v>167</v>
      </c>
      <c r="AC33" s="1816" t="s">
        <v>1622</v>
      </c>
      <c r="AD33" s="1816">
        <v>20</v>
      </c>
      <c r="AE33" s="1819" t="s">
        <v>665</v>
      </c>
      <c r="AF33" s="1816" t="s">
        <v>666</v>
      </c>
      <c r="AG33" s="1804">
        <v>9.4499999999999993</v>
      </c>
      <c r="AH33" s="1816" t="s">
        <v>292</v>
      </c>
      <c r="AI33" s="1804">
        <v>9.4499999999999993</v>
      </c>
      <c r="AJ33" s="1804">
        <v>125</v>
      </c>
      <c r="AK33" s="1816">
        <v>213</v>
      </c>
      <c r="AL33" s="1816" t="s">
        <v>1651</v>
      </c>
      <c r="AM33" s="1816">
        <v>20</v>
      </c>
      <c r="AN33" s="1819" t="s">
        <v>1040</v>
      </c>
      <c r="AO33" s="1816" t="s">
        <v>1042</v>
      </c>
      <c r="AP33" s="1804">
        <v>11.98</v>
      </c>
      <c r="AQ33" s="1816" t="s">
        <v>292</v>
      </c>
      <c r="AR33" s="1804">
        <v>11.98</v>
      </c>
      <c r="AS33" s="1804">
        <v>250</v>
      </c>
      <c r="AT33" s="1816">
        <v>17</v>
      </c>
      <c r="AU33" s="1842" t="s">
        <v>2292</v>
      </c>
      <c r="AV33" s="1816">
        <v>10</v>
      </c>
      <c r="AW33" s="1819" t="s">
        <v>2296</v>
      </c>
      <c r="AX33" s="1816" t="s">
        <v>2314</v>
      </c>
      <c r="AY33" s="1804" t="s">
        <v>2289</v>
      </c>
      <c r="AZ33" s="1816" t="s">
        <v>292</v>
      </c>
      <c r="BA33" s="1804" t="s">
        <v>2289</v>
      </c>
      <c r="BB33" s="1804">
        <v>666.11</v>
      </c>
      <c r="BC33" s="1816">
        <v>63</v>
      </c>
      <c r="BD33" s="1843" t="s">
        <v>2394</v>
      </c>
      <c r="BE33" s="1815">
        <v>10</v>
      </c>
      <c r="BF33" s="1815" t="s">
        <v>2360</v>
      </c>
      <c r="BG33" s="1815" t="s">
        <v>2393</v>
      </c>
      <c r="BH33" s="1837" t="s">
        <v>2289</v>
      </c>
      <c r="BI33" s="1815" t="s">
        <v>292</v>
      </c>
      <c r="BJ33" s="1852" t="s">
        <v>2289</v>
      </c>
      <c r="BK33" s="1818">
        <v>23.218399999999999</v>
      </c>
      <c r="BL33" s="1816">
        <v>109</v>
      </c>
      <c r="BM33" s="1843" t="s">
        <v>2369</v>
      </c>
      <c r="BN33" s="1815">
        <v>10</v>
      </c>
      <c r="BO33" s="1815" t="s">
        <v>2538</v>
      </c>
      <c r="BP33" s="1815" t="s">
        <v>2540</v>
      </c>
      <c r="BQ33" s="1837" t="s">
        <v>2289</v>
      </c>
      <c r="BR33" s="1815" t="s">
        <v>292</v>
      </c>
      <c r="BS33" s="1852" t="s">
        <v>2289</v>
      </c>
      <c r="BT33" s="1818">
        <v>5.82</v>
      </c>
    </row>
    <row r="34" spans="1:72" s="219" customFormat="1" ht="12" customHeight="1">
      <c r="A34" s="1810">
        <v>29</v>
      </c>
      <c r="B34" s="1820" t="s">
        <v>2123</v>
      </c>
      <c r="C34" s="1810">
        <v>5</v>
      </c>
      <c r="D34" s="1810" t="s">
        <v>2124</v>
      </c>
      <c r="E34" s="1810" t="s">
        <v>2125</v>
      </c>
      <c r="F34" s="1811">
        <v>8.2899999999999991</v>
      </c>
      <c r="G34" s="1817" t="s">
        <v>2776</v>
      </c>
      <c r="H34" s="1811">
        <v>10.51</v>
      </c>
      <c r="I34" s="1811">
        <v>8700</v>
      </c>
      <c r="J34" s="1813">
        <v>75</v>
      </c>
      <c r="K34" s="1814" t="s">
        <v>2658</v>
      </c>
      <c r="L34" s="1814">
        <v>10</v>
      </c>
      <c r="M34" s="1814" t="s">
        <v>3063</v>
      </c>
      <c r="N34" s="1814" t="s">
        <v>2659</v>
      </c>
      <c r="O34" s="1812">
        <v>10.48</v>
      </c>
      <c r="P34" s="1814" t="s">
        <v>2848</v>
      </c>
      <c r="Q34" s="1812">
        <v>10.91</v>
      </c>
      <c r="R34" s="1812">
        <v>13600</v>
      </c>
      <c r="S34" s="1810">
        <v>122</v>
      </c>
      <c r="T34" s="1820" t="s">
        <v>1632</v>
      </c>
      <c r="U34" s="1817">
        <v>15</v>
      </c>
      <c r="V34" s="1817" t="s">
        <v>1633</v>
      </c>
      <c r="W34" s="1811" t="s">
        <v>1634</v>
      </c>
      <c r="X34" s="1811">
        <v>8.9</v>
      </c>
      <c r="Y34" s="1817" t="s">
        <v>2221</v>
      </c>
      <c r="Z34" s="1811">
        <v>10.55</v>
      </c>
      <c r="AA34" s="1811">
        <v>5227.32</v>
      </c>
      <c r="AB34" s="1773">
        <v>168</v>
      </c>
      <c r="AC34" s="1820" t="s">
        <v>1629</v>
      </c>
      <c r="AD34" s="1817">
        <v>20</v>
      </c>
      <c r="AE34" s="1817" t="s">
        <v>667</v>
      </c>
      <c r="AF34" s="1811" t="s">
        <v>1056</v>
      </c>
      <c r="AG34" s="1811">
        <v>9.57</v>
      </c>
      <c r="AH34" s="1817" t="s">
        <v>292</v>
      </c>
      <c r="AI34" s="1811">
        <v>9.57</v>
      </c>
      <c r="AJ34" s="1811">
        <v>125</v>
      </c>
      <c r="AK34" s="1810">
        <v>214</v>
      </c>
      <c r="AL34" s="1820" t="s">
        <v>1655</v>
      </c>
      <c r="AM34" s="1817">
        <v>20</v>
      </c>
      <c r="AN34" s="1817" t="s">
        <v>1050</v>
      </c>
      <c r="AO34" s="1811" t="s">
        <v>1055</v>
      </c>
      <c r="AP34" s="1811">
        <v>11.98</v>
      </c>
      <c r="AQ34" s="1817" t="s">
        <v>292</v>
      </c>
      <c r="AR34" s="1811">
        <v>11.98</v>
      </c>
      <c r="AS34" s="1811">
        <v>250</v>
      </c>
      <c r="AT34" s="1810">
        <v>18</v>
      </c>
      <c r="AU34" s="1855" t="s">
        <v>2290</v>
      </c>
      <c r="AV34" s="1817">
        <v>10</v>
      </c>
      <c r="AW34" s="1817" t="s">
        <v>2296</v>
      </c>
      <c r="AX34" s="1811" t="s">
        <v>2314</v>
      </c>
      <c r="AY34" s="1811" t="s">
        <v>2289</v>
      </c>
      <c r="AZ34" s="1817" t="s">
        <v>292</v>
      </c>
      <c r="BA34" s="1811" t="s">
        <v>2289</v>
      </c>
      <c r="BB34" s="1811">
        <v>504.76</v>
      </c>
      <c r="BC34" s="1810">
        <v>64</v>
      </c>
      <c r="BD34" s="1844" t="s">
        <v>2395</v>
      </c>
      <c r="BE34" s="1813">
        <v>10</v>
      </c>
      <c r="BF34" s="1813" t="s">
        <v>2360</v>
      </c>
      <c r="BG34" s="1813" t="s">
        <v>2393</v>
      </c>
      <c r="BH34" s="1836" t="s">
        <v>2289</v>
      </c>
      <c r="BI34" s="1813" t="s">
        <v>292</v>
      </c>
      <c r="BJ34" s="1851" t="s">
        <v>2289</v>
      </c>
      <c r="BK34" s="1805">
        <v>1023.5085</v>
      </c>
      <c r="BL34" s="1810">
        <v>110</v>
      </c>
      <c r="BM34" s="1844" t="s">
        <v>2536</v>
      </c>
      <c r="BN34" s="1813">
        <v>10</v>
      </c>
      <c r="BO34" s="1813" t="s">
        <v>2538</v>
      </c>
      <c r="BP34" s="1813" t="s">
        <v>2540</v>
      </c>
      <c r="BQ34" s="1836" t="s">
        <v>2289</v>
      </c>
      <c r="BR34" s="1813" t="s">
        <v>292</v>
      </c>
      <c r="BS34" s="1851" t="s">
        <v>2289</v>
      </c>
      <c r="BT34" s="1805">
        <v>9.3963000000000001</v>
      </c>
    </row>
    <row r="35" spans="1:72" s="1754" customFormat="1" ht="12" customHeight="1">
      <c r="A35" s="1816">
        <v>30</v>
      </c>
      <c r="B35" s="1816" t="s">
        <v>2137</v>
      </c>
      <c r="C35" s="1816">
        <v>5</v>
      </c>
      <c r="D35" s="1816" t="s">
        <v>2138</v>
      </c>
      <c r="E35" s="1816" t="s">
        <v>2139</v>
      </c>
      <c r="F35" s="1808">
        <v>8.26</v>
      </c>
      <c r="G35" s="1816" t="s">
        <v>2143</v>
      </c>
      <c r="H35" s="1808">
        <v>8.5</v>
      </c>
      <c r="I35" s="1804">
        <v>6000</v>
      </c>
      <c r="J35" s="1815">
        <v>76</v>
      </c>
      <c r="K35" s="1815" t="s">
        <v>2736</v>
      </c>
      <c r="L35" s="1815">
        <v>10</v>
      </c>
      <c r="M35" s="1815" t="s">
        <v>2737</v>
      </c>
      <c r="N35" s="1815" t="s">
        <v>2738</v>
      </c>
      <c r="O35" s="1818">
        <v>10.39</v>
      </c>
      <c r="P35" s="1815" t="s">
        <v>2955</v>
      </c>
      <c r="Q35" s="1818">
        <v>10.24</v>
      </c>
      <c r="R35" s="1818">
        <v>18000</v>
      </c>
      <c r="S35" s="1816">
        <v>123</v>
      </c>
      <c r="T35" s="1816" t="s">
        <v>1640</v>
      </c>
      <c r="U35" s="1816">
        <v>15</v>
      </c>
      <c r="V35" s="1819" t="s">
        <v>1533</v>
      </c>
      <c r="W35" s="1816" t="s">
        <v>1534</v>
      </c>
      <c r="X35" s="1840">
        <v>8.6999999999999993</v>
      </c>
      <c r="Y35" s="1841" t="s">
        <v>2255</v>
      </c>
      <c r="Z35" s="1840">
        <v>12</v>
      </c>
      <c r="AA35" s="1840">
        <v>5316.0899999999992</v>
      </c>
      <c r="AB35" s="1816">
        <v>169</v>
      </c>
      <c r="AC35" s="1816" t="s">
        <v>1635</v>
      </c>
      <c r="AD35" s="1816">
        <v>20</v>
      </c>
      <c r="AE35" s="1819" t="s">
        <v>668</v>
      </c>
      <c r="AF35" s="1816" t="s">
        <v>669</v>
      </c>
      <c r="AG35" s="1804">
        <v>9.6</v>
      </c>
      <c r="AH35" s="1816" t="s">
        <v>292</v>
      </c>
      <c r="AI35" s="1804">
        <v>9.6</v>
      </c>
      <c r="AJ35" s="1804">
        <v>150</v>
      </c>
      <c r="AK35" s="1816">
        <v>215</v>
      </c>
      <c r="AL35" s="1816" t="s">
        <v>1659</v>
      </c>
      <c r="AM35" s="1816">
        <v>20</v>
      </c>
      <c r="AN35" s="1819" t="s">
        <v>1052</v>
      </c>
      <c r="AO35" s="1816" t="s">
        <v>1054</v>
      </c>
      <c r="AP35" s="1804">
        <v>11.98</v>
      </c>
      <c r="AQ35" s="1816" t="s">
        <v>1607</v>
      </c>
      <c r="AR35" s="1804">
        <v>11.97</v>
      </c>
      <c r="AS35" s="1804">
        <v>680</v>
      </c>
      <c r="AT35" s="1816">
        <v>19</v>
      </c>
      <c r="AU35" s="1842" t="s">
        <v>2315</v>
      </c>
      <c r="AV35" s="1816">
        <v>10</v>
      </c>
      <c r="AW35" s="1819" t="s">
        <v>2296</v>
      </c>
      <c r="AX35" s="1816" t="s">
        <v>2314</v>
      </c>
      <c r="AY35" s="1804" t="s">
        <v>2289</v>
      </c>
      <c r="AZ35" s="1816" t="s">
        <v>292</v>
      </c>
      <c r="BA35" s="1804" t="s">
        <v>2289</v>
      </c>
      <c r="BB35" s="1804">
        <v>330.53</v>
      </c>
      <c r="BC35" s="1816">
        <v>65</v>
      </c>
      <c r="BD35" s="1843" t="s">
        <v>2396</v>
      </c>
      <c r="BE35" s="1815">
        <v>10</v>
      </c>
      <c r="BF35" s="1815" t="s">
        <v>2360</v>
      </c>
      <c r="BG35" s="1815" t="s">
        <v>2393</v>
      </c>
      <c r="BH35" s="1837" t="s">
        <v>2289</v>
      </c>
      <c r="BI35" s="1815" t="s">
        <v>292</v>
      </c>
      <c r="BJ35" s="1852" t="s">
        <v>2289</v>
      </c>
      <c r="BK35" s="1818">
        <v>8.0681999999999992</v>
      </c>
      <c r="BL35" s="1816">
        <v>111</v>
      </c>
      <c r="BM35" s="1843" t="s">
        <v>2386</v>
      </c>
      <c r="BN35" s="1815">
        <v>10</v>
      </c>
      <c r="BO35" s="1815" t="s">
        <v>2538</v>
      </c>
      <c r="BP35" s="1815" t="s">
        <v>2540</v>
      </c>
      <c r="BQ35" s="1837" t="s">
        <v>2289</v>
      </c>
      <c r="BR35" s="1815" t="s">
        <v>292</v>
      </c>
      <c r="BS35" s="1852" t="s">
        <v>2289</v>
      </c>
      <c r="BT35" s="1818">
        <v>60.087699999999998</v>
      </c>
    </row>
    <row r="36" spans="1:72" s="1754" customFormat="1" ht="12" customHeight="1">
      <c r="A36" s="1810">
        <v>31</v>
      </c>
      <c r="B36" s="1820" t="s">
        <v>2178</v>
      </c>
      <c r="C36" s="1810">
        <v>5</v>
      </c>
      <c r="D36" s="1810" t="s">
        <v>2179</v>
      </c>
      <c r="E36" s="1810" t="s">
        <v>2180</v>
      </c>
      <c r="F36" s="1811">
        <v>8.75</v>
      </c>
      <c r="G36" s="1817" t="s">
        <v>2186</v>
      </c>
      <c r="H36" s="1811">
        <v>9.0399999999999991</v>
      </c>
      <c r="I36" s="1811">
        <v>6000</v>
      </c>
      <c r="J36" s="1813">
        <v>77</v>
      </c>
      <c r="K36" s="1814" t="s">
        <v>1616</v>
      </c>
      <c r="L36" s="1814">
        <v>15</v>
      </c>
      <c r="M36" s="1814" t="s">
        <v>958</v>
      </c>
      <c r="N36" s="1814" t="s">
        <v>959</v>
      </c>
      <c r="O36" s="1812">
        <v>9.65</v>
      </c>
      <c r="P36" s="1814" t="s">
        <v>292</v>
      </c>
      <c r="Q36" s="1812">
        <v>9.65</v>
      </c>
      <c r="R36" s="1812">
        <v>150</v>
      </c>
      <c r="S36" s="1810">
        <v>124</v>
      </c>
      <c r="T36" s="1820" t="s">
        <v>1812</v>
      </c>
      <c r="U36" s="1817">
        <v>15</v>
      </c>
      <c r="V36" s="1817" t="s">
        <v>1813</v>
      </c>
      <c r="W36" s="1811" t="s">
        <v>1814</v>
      </c>
      <c r="X36" s="1811">
        <v>5.65</v>
      </c>
      <c r="Y36" s="1817" t="s">
        <v>292</v>
      </c>
      <c r="Z36" s="1811">
        <v>5.65</v>
      </c>
      <c r="AA36" s="1811">
        <v>4500</v>
      </c>
      <c r="AB36" s="1773">
        <v>170</v>
      </c>
      <c r="AC36" s="1820" t="s">
        <v>1641</v>
      </c>
      <c r="AD36" s="1817">
        <v>20</v>
      </c>
      <c r="AE36" s="1817" t="s">
        <v>670</v>
      </c>
      <c r="AF36" s="1811" t="s">
        <v>671</v>
      </c>
      <c r="AG36" s="1811">
        <v>9.6</v>
      </c>
      <c r="AH36" s="1817" t="s">
        <v>292</v>
      </c>
      <c r="AI36" s="1811">
        <v>9.6</v>
      </c>
      <c r="AJ36" s="1811">
        <v>150</v>
      </c>
      <c r="AK36" s="1810">
        <v>216</v>
      </c>
      <c r="AL36" s="1820" t="s">
        <v>1663</v>
      </c>
      <c r="AM36" s="1817">
        <v>20</v>
      </c>
      <c r="AN36" s="1817" t="s">
        <v>1155</v>
      </c>
      <c r="AO36" s="1811" t="s">
        <v>1156</v>
      </c>
      <c r="AP36" s="1811">
        <v>10.36</v>
      </c>
      <c r="AQ36" s="1817" t="s">
        <v>1408</v>
      </c>
      <c r="AR36" s="1811">
        <v>8.09</v>
      </c>
      <c r="AS36" s="1811">
        <v>2600</v>
      </c>
      <c r="AT36" s="1810">
        <v>20</v>
      </c>
      <c r="AU36" s="1855" t="s">
        <v>2316</v>
      </c>
      <c r="AV36" s="1817">
        <v>10</v>
      </c>
      <c r="AW36" s="1817" t="s">
        <v>2305</v>
      </c>
      <c r="AX36" s="1811" t="s">
        <v>2317</v>
      </c>
      <c r="AY36" s="1811" t="s">
        <v>2289</v>
      </c>
      <c r="AZ36" s="1817" t="s">
        <v>292</v>
      </c>
      <c r="BA36" s="1811" t="s">
        <v>2289</v>
      </c>
      <c r="BB36" s="1811">
        <v>5.61</v>
      </c>
      <c r="BC36" s="1810">
        <v>66</v>
      </c>
      <c r="BD36" s="1844" t="s">
        <v>2397</v>
      </c>
      <c r="BE36" s="1813">
        <v>10</v>
      </c>
      <c r="BF36" s="1813" t="s">
        <v>2360</v>
      </c>
      <c r="BG36" s="1813" t="s">
        <v>2393</v>
      </c>
      <c r="BH36" s="1836" t="s">
        <v>2289</v>
      </c>
      <c r="BI36" s="1813" t="s">
        <v>292</v>
      </c>
      <c r="BJ36" s="1851" t="s">
        <v>2289</v>
      </c>
      <c r="BK36" s="1805">
        <v>41.005299999999998</v>
      </c>
      <c r="BL36" s="1810">
        <v>112</v>
      </c>
      <c r="BM36" s="1844" t="s">
        <v>2537</v>
      </c>
      <c r="BN36" s="1813">
        <v>10</v>
      </c>
      <c r="BO36" s="1813" t="s">
        <v>2538</v>
      </c>
      <c r="BP36" s="1813" t="s">
        <v>2540</v>
      </c>
      <c r="BQ36" s="1836" t="s">
        <v>2289</v>
      </c>
      <c r="BR36" s="1813" t="s">
        <v>292</v>
      </c>
      <c r="BS36" s="1851" t="s">
        <v>2289</v>
      </c>
      <c r="BT36" s="1805">
        <v>2.0255999999999998</v>
      </c>
    </row>
    <row r="37" spans="1:72" s="1754" customFormat="1" ht="12" customHeight="1" thickBot="1">
      <c r="A37" s="1816">
        <v>32</v>
      </c>
      <c r="B37" s="1816" t="s">
        <v>2189</v>
      </c>
      <c r="C37" s="1816">
        <v>5</v>
      </c>
      <c r="D37" s="1816" t="s">
        <v>2190</v>
      </c>
      <c r="E37" s="1816" t="s">
        <v>2216</v>
      </c>
      <c r="F37" s="1808">
        <v>9</v>
      </c>
      <c r="G37" s="1816" t="s">
        <v>2894</v>
      </c>
      <c r="H37" s="1808">
        <v>10.23</v>
      </c>
      <c r="I37" s="1804">
        <v>6000</v>
      </c>
      <c r="J37" s="1815">
        <v>79</v>
      </c>
      <c r="K37" s="1815" t="s">
        <v>1620</v>
      </c>
      <c r="L37" s="1815">
        <v>15</v>
      </c>
      <c r="M37" s="1815" t="s">
        <v>960</v>
      </c>
      <c r="N37" s="1815" t="s">
        <v>961</v>
      </c>
      <c r="O37" s="1818">
        <v>10.3</v>
      </c>
      <c r="P37" s="1815" t="s">
        <v>292</v>
      </c>
      <c r="Q37" s="1818">
        <v>10.3</v>
      </c>
      <c r="R37" s="1818">
        <v>150</v>
      </c>
      <c r="S37" s="1816">
        <v>125</v>
      </c>
      <c r="T37" s="1816" t="s">
        <v>2021</v>
      </c>
      <c r="U37" s="1816">
        <v>15</v>
      </c>
      <c r="V37" s="1819" t="s">
        <v>2022</v>
      </c>
      <c r="W37" s="1816" t="s">
        <v>2023</v>
      </c>
      <c r="X37" s="1804">
        <v>7.98</v>
      </c>
      <c r="Y37" s="1816" t="s">
        <v>2587</v>
      </c>
      <c r="Z37" s="1804">
        <v>11.36</v>
      </c>
      <c r="AA37" s="1804">
        <v>6766.66</v>
      </c>
      <c r="AB37" s="1816">
        <v>171</v>
      </c>
      <c r="AC37" s="1816" t="s">
        <v>1644</v>
      </c>
      <c r="AD37" s="1816">
        <v>20</v>
      </c>
      <c r="AE37" s="1819" t="s">
        <v>672</v>
      </c>
      <c r="AF37" s="1816" t="s">
        <v>673</v>
      </c>
      <c r="AG37" s="1804">
        <v>9.6300000000000008</v>
      </c>
      <c r="AH37" s="1816" t="s">
        <v>292</v>
      </c>
      <c r="AI37" s="1804">
        <v>9.6300000000000008</v>
      </c>
      <c r="AJ37" s="1804">
        <v>160</v>
      </c>
      <c r="AK37" s="1816">
        <v>217</v>
      </c>
      <c r="AL37" s="1816" t="s">
        <v>1667</v>
      </c>
      <c r="AM37" s="1816">
        <v>20</v>
      </c>
      <c r="AN37" s="1819" t="s">
        <v>1161</v>
      </c>
      <c r="AO37" s="1816" t="s">
        <v>1162</v>
      </c>
      <c r="AP37" s="1804">
        <v>8.6999999999999993</v>
      </c>
      <c r="AQ37" s="1816" t="s">
        <v>1496</v>
      </c>
      <c r="AR37" s="1804">
        <v>9.43</v>
      </c>
      <c r="AS37" s="1804">
        <v>3950</v>
      </c>
      <c r="AT37" s="1816">
        <v>21</v>
      </c>
      <c r="AU37" s="1842" t="s">
        <v>2318</v>
      </c>
      <c r="AV37" s="1816">
        <v>10</v>
      </c>
      <c r="AW37" s="1819" t="s">
        <v>2305</v>
      </c>
      <c r="AX37" s="1816" t="s">
        <v>2317</v>
      </c>
      <c r="AY37" s="1804" t="s">
        <v>2289</v>
      </c>
      <c r="AZ37" s="1816" t="s">
        <v>292</v>
      </c>
      <c r="BA37" s="1804" t="s">
        <v>2289</v>
      </c>
      <c r="BB37" s="1804">
        <v>50</v>
      </c>
      <c r="BC37" s="1816">
        <v>67</v>
      </c>
      <c r="BD37" s="1843" t="s">
        <v>2398</v>
      </c>
      <c r="BE37" s="1827">
        <v>10</v>
      </c>
      <c r="BF37" s="1823" t="s">
        <v>2360</v>
      </c>
      <c r="BG37" s="1823" t="s">
        <v>2393</v>
      </c>
      <c r="BH37" s="1852" t="s">
        <v>2289</v>
      </c>
      <c r="BI37" s="1816" t="s">
        <v>292</v>
      </c>
      <c r="BJ37" s="1852" t="s">
        <v>2289</v>
      </c>
      <c r="BK37" s="1804">
        <v>71.054400000000001</v>
      </c>
      <c r="BL37" s="1865">
        <v>113</v>
      </c>
      <c r="BM37" s="1858" t="s">
        <v>2373</v>
      </c>
      <c r="BN37" s="1859">
        <v>10</v>
      </c>
      <c r="BO37" s="1860" t="s">
        <v>2538</v>
      </c>
      <c r="BP37" s="1860" t="s">
        <v>2540</v>
      </c>
      <c r="BQ37" s="1861" t="s">
        <v>2289</v>
      </c>
      <c r="BR37" s="1862" t="s">
        <v>292</v>
      </c>
      <c r="BS37" s="1861" t="s">
        <v>2289</v>
      </c>
      <c r="BT37" s="1863">
        <v>5.2679999999999998</v>
      </c>
    </row>
    <row r="38" spans="1:72" s="1754" customFormat="1" ht="12" customHeight="1">
      <c r="A38" s="1810">
        <v>33</v>
      </c>
      <c r="B38" s="1820" t="s">
        <v>2214</v>
      </c>
      <c r="C38" s="1810">
        <v>5</v>
      </c>
      <c r="D38" s="1810" t="s">
        <v>2215</v>
      </c>
      <c r="E38" s="1810" t="s">
        <v>2217</v>
      </c>
      <c r="F38" s="1811">
        <v>9.1</v>
      </c>
      <c r="G38" s="1817" t="s">
        <v>2833</v>
      </c>
      <c r="H38" s="1811">
        <v>10.46</v>
      </c>
      <c r="I38" s="1811">
        <v>6289.83</v>
      </c>
      <c r="J38" s="1813">
        <v>80</v>
      </c>
      <c r="K38" s="1814" t="s">
        <v>1624</v>
      </c>
      <c r="L38" s="1814">
        <v>15</v>
      </c>
      <c r="M38" s="1814" t="s">
        <v>1625</v>
      </c>
      <c r="N38" s="1814" t="s">
        <v>1626</v>
      </c>
      <c r="O38" s="1812">
        <v>10.99</v>
      </c>
      <c r="P38" s="1814" t="s">
        <v>292</v>
      </c>
      <c r="Q38" s="1812">
        <v>10.99</v>
      </c>
      <c r="R38" s="1812">
        <v>200</v>
      </c>
      <c r="S38" s="1810">
        <v>126</v>
      </c>
      <c r="T38" s="1820" t="s">
        <v>2054</v>
      </c>
      <c r="U38" s="1817">
        <v>15</v>
      </c>
      <c r="V38" s="1817" t="s">
        <v>2052</v>
      </c>
      <c r="W38" s="1811" t="s">
        <v>2055</v>
      </c>
      <c r="X38" s="1811">
        <v>8.5500000000000007</v>
      </c>
      <c r="Y38" s="1817" t="s">
        <v>2565</v>
      </c>
      <c r="Z38" s="1811">
        <v>11.92</v>
      </c>
      <c r="AA38" s="1811">
        <v>8154.22</v>
      </c>
      <c r="AB38" s="1773">
        <v>172</v>
      </c>
      <c r="AC38" s="1820" t="s">
        <v>1650</v>
      </c>
      <c r="AD38" s="1817">
        <v>20</v>
      </c>
      <c r="AE38" s="1811" t="s">
        <v>3064</v>
      </c>
      <c r="AF38" s="1811" t="s">
        <v>674</v>
      </c>
      <c r="AG38" s="1811">
        <v>9.65</v>
      </c>
      <c r="AH38" s="1817" t="s">
        <v>2911</v>
      </c>
      <c r="AI38" s="1811">
        <v>10.350199999999999</v>
      </c>
      <c r="AJ38" s="1811">
        <v>6675</v>
      </c>
      <c r="AK38" s="1810">
        <v>218</v>
      </c>
      <c r="AL38" s="1820" t="s">
        <v>1671</v>
      </c>
      <c r="AM38" s="1817">
        <v>20</v>
      </c>
      <c r="AN38" s="1817" t="s">
        <v>1174</v>
      </c>
      <c r="AO38" s="1811" t="s">
        <v>1175</v>
      </c>
      <c r="AP38" s="1811">
        <v>8.24</v>
      </c>
      <c r="AQ38" s="1817" t="s">
        <v>1432</v>
      </c>
      <c r="AR38" s="1811">
        <v>7.97</v>
      </c>
      <c r="AS38" s="1811">
        <v>2850</v>
      </c>
      <c r="AT38" s="1810">
        <v>22</v>
      </c>
      <c r="AU38" s="1855" t="s">
        <v>2319</v>
      </c>
      <c r="AV38" s="1817">
        <v>10</v>
      </c>
      <c r="AW38" s="1817" t="s">
        <v>2305</v>
      </c>
      <c r="AX38" s="1811" t="s">
        <v>2317</v>
      </c>
      <c r="AY38" s="1811" t="s">
        <v>2289</v>
      </c>
      <c r="AZ38" s="1817" t="s">
        <v>292</v>
      </c>
      <c r="BA38" s="1811" t="s">
        <v>2289</v>
      </c>
      <c r="BB38" s="1811">
        <v>3.69</v>
      </c>
      <c r="BC38" s="1810">
        <v>68</v>
      </c>
      <c r="BD38" s="1844" t="s">
        <v>2374</v>
      </c>
      <c r="BE38" s="1826">
        <v>9</v>
      </c>
      <c r="BF38" s="1824" t="s">
        <v>2424</v>
      </c>
      <c r="BG38" s="1813" t="s">
        <v>2426</v>
      </c>
      <c r="BH38" s="1851" t="s">
        <v>2289</v>
      </c>
      <c r="BI38" s="1810" t="s">
        <v>292</v>
      </c>
      <c r="BJ38" s="1851" t="s">
        <v>2289</v>
      </c>
      <c r="BK38" s="1803">
        <v>64.721900000000005</v>
      </c>
    </row>
    <row r="39" spans="1:72" s="1754" customFormat="1" ht="12" customHeight="1">
      <c r="A39" s="1816">
        <v>34</v>
      </c>
      <c r="B39" s="1816" t="s">
        <v>2226</v>
      </c>
      <c r="C39" s="1816">
        <v>5</v>
      </c>
      <c r="D39" s="1816" t="s">
        <v>2227</v>
      </c>
      <c r="E39" s="1816" t="s">
        <v>2228</v>
      </c>
      <c r="F39" s="1808">
        <v>10.99</v>
      </c>
      <c r="G39" s="1816" t="s">
        <v>2920</v>
      </c>
      <c r="H39" s="1808">
        <v>9.7085000000000008</v>
      </c>
      <c r="I39" s="1804">
        <v>7934.9</v>
      </c>
      <c r="J39" s="1815">
        <v>81</v>
      </c>
      <c r="K39" s="1815" t="s">
        <v>1631</v>
      </c>
      <c r="L39" s="1815">
        <v>15</v>
      </c>
      <c r="M39" s="1815" t="s">
        <v>962</v>
      </c>
      <c r="N39" s="1815" t="s">
        <v>963</v>
      </c>
      <c r="O39" s="1818">
        <v>11</v>
      </c>
      <c r="P39" s="1815" t="s">
        <v>292</v>
      </c>
      <c r="Q39" s="1818">
        <v>11</v>
      </c>
      <c r="R39" s="1818">
        <v>200</v>
      </c>
      <c r="S39" s="1816">
        <v>127</v>
      </c>
      <c r="T39" s="1816" t="s">
        <v>2345</v>
      </c>
      <c r="U39" s="1816">
        <v>15</v>
      </c>
      <c r="V39" s="1819" t="s">
        <v>2346</v>
      </c>
      <c r="W39" s="1816" t="s">
        <v>2347</v>
      </c>
      <c r="X39" s="1804">
        <v>12.15</v>
      </c>
      <c r="Y39" s="1816" t="s">
        <v>2552</v>
      </c>
      <c r="Z39" s="1804">
        <v>12.63</v>
      </c>
      <c r="AA39" s="1804">
        <v>8257.57</v>
      </c>
      <c r="AB39" s="1816">
        <v>173</v>
      </c>
      <c r="AC39" s="1816" t="s">
        <v>1654</v>
      </c>
      <c r="AD39" s="1816">
        <v>20</v>
      </c>
      <c r="AE39" s="1819" t="s">
        <v>1182</v>
      </c>
      <c r="AF39" s="1816" t="s">
        <v>1177</v>
      </c>
      <c r="AG39" s="1804">
        <v>9.65</v>
      </c>
      <c r="AH39" s="1816" t="s">
        <v>292</v>
      </c>
      <c r="AI39" s="1804">
        <v>9.65</v>
      </c>
      <c r="AJ39" s="1804">
        <v>175</v>
      </c>
      <c r="AK39" s="1816">
        <v>219</v>
      </c>
      <c r="AL39" s="1816" t="s">
        <v>1675</v>
      </c>
      <c r="AM39" s="1816">
        <v>20</v>
      </c>
      <c r="AN39" s="1819" t="s">
        <v>1473</v>
      </c>
      <c r="AO39" s="1816" t="s">
        <v>1475</v>
      </c>
      <c r="AP39" s="1804">
        <v>8.24</v>
      </c>
      <c r="AQ39" s="1816" t="s">
        <v>1481</v>
      </c>
      <c r="AR39" s="1804">
        <v>8.68</v>
      </c>
      <c r="AS39" s="1804">
        <v>3000</v>
      </c>
      <c r="AT39" s="1816">
        <v>23</v>
      </c>
      <c r="AU39" s="1842" t="s">
        <v>2320</v>
      </c>
      <c r="AV39" s="1816">
        <v>8</v>
      </c>
      <c r="AW39" s="1819" t="s">
        <v>2296</v>
      </c>
      <c r="AX39" s="1816" t="s">
        <v>2321</v>
      </c>
      <c r="AY39" s="1804" t="s">
        <v>2289</v>
      </c>
      <c r="AZ39" s="1816" t="s">
        <v>292</v>
      </c>
      <c r="BA39" s="1804" t="s">
        <v>2289</v>
      </c>
      <c r="BB39" s="1804">
        <v>778.81</v>
      </c>
      <c r="BC39" s="1816">
        <v>69</v>
      </c>
      <c r="BD39" s="1843" t="s">
        <v>2372</v>
      </c>
      <c r="BE39" s="1827">
        <v>10</v>
      </c>
      <c r="BF39" s="1823" t="s">
        <v>2424</v>
      </c>
      <c r="BG39" s="1823" t="s">
        <v>2425</v>
      </c>
      <c r="BH39" s="1852" t="s">
        <v>2289</v>
      </c>
      <c r="BI39" s="1816" t="s">
        <v>292</v>
      </c>
      <c r="BJ39" s="1852" t="s">
        <v>2289</v>
      </c>
      <c r="BK39" s="1804">
        <v>256.83819999999997</v>
      </c>
    </row>
    <row r="40" spans="1:72" s="1754" customFormat="1" ht="12" customHeight="1">
      <c r="A40" s="1810">
        <v>35</v>
      </c>
      <c r="B40" s="1820" t="s">
        <v>2243</v>
      </c>
      <c r="C40" s="1810">
        <v>5</v>
      </c>
      <c r="D40" s="1810" t="s">
        <v>2244</v>
      </c>
      <c r="E40" s="1810" t="s">
        <v>2245</v>
      </c>
      <c r="F40" s="1811">
        <v>10.35</v>
      </c>
      <c r="G40" s="1817" t="s">
        <v>2465</v>
      </c>
      <c r="H40" s="1811">
        <v>12.4</v>
      </c>
      <c r="I40" s="1811">
        <v>8930.2099999999991</v>
      </c>
      <c r="J40" s="1813">
        <v>82</v>
      </c>
      <c r="K40" s="1814" t="s">
        <v>1637</v>
      </c>
      <c r="L40" s="1814">
        <v>15</v>
      </c>
      <c r="M40" s="1814" t="s">
        <v>1638</v>
      </c>
      <c r="N40" s="1814" t="s">
        <v>1639</v>
      </c>
      <c r="O40" s="1812">
        <v>11</v>
      </c>
      <c r="P40" s="1814" t="s">
        <v>292</v>
      </c>
      <c r="Q40" s="1812">
        <v>11</v>
      </c>
      <c r="R40" s="1812">
        <v>200</v>
      </c>
      <c r="S40" s="1810">
        <v>128</v>
      </c>
      <c r="T40" s="1820" t="s">
        <v>2598</v>
      </c>
      <c r="U40" s="1817">
        <v>15</v>
      </c>
      <c r="V40" s="1811" t="s">
        <v>3065</v>
      </c>
      <c r="W40" s="1811" t="s">
        <v>2599</v>
      </c>
      <c r="X40" s="1811">
        <v>12.28</v>
      </c>
      <c r="Y40" s="1817" t="s">
        <v>2908</v>
      </c>
      <c r="Z40" s="1811">
        <v>10.304</v>
      </c>
      <c r="AA40" s="1811">
        <v>9000</v>
      </c>
      <c r="AB40" s="1773">
        <v>174</v>
      </c>
      <c r="AC40" s="1820" t="s">
        <v>1658</v>
      </c>
      <c r="AD40" s="1817">
        <v>20</v>
      </c>
      <c r="AE40" s="1817" t="s">
        <v>1183</v>
      </c>
      <c r="AF40" s="1811" t="s">
        <v>1180</v>
      </c>
      <c r="AG40" s="1811">
        <v>9.65</v>
      </c>
      <c r="AH40" s="1817" t="s">
        <v>292</v>
      </c>
      <c r="AI40" s="1811">
        <v>9.65</v>
      </c>
      <c r="AJ40" s="1811">
        <v>185</v>
      </c>
      <c r="AK40" s="1810">
        <v>220</v>
      </c>
      <c r="AL40" s="1820" t="s">
        <v>1678</v>
      </c>
      <c r="AM40" s="1817">
        <v>20</v>
      </c>
      <c r="AN40" s="1817" t="s">
        <v>1485</v>
      </c>
      <c r="AO40" s="1811" t="s">
        <v>1486</v>
      </c>
      <c r="AP40" s="1811">
        <v>9.2899999999999991</v>
      </c>
      <c r="AQ40" s="1817" t="s">
        <v>1628</v>
      </c>
      <c r="AR40" s="1811">
        <v>8.77</v>
      </c>
      <c r="AS40" s="1811">
        <v>3650</v>
      </c>
      <c r="AT40" s="1810">
        <v>24</v>
      </c>
      <c r="AU40" s="1855" t="s">
        <v>2322</v>
      </c>
      <c r="AV40" s="1817">
        <v>8</v>
      </c>
      <c r="AW40" s="1817" t="s">
        <v>2299</v>
      </c>
      <c r="AX40" s="1811" t="s">
        <v>2323</v>
      </c>
      <c r="AY40" s="1811" t="s">
        <v>2289</v>
      </c>
      <c r="AZ40" s="1817" t="s">
        <v>292</v>
      </c>
      <c r="BA40" s="1811" t="s">
        <v>2289</v>
      </c>
      <c r="BB40" s="1811">
        <v>340.09</v>
      </c>
      <c r="BC40" s="1810">
        <v>70</v>
      </c>
      <c r="BD40" s="1844" t="s">
        <v>2427</v>
      </c>
      <c r="BE40" s="1826">
        <v>10</v>
      </c>
      <c r="BF40" s="1824" t="s">
        <v>2424</v>
      </c>
      <c r="BG40" s="1813" t="s">
        <v>2425</v>
      </c>
      <c r="BH40" s="1851" t="s">
        <v>2289</v>
      </c>
      <c r="BI40" s="1810" t="s">
        <v>292</v>
      </c>
      <c r="BJ40" s="1851" t="s">
        <v>2289</v>
      </c>
      <c r="BK40" s="1803">
        <v>12.002700000000001</v>
      </c>
    </row>
    <row r="41" spans="1:72" s="1754" customFormat="1" ht="12" customHeight="1">
      <c r="A41" s="1816">
        <v>36</v>
      </c>
      <c r="B41" s="1816" t="s">
        <v>2353</v>
      </c>
      <c r="C41" s="1816">
        <v>5</v>
      </c>
      <c r="D41" s="1816" t="s">
        <v>1822</v>
      </c>
      <c r="E41" s="1816" t="s">
        <v>2354</v>
      </c>
      <c r="F41" s="1808">
        <v>12.1</v>
      </c>
      <c r="G41" s="1816" t="s">
        <v>1482</v>
      </c>
      <c r="H41" s="1808">
        <v>12.41</v>
      </c>
      <c r="I41" s="1804">
        <v>6141.35</v>
      </c>
      <c r="J41" s="1815">
        <v>83</v>
      </c>
      <c r="K41" s="1815" t="s">
        <v>1643</v>
      </c>
      <c r="L41" s="1815">
        <v>15</v>
      </c>
      <c r="M41" s="1815" t="s">
        <v>964</v>
      </c>
      <c r="N41" s="1815" t="s">
        <v>965</v>
      </c>
      <c r="O41" s="1818">
        <v>11.5</v>
      </c>
      <c r="P41" s="1815" t="s">
        <v>292</v>
      </c>
      <c r="Q41" s="1818">
        <v>11.5</v>
      </c>
      <c r="R41" s="1818">
        <v>275</v>
      </c>
      <c r="S41" s="1816">
        <v>129</v>
      </c>
      <c r="T41" s="1816" t="s">
        <v>2678</v>
      </c>
      <c r="U41" s="1816">
        <v>15</v>
      </c>
      <c r="V41" s="1816" t="s">
        <v>3066</v>
      </c>
      <c r="W41" s="1816" t="s">
        <v>2679</v>
      </c>
      <c r="X41" s="1804">
        <v>10.28</v>
      </c>
      <c r="Y41" s="1819" t="s">
        <v>2895</v>
      </c>
      <c r="Z41" s="1804">
        <v>11.16</v>
      </c>
      <c r="AA41" s="1804">
        <v>8500</v>
      </c>
      <c r="AB41" s="1816">
        <v>175</v>
      </c>
      <c r="AC41" s="1816" t="s">
        <v>1662</v>
      </c>
      <c r="AD41" s="1816">
        <v>20</v>
      </c>
      <c r="AE41" s="1819" t="s">
        <v>1184</v>
      </c>
      <c r="AF41" s="1816" t="s">
        <v>1181</v>
      </c>
      <c r="AG41" s="1804">
        <v>10</v>
      </c>
      <c r="AH41" s="1816" t="s">
        <v>292</v>
      </c>
      <c r="AI41" s="1804">
        <v>10</v>
      </c>
      <c r="AJ41" s="1804">
        <v>150</v>
      </c>
      <c r="AK41" s="1816">
        <v>221</v>
      </c>
      <c r="AL41" s="1816" t="s">
        <v>1682</v>
      </c>
      <c r="AM41" s="1816">
        <v>20</v>
      </c>
      <c r="AN41" s="1819" t="s">
        <v>1683</v>
      </c>
      <c r="AO41" s="1816" t="s">
        <v>1684</v>
      </c>
      <c r="AP41" s="1804">
        <v>9.1999999999999993</v>
      </c>
      <c r="AQ41" s="1816" t="s">
        <v>2953</v>
      </c>
      <c r="AR41" s="1804">
        <v>10.342499999999999</v>
      </c>
      <c r="AS41" s="1804">
        <v>8029.96</v>
      </c>
      <c r="AT41" s="1816">
        <v>25</v>
      </c>
      <c r="AU41" s="1842" t="s">
        <v>2324</v>
      </c>
      <c r="AV41" s="1816">
        <v>8</v>
      </c>
      <c r="AW41" s="1819" t="s">
        <v>2299</v>
      </c>
      <c r="AX41" s="1816" t="s">
        <v>2323</v>
      </c>
      <c r="AY41" s="1804" t="s">
        <v>2289</v>
      </c>
      <c r="AZ41" s="1816" t="s">
        <v>292</v>
      </c>
      <c r="BA41" s="1804" t="s">
        <v>2289</v>
      </c>
      <c r="BB41" s="1804">
        <v>623.30999999999995</v>
      </c>
      <c r="BC41" s="1816">
        <v>71</v>
      </c>
      <c r="BD41" s="1843" t="s">
        <v>2428</v>
      </c>
      <c r="BE41" s="1827">
        <v>9</v>
      </c>
      <c r="BF41" s="1823" t="s">
        <v>2424</v>
      </c>
      <c r="BG41" s="1823" t="s">
        <v>2426</v>
      </c>
      <c r="BH41" s="1852" t="s">
        <v>2289</v>
      </c>
      <c r="BI41" s="1816" t="s">
        <v>292</v>
      </c>
      <c r="BJ41" s="1852" t="s">
        <v>2289</v>
      </c>
      <c r="BK41" s="1804">
        <v>72.0214</v>
      </c>
    </row>
    <row r="42" spans="1:72" s="1754" customFormat="1" ht="12" customHeight="1">
      <c r="A42" s="1810">
        <v>37</v>
      </c>
      <c r="B42" s="1820" t="s">
        <v>2361</v>
      </c>
      <c r="C42" s="1810">
        <v>5</v>
      </c>
      <c r="D42" s="1810" t="s">
        <v>3067</v>
      </c>
      <c r="E42" s="1810" t="s">
        <v>3068</v>
      </c>
      <c r="F42" s="1811">
        <v>12.4</v>
      </c>
      <c r="G42" s="1817" t="s">
        <v>2480</v>
      </c>
      <c r="H42" s="1811">
        <v>12.37</v>
      </c>
      <c r="I42" s="1811">
        <v>7760.69</v>
      </c>
      <c r="J42" s="1813">
        <v>84</v>
      </c>
      <c r="K42" s="1814" t="s">
        <v>1646</v>
      </c>
      <c r="L42" s="1814">
        <v>15</v>
      </c>
      <c r="M42" s="1814" t="s">
        <v>966</v>
      </c>
      <c r="N42" s="1814" t="s">
        <v>967</v>
      </c>
      <c r="O42" s="1812">
        <v>11.6</v>
      </c>
      <c r="P42" s="1814" t="s">
        <v>292</v>
      </c>
      <c r="Q42" s="1812">
        <v>11.6</v>
      </c>
      <c r="R42" s="1812">
        <v>275</v>
      </c>
      <c r="S42" s="1810">
        <v>130</v>
      </c>
      <c r="T42" s="1820" t="s">
        <v>2660</v>
      </c>
      <c r="U42" s="1817">
        <v>20</v>
      </c>
      <c r="V42" s="1817" t="s">
        <v>2661</v>
      </c>
      <c r="W42" s="1811" t="s">
        <v>2662</v>
      </c>
      <c r="X42" s="1811">
        <v>15.950000000000001</v>
      </c>
      <c r="Y42" s="1817" t="s">
        <v>292</v>
      </c>
      <c r="Z42" s="1811">
        <v>15.950000000000001</v>
      </c>
      <c r="AA42" s="1811">
        <v>50</v>
      </c>
      <c r="AB42" s="1773">
        <v>176</v>
      </c>
      <c r="AC42" s="1820" t="s">
        <v>1666</v>
      </c>
      <c r="AD42" s="1817">
        <v>20</v>
      </c>
      <c r="AE42" s="1811" t="s">
        <v>3069</v>
      </c>
      <c r="AF42" s="1811" t="s">
        <v>1185</v>
      </c>
      <c r="AG42" s="1811">
        <v>10.25</v>
      </c>
      <c r="AH42" s="1817" t="s">
        <v>2896</v>
      </c>
      <c r="AI42" s="1811">
        <v>10.79</v>
      </c>
      <c r="AJ42" s="1811">
        <v>10650</v>
      </c>
      <c r="AK42" s="1810">
        <v>222</v>
      </c>
      <c r="AL42" s="1820" t="s">
        <v>1689</v>
      </c>
      <c r="AM42" s="1817">
        <v>20</v>
      </c>
      <c r="AN42" s="1817" t="s">
        <v>1533</v>
      </c>
      <c r="AO42" s="1811" t="s">
        <v>1535</v>
      </c>
      <c r="AP42" s="1811">
        <v>8.94</v>
      </c>
      <c r="AQ42" s="1817" t="s">
        <v>2229</v>
      </c>
      <c r="AR42" s="1811">
        <v>11.26</v>
      </c>
      <c r="AS42" s="1811">
        <v>5184.3499999999995</v>
      </c>
      <c r="AT42" s="1810">
        <v>26</v>
      </c>
      <c r="AU42" s="1854" t="s">
        <v>2325</v>
      </c>
      <c r="AV42" s="1810">
        <v>8</v>
      </c>
      <c r="AW42" s="1817" t="s">
        <v>2299</v>
      </c>
      <c r="AX42" s="1810" t="s">
        <v>2323</v>
      </c>
      <c r="AY42" s="1803" t="s">
        <v>2289</v>
      </c>
      <c r="AZ42" s="1810" t="s">
        <v>292</v>
      </c>
      <c r="BA42" s="1803" t="s">
        <v>2289</v>
      </c>
      <c r="BB42" s="1803">
        <v>172.17</v>
      </c>
      <c r="BC42" s="1810">
        <v>72</v>
      </c>
      <c r="BD42" s="1844" t="s">
        <v>2396</v>
      </c>
      <c r="BE42" s="1826">
        <v>10</v>
      </c>
      <c r="BF42" s="1824" t="s">
        <v>2424</v>
      </c>
      <c r="BG42" s="1813" t="s">
        <v>2425</v>
      </c>
      <c r="BH42" s="1851" t="s">
        <v>2289</v>
      </c>
      <c r="BI42" s="1810" t="s">
        <v>292</v>
      </c>
      <c r="BJ42" s="1851" t="s">
        <v>2289</v>
      </c>
      <c r="BK42" s="1803">
        <v>68.582800000000006</v>
      </c>
    </row>
    <row r="43" spans="1:72" s="1754" customFormat="1" ht="12" customHeight="1">
      <c r="A43" s="1816">
        <v>38</v>
      </c>
      <c r="B43" s="1816" t="s">
        <v>2493</v>
      </c>
      <c r="C43" s="1816">
        <v>5</v>
      </c>
      <c r="D43" s="1816" t="s">
        <v>2494</v>
      </c>
      <c r="E43" s="1816" t="s">
        <v>2495</v>
      </c>
      <c r="F43" s="1808">
        <v>12.3</v>
      </c>
      <c r="G43" s="1816" t="s">
        <v>2529</v>
      </c>
      <c r="H43" s="1808">
        <v>12.45</v>
      </c>
      <c r="I43" s="1804">
        <v>7510.16</v>
      </c>
      <c r="J43" s="1815">
        <v>85</v>
      </c>
      <c r="K43" s="1815" t="s">
        <v>1652</v>
      </c>
      <c r="L43" s="1815">
        <v>15</v>
      </c>
      <c r="M43" s="1815" t="s">
        <v>968</v>
      </c>
      <c r="N43" s="1815" t="s">
        <v>969</v>
      </c>
      <c r="O43" s="1818">
        <v>11.65</v>
      </c>
      <c r="P43" s="1815" t="s">
        <v>292</v>
      </c>
      <c r="Q43" s="1818">
        <v>11.65</v>
      </c>
      <c r="R43" s="1818">
        <v>275</v>
      </c>
      <c r="S43" s="1816">
        <v>131</v>
      </c>
      <c r="T43" s="1816" t="s">
        <v>1647</v>
      </c>
      <c r="U43" s="1816">
        <v>20</v>
      </c>
      <c r="V43" s="1819" t="s">
        <v>1648</v>
      </c>
      <c r="W43" s="1816" t="s">
        <v>1649</v>
      </c>
      <c r="X43" s="1804">
        <v>15.440000000000001</v>
      </c>
      <c r="Y43" s="1816" t="s">
        <v>292</v>
      </c>
      <c r="Z43" s="1804">
        <v>15.440000000000001</v>
      </c>
      <c r="AA43" s="1804">
        <v>50</v>
      </c>
      <c r="AB43" s="1816">
        <v>177</v>
      </c>
      <c r="AC43" s="1816" t="s">
        <v>1670</v>
      </c>
      <c r="AD43" s="1816">
        <v>20</v>
      </c>
      <c r="AE43" s="1819" t="s">
        <v>1193</v>
      </c>
      <c r="AF43" s="1816" t="s">
        <v>1191</v>
      </c>
      <c r="AG43" s="1804">
        <v>10.85</v>
      </c>
      <c r="AH43" s="1816" t="s">
        <v>292</v>
      </c>
      <c r="AI43" s="1804">
        <v>10.85</v>
      </c>
      <c r="AJ43" s="1804">
        <v>150</v>
      </c>
      <c r="AK43" s="1816">
        <v>223</v>
      </c>
      <c r="AL43" s="1816" t="s">
        <v>1807</v>
      </c>
      <c r="AM43" s="1816">
        <v>20</v>
      </c>
      <c r="AN43" s="1819" t="s">
        <v>1806</v>
      </c>
      <c r="AO43" s="1816" t="s">
        <v>1808</v>
      </c>
      <c r="AP43" s="1804">
        <v>6.07</v>
      </c>
      <c r="AQ43" s="1816" t="s">
        <v>1983</v>
      </c>
      <c r="AR43" s="1804">
        <v>7.64</v>
      </c>
      <c r="AS43" s="1804">
        <v>4400</v>
      </c>
      <c r="AT43" s="1816">
        <v>27</v>
      </c>
      <c r="AU43" s="1842" t="s">
        <v>2326</v>
      </c>
      <c r="AV43" s="1816">
        <v>8</v>
      </c>
      <c r="AW43" s="1819" t="s">
        <v>2299</v>
      </c>
      <c r="AX43" s="1816" t="s">
        <v>2323</v>
      </c>
      <c r="AY43" s="1804" t="s">
        <v>2289</v>
      </c>
      <c r="AZ43" s="1816" t="s">
        <v>292</v>
      </c>
      <c r="BA43" s="1804" t="s">
        <v>2289</v>
      </c>
      <c r="BB43" s="1804">
        <v>120.95</v>
      </c>
      <c r="BC43" s="1816">
        <v>73</v>
      </c>
      <c r="BD43" s="1843" t="s">
        <v>2392</v>
      </c>
      <c r="BE43" s="1827">
        <v>9</v>
      </c>
      <c r="BF43" s="1823" t="s">
        <v>2424</v>
      </c>
      <c r="BG43" s="1823" t="s">
        <v>2426</v>
      </c>
      <c r="BH43" s="1852" t="s">
        <v>1800</v>
      </c>
      <c r="BI43" s="1816" t="s">
        <v>292</v>
      </c>
      <c r="BJ43" s="1852" t="s">
        <v>1800</v>
      </c>
      <c r="BK43" s="1804">
        <v>747.0127</v>
      </c>
    </row>
    <row r="44" spans="1:72" s="1754" customFormat="1" ht="12" customHeight="1">
      <c r="A44" s="1810">
        <v>39</v>
      </c>
      <c r="B44" s="1820" t="s">
        <v>2549</v>
      </c>
      <c r="C44" s="1810">
        <v>5</v>
      </c>
      <c r="D44" s="1810" t="s">
        <v>2498</v>
      </c>
      <c r="E44" s="1810" t="s">
        <v>2550</v>
      </c>
      <c r="F44" s="1811">
        <v>12.38</v>
      </c>
      <c r="G44" s="1817" t="s">
        <v>1500</v>
      </c>
      <c r="H44" s="1811">
        <v>12.38</v>
      </c>
      <c r="I44" s="1811">
        <v>7000</v>
      </c>
      <c r="J44" s="1813">
        <v>86</v>
      </c>
      <c r="K44" s="1814" t="s">
        <v>1656</v>
      </c>
      <c r="L44" s="1814">
        <v>15</v>
      </c>
      <c r="M44" s="1814" t="s">
        <v>930</v>
      </c>
      <c r="N44" s="1814" t="s">
        <v>931</v>
      </c>
      <c r="O44" s="1812">
        <v>11.7</v>
      </c>
      <c r="P44" s="1814" t="s">
        <v>292</v>
      </c>
      <c r="Q44" s="1812">
        <v>11.7</v>
      </c>
      <c r="R44" s="1812">
        <v>500</v>
      </c>
      <c r="S44" s="1810">
        <v>132</v>
      </c>
      <c r="T44" s="1820" t="s">
        <v>1653</v>
      </c>
      <c r="U44" s="1817">
        <v>20</v>
      </c>
      <c r="V44" s="1817" t="s">
        <v>465</v>
      </c>
      <c r="W44" s="1811" t="s">
        <v>468</v>
      </c>
      <c r="X44" s="1811">
        <v>14.23</v>
      </c>
      <c r="Y44" s="1817" t="s">
        <v>292</v>
      </c>
      <c r="Z44" s="1811">
        <v>14.23</v>
      </c>
      <c r="AA44" s="1811">
        <v>50</v>
      </c>
      <c r="AB44" s="1773">
        <v>178</v>
      </c>
      <c r="AC44" s="1820" t="s">
        <v>1674</v>
      </c>
      <c r="AD44" s="1817">
        <v>20</v>
      </c>
      <c r="AE44" s="1817" t="s">
        <v>1192</v>
      </c>
      <c r="AF44" s="1811" t="s">
        <v>1194</v>
      </c>
      <c r="AG44" s="1811">
        <v>11.5</v>
      </c>
      <c r="AH44" s="1817" t="s">
        <v>292</v>
      </c>
      <c r="AI44" s="1811">
        <v>11.5</v>
      </c>
      <c r="AJ44" s="1811">
        <v>175</v>
      </c>
      <c r="AK44" s="1810">
        <v>224</v>
      </c>
      <c r="AL44" s="1820" t="s">
        <v>2000</v>
      </c>
      <c r="AM44" s="1817">
        <v>20</v>
      </c>
      <c r="AN44" s="1817" t="s">
        <v>1999</v>
      </c>
      <c r="AO44" s="1811" t="s">
        <v>2001</v>
      </c>
      <c r="AP44" s="1811">
        <v>7.75</v>
      </c>
      <c r="AQ44" s="1817" t="s">
        <v>2106</v>
      </c>
      <c r="AR44" s="1811">
        <v>8.9</v>
      </c>
      <c r="AS44" s="1811">
        <v>4500</v>
      </c>
      <c r="AT44" s="1810">
        <v>28</v>
      </c>
      <c r="AU44" s="1855" t="s">
        <v>2327</v>
      </c>
      <c r="AV44" s="1817">
        <v>8</v>
      </c>
      <c r="AW44" s="1817" t="s">
        <v>2305</v>
      </c>
      <c r="AX44" s="1811" t="s">
        <v>2328</v>
      </c>
      <c r="AY44" s="1811" t="s">
        <v>2289</v>
      </c>
      <c r="AZ44" s="1817" t="s">
        <v>292</v>
      </c>
      <c r="BA44" s="1811" t="s">
        <v>2289</v>
      </c>
      <c r="BB44" s="1811">
        <v>21.68</v>
      </c>
      <c r="BC44" s="1810">
        <v>74</v>
      </c>
      <c r="BD44" s="1844" t="s">
        <v>2429</v>
      </c>
      <c r="BE44" s="1826">
        <v>10</v>
      </c>
      <c r="BF44" s="1824" t="s">
        <v>2424</v>
      </c>
      <c r="BG44" s="1813" t="s">
        <v>2425</v>
      </c>
      <c r="BH44" s="1851" t="s">
        <v>1800</v>
      </c>
      <c r="BI44" s="1810" t="s">
        <v>292</v>
      </c>
      <c r="BJ44" s="1851" t="s">
        <v>1800</v>
      </c>
      <c r="BK44" s="1803">
        <v>125.4759</v>
      </c>
    </row>
    <row r="45" spans="1:72" s="1754" customFormat="1" ht="12" customHeight="1">
      <c r="A45" s="1816">
        <v>40</v>
      </c>
      <c r="B45" s="1816" t="s">
        <v>2583</v>
      </c>
      <c r="C45" s="1816">
        <v>5</v>
      </c>
      <c r="D45" s="1816" t="s">
        <v>2584</v>
      </c>
      <c r="E45" s="1816" t="s">
        <v>2585</v>
      </c>
      <c r="F45" s="1808">
        <v>10.47</v>
      </c>
      <c r="G45" s="1816" t="s">
        <v>2595</v>
      </c>
      <c r="H45" s="1808">
        <v>11.5</v>
      </c>
      <c r="I45" s="1804">
        <v>8000</v>
      </c>
      <c r="J45" s="1815">
        <v>87</v>
      </c>
      <c r="K45" s="1815" t="s">
        <v>1660</v>
      </c>
      <c r="L45" s="1815">
        <v>15</v>
      </c>
      <c r="M45" s="1815" t="s">
        <v>932</v>
      </c>
      <c r="N45" s="1815" t="s">
        <v>933</v>
      </c>
      <c r="O45" s="1818">
        <v>11.75</v>
      </c>
      <c r="P45" s="1815" t="s">
        <v>292</v>
      </c>
      <c r="Q45" s="1818">
        <v>11.75</v>
      </c>
      <c r="R45" s="1818">
        <v>500</v>
      </c>
      <c r="S45" s="1816">
        <v>133</v>
      </c>
      <c r="T45" s="1816" t="s">
        <v>1657</v>
      </c>
      <c r="U45" s="1816">
        <v>20</v>
      </c>
      <c r="V45" s="1819" t="s">
        <v>466</v>
      </c>
      <c r="W45" s="1816" t="s">
        <v>469</v>
      </c>
      <c r="X45" s="1804">
        <v>13.88</v>
      </c>
      <c r="Y45" s="1816" t="s">
        <v>292</v>
      </c>
      <c r="Z45" s="1804">
        <v>13.88</v>
      </c>
      <c r="AA45" s="1804">
        <v>50</v>
      </c>
      <c r="AB45" s="1816">
        <v>179</v>
      </c>
      <c r="AC45" s="1816" t="s">
        <v>1677</v>
      </c>
      <c r="AD45" s="1816">
        <v>20</v>
      </c>
      <c r="AE45" s="1819" t="s">
        <v>944</v>
      </c>
      <c r="AF45" s="1816" t="s">
        <v>945</v>
      </c>
      <c r="AG45" s="1804">
        <v>11.5</v>
      </c>
      <c r="AH45" s="1816" t="s">
        <v>292</v>
      </c>
      <c r="AI45" s="1804">
        <v>11.5</v>
      </c>
      <c r="AJ45" s="1804">
        <v>175</v>
      </c>
      <c r="AK45" s="1816">
        <v>225</v>
      </c>
      <c r="AL45" s="1816" t="s">
        <v>2051</v>
      </c>
      <c r="AM45" s="1816">
        <v>20</v>
      </c>
      <c r="AN45" s="1819" t="s">
        <v>2052</v>
      </c>
      <c r="AO45" s="1816" t="s">
        <v>2053</v>
      </c>
      <c r="AP45" s="1804">
        <v>8.65</v>
      </c>
      <c r="AQ45" s="1816" t="s">
        <v>2099</v>
      </c>
      <c r="AR45" s="1804">
        <v>8.83</v>
      </c>
      <c r="AS45" s="1804">
        <v>5161.28</v>
      </c>
      <c r="AT45" s="1816">
        <v>29</v>
      </c>
      <c r="AU45" s="1842" t="s">
        <v>2329</v>
      </c>
      <c r="AV45" s="1816">
        <v>8</v>
      </c>
      <c r="AW45" s="1819" t="s">
        <v>2305</v>
      </c>
      <c r="AX45" s="1816" t="s">
        <v>2328</v>
      </c>
      <c r="AY45" s="1804" t="s">
        <v>2289</v>
      </c>
      <c r="AZ45" s="1816" t="s">
        <v>292</v>
      </c>
      <c r="BA45" s="1804" t="s">
        <v>2289</v>
      </c>
      <c r="BB45" s="1804">
        <v>57.67</v>
      </c>
      <c r="BC45" s="1816">
        <v>75</v>
      </c>
      <c r="BD45" s="1842" t="s">
        <v>2371</v>
      </c>
      <c r="BE45" s="1816">
        <v>10</v>
      </c>
      <c r="BF45" s="1819" t="s">
        <v>2420</v>
      </c>
      <c r="BG45" s="1816" t="s">
        <v>2421</v>
      </c>
      <c r="BH45" s="1804" t="s">
        <v>2289</v>
      </c>
      <c r="BI45" s="1816" t="s">
        <v>292</v>
      </c>
      <c r="BJ45" s="1804" t="s">
        <v>2289</v>
      </c>
      <c r="BK45" s="1804">
        <v>300</v>
      </c>
    </row>
    <row r="46" spans="1:72" s="1754" customFormat="1" ht="12" customHeight="1">
      <c r="A46" s="1810">
        <v>41</v>
      </c>
      <c r="B46" s="1820" t="s">
        <v>2611</v>
      </c>
      <c r="C46" s="1810">
        <v>5</v>
      </c>
      <c r="D46" s="1810" t="s">
        <v>2610</v>
      </c>
      <c r="E46" s="1810" t="s">
        <v>2612</v>
      </c>
      <c r="F46" s="1811">
        <v>12.39</v>
      </c>
      <c r="G46" s="1817" t="s">
        <v>2633</v>
      </c>
      <c r="H46" s="1811">
        <v>11.99</v>
      </c>
      <c r="I46" s="1811">
        <v>8500</v>
      </c>
      <c r="J46" s="1813">
        <v>88</v>
      </c>
      <c r="K46" s="1814" t="s">
        <v>1664</v>
      </c>
      <c r="L46" s="1814">
        <v>15</v>
      </c>
      <c r="M46" s="1814" t="s">
        <v>934</v>
      </c>
      <c r="N46" s="1814" t="s">
        <v>935</v>
      </c>
      <c r="O46" s="1812">
        <v>11.8</v>
      </c>
      <c r="P46" s="1814" t="s">
        <v>292</v>
      </c>
      <c r="Q46" s="1812">
        <v>11.8</v>
      </c>
      <c r="R46" s="1812">
        <v>500</v>
      </c>
      <c r="S46" s="1810">
        <v>134</v>
      </c>
      <c r="T46" s="1820" t="s">
        <v>1661</v>
      </c>
      <c r="U46" s="1817">
        <v>20</v>
      </c>
      <c r="V46" s="1817" t="s">
        <v>467</v>
      </c>
      <c r="W46" s="1811" t="s">
        <v>470</v>
      </c>
      <c r="X46" s="1811">
        <v>13.489999999999998</v>
      </c>
      <c r="Y46" s="1817" t="s">
        <v>292</v>
      </c>
      <c r="Z46" s="1811">
        <v>13.489999999999998</v>
      </c>
      <c r="AA46" s="1811">
        <v>50</v>
      </c>
      <c r="AB46" s="1773">
        <v>180</v>
      </c>
      <c r="AC46" s="1820" t="s">
        <v>1681</v>
      </c>
      <c r="AD46" s="1817">
        <v>20</v>
      </c>
      <c r="AE46" s="1817" t="s">
        <v>1195</v>
      </c>
      <c r="AF46" s="1811" t="s">
        <v>1200</v>
      </c>
      <c r="AG46" s="1811">
        <v>11.5</v>
      </c>
      <c r="AH46" s="1817" t="s">
        <v>292</v>
      </c>
      <c r="AI46" s="1811">
        <v>11.5</v>
      </c>
      <c r="AJ46" s="1811">
        <v>175</v>
      </c>
      <c r="AK46" s="1810">
        <v>226</v>
      </c>
      <c r="AL46" s="1820" t="s">
        <v>2121</v>
      </c>
      <c r="AM46" s="1817">
        <v>20</v>
      </c>
      <c r="AN46" s="1817" t="s">
        <v>2120</v>
      </c>
      <c r="AO46" s="1811" t="s">
        <v>2122</v>
      </c>
      <c r="AP46" s="1811">
        <v>8.9499999999999993</v>
      </c>
      <c r="AQ46" s="1817" t="s">
        <v>2606</v>
      </c>
      <c r="AR46" s="1811">
        <v>12.46</v>
      </c>
      <c r="AS46" s="1811">
        <v>8943.23</v>
      </c>
      <c r="AT46" s="1810">
        <v>30</v>
      </c>
      <c r="AU46" s="1854" t="s">
        <v>2330</v>
      </c>
      <c r="AV46" s="1810">
        <v>9</v>
      </c>
      <c r="AW46" s="1817" t="s">
        <v>2331</v>
      </c>
      <c r="AX46" s="1810" t="s">
        <v>2332</v>
      </c>
      <c r="AY46" s="1803" t="s">
        <v>2289</v>
      </c>
      <c r="AZ46" s="1810" t="s">
        <v>292</v>
      </c>
      <c r="BA46" s="1803" t="s">
        <v>2289</v>
      </c>
      <c r="BB46" s="1803">
        <v>447.22</v>
      </c>
      <c r="BC46" s="1810">
        <v>76</v>
      </c>
      <c r="BD46" s="1854" t="s">
        <v>2374</v>
      </c>
      <c r="BE46" s="1810">
        <v>9</v>
      </c>
      <c r="BF46" s="1817" t="s">
        <v>2420</v>
      </c>
      <c r="BG46" s="1810" t="s">
        <v>2430</v>
      </c>
      <c r="BH46" s="1803" t="s">
        <v>2289</v>
      </c>
      <c r="BI46" s="1810" t="s">
        <v>292</v>
      </c>
      <c r="BJ46" s="1803" t="s">
        <v>2289</v>
      </c>
      <c r="BK46" s="1803">
        <v>129.35480000000001</v>
      </c>
      <c r="BM46" s="1735"/>
    </row>
    <row r="47" spans="1:72" s="1754" customFormat="1" ht="12" customHeight="1">
      <c r="A47" s="1816">
        <v>42</v>
      </c>
      <c r="B47" s="1816" t="s">
        <v>2637</v>
      </c>
      <c r="C47" s="1816">
        <v>5</v>
      </c>
      <c r="D47" s="1816" t="s">
        <v>2638</v>
      </c>
      <c r="E47" s="1816" t="s">
        <v>2639</v>
      </c>
      <c r="F47" s="1808">
        <v>12.4</v>
      </c>
      <c r="G47" s="1816" t="s">
        <v>2677</v>
      </c>
      <c r="H47" s="1808">
        <v>10.275</v>
      </c>
      <c r="I47" s="1804">
        <v>8949.18</v>
      </c>
      <c r="J47" s="1815">
        <v>89</v>
      </c>
      <c r="K47" s="1815" t="s">
        <v>1668</v>
      </c>
      <c r="L47" s="1815">
        <v>15</v>
      </c>
      <c r="M47" s="1815" t="s">
        <v>936</v>
      </c>
      <c r="N47" s="1815" t="s">
        <v>937</v>
      </c>
      <c r="O47" s="1818">
        <v>11.85</v>
      </c>
      <c r="P47" s="1815" t="s">
        <v>292</v>
      </c>
      <c r="Q47" s="1818">
        <v>11.85</v>
      </c>
      <c r="R47" s="1818">
        <v>350</v>
      </c>
      <c r="S47" s="1816">
        <v>135</v>
      </c>
      <c r="T47" s="1816" t="s">
        <v>1665</v>
      </c>
      <c r="U47" s="1816">
        <v>20</v>
      </c>
      <c r="V47" s="1819" t="s">
        <v>1784</v>
      </c>
      <c r="W47" s="1816" t="s">
        <v>1785</v>
      </c>
      <c r="X47" s="1804">
        <v>13.29</v>
      </c>
      <c r="Y47" s="1816" t="s">
        <v>292</v>
      </c>
      <c r="Z47" s="1804">
        <v>13.29</v>
      </c>
      <c r="AA47" s="1804">
        <v>50</v>
      </c>
      <c r="AB47" s="1816">
        <v>181</v>
      </c>
      <c r="AC47" s="1816" t="s">
        <v>1687</v>
      </c>
      <c r="AD47" s="1816">
        <v>20</v>
      </c>
      <c r="AE47" s="1819" t="s">
        <v>1688</v>
      </c>
      <c r="AF47" s="1816" t="s">
        <v>1202</v>
      </c>
      <c r="AG47" s="1804">
        <v>11.95</v>
      </c>
      <c r="AH47" s="1816" t="s">
        <v>292</v>
      </c>
      <c r="AI47" s="1804">
        <v>11.95</v>
      </c>
      <c r="AJ47" s="1804">
        <v>250</v>
      </c>
      <c r="AK47" s="1816">
        <v>227</v>
      </c>
      <c r="AL47" s="1816" t="s">
        <v>2127</v>
      </c>
      <c r="AM47" s="1816">
        <v>20</v>
      </c>
      <c r="AN47" s="1819" t="s">
        <v>2126</v>
      </c>
      <c r="AO47" s="1816" t="s">
        <v>2128</v>
      </c>
      <c r="AP47" s="1804">
        <v>8.89</v>
      </c>
      <c r="AQ47" s="1816" t="s">
        <v>2565</v>
      </c>
      <c r="AR47" s="1804">
        <v>11.95</v>
      </c>
      <c r="AS47" s="1804">
        <v>4324.8099999999995</v>
      </c>
      <c r="AT47" s="1816">
        <v>31</v>
      </c>
      <c r="AU47" s="1843" t="s">
        <v>1299</v>
      </c>
      <c r="AV47" s="1816">
        <v>9</v>
      </c>
      <c r="AW47" s="1819" t="s">
        <v>2331</v>
      </c>
      <c r="AX47" s="1816" t="s">
        <v>2332</v>
      </c>
      <c r="AY47" s="1804" t="s">
        <v>2289</v>
      </c>
      <c r="AZ47" s="1816" t="s">
        <v>292</v>
      </c>
      <c r="BA47" s="1804" t="s">
        <v>2289</v>
      </c>
      <c r="BB47" s="1804">
        <v>282.3</v>
      </c>
      <c r="BC47" s="1816">
        <v>77</v>
      </c>
      <c r="BD47" s="1843" t="s">
        <v>2370</v>
      </c>
      <c r="BE47" s="1816">
        <v>10</v>
      </c>
      <c r="BF47" s="1819" t="s">
        <v>2420</v>
      </c>
      <c r="BG47" s="1816" t="s">
        <v>2421</v>
      </c>
      <c r="BH47" s="1804" t="s">
        <v>2289</v>
      </c>
      <c r="BI47" s="1816" t="s">
        <v>292</v>
      </c>
      <c r="BJ47" s="1804" t="s">
        <v>2289</v>
      </c>
      <c r="BK47" s="1804">
        <v>1353.855</v>
      </c>
    </row>
    <row r="48" spans="1:72" s="1754" customFormat="1" ht="12" customHeight="1">
      <c r="A48" s="1810">
        <v>43</v>
      </c>
      <c r="B48" s="1820" t="s">
        <v>2699</v>
      </c>
      <c r="C48" s="1810">
        <v>5</v>
      </c>
      <c r="D48" s="1810" t="s">
        <v>2700</v>
      </c>
      <c r="E48" s="1810" t="s">
        <v>2701</v>
      </c>
      <c r="F48" s="1811">
        <v>10.029999999999999</v>
      </c>
      <c r="G48" s="1817" t="s">
        <v>2730</v>
      </c>
      <c r="H48" s="1811">
        <v>10.15</v>
      </c>
      <c r="I48" s="1811">
        <v>8000</v>
      </c>
      <c r="J48" s="1813">
        <v>90</v>
      </c>
      <c r="K48" s="1814" t="s">
        <v>1672</v>
      </c>
      <c r="L48" s="1814">
        <v>15</v>
      </c>
      <c r="M48" s="1814" t="s">
        <v>938</v>
      </c>
      <c r="N48" s="1814" t="s">
        <v>939</v>
      </c>
      <c r="O48" s="1812">
        <v>11.88</v>
      </c>
      <c r="P48" s="1814" t="s">
        <v>292</v>
      </c>
      <c r="Q48" s="1812">
        <v>11.88</v>
      </c>
      <c r="R48" s="1812">
        <v>350</v>
      </c>
      <c r="S48" s="1810">
        <v>136</v>
      </c>
      <c r="T48" s="1820" t="s">
        <v>1669</v>
      </c>
      <c r="U48" s="1817">
        <v>20</v>
      </c>
      <c r="V48" s="1817" t="s">
        <v>31</v>
      </c>
      <c r="W48" s="1811" t="s">
        <v>43</v>
      </c>
      <c r="X48" s="1811">
        <v>13.19</v>
      </c>
      <c r="Y48" s="1817" t="s">
        <v>292</v>
      </c>
      <c r="Z48" s="1811">
        <v>13.19</v>
      </c>
      <c r="AA48" s="1811">
        <v>50</v>
      </c>
      <c r="AB48" s="1773">
        <v>182</v>
      </c>
      <c r="AC48" s="1820" t="s">
        <v>1835</v>
      </c>
      <c r="AD48" s="1817">
        <v>20</v>
      </c>
      <c r="AE48" s="1817" t="s">
        <v>1836</v>
      </c>
      <c r="AF48" s="1811" t="s">
        <v>1837</v>
      </c>
      <c r="AG48" s="1811">
        <v>12</v>
      </c>
      <c r="AH48" s="1817" t="s">
        <v>292</v>
      </c>
      <c r="AI48" s="1811">
        <v>12</v>
      </c>
      <c r="AJ48" s="1811">
        <v>250</v>
      </c>
      <c r="AK48" s="1810">
        <v>228</v>
      </c>
      <c r="AL48" s="1820" t="s">
        <v>2441</v>
      </c>
      <c r="AM48" s="1817">
        <v>20</v>
      </c>
      <c r="AN48" s="1817" t="s">
        <v>2440</v>
      </c>
      <c r="AO48" s="1811" t="s">
        <v>2442</v>
      </c>
      <c r="AP48" s="1811">
        <v>12.75</v>
      </c>
      <c r="AQ48" s="1817" t="s">
        <v>2552</v>
      </c>
      <c r="AR48" s="1811">
        <v>12.675000000000001</v>
      </c>
      <c r="AS48" s="1811">
        <v>8374.2900000000009</v>
      </c>
      <c r="AT48" s="1810">
        <v>32</v>
      </c>
      <c r="AU48" s="1844" t="s">
        <v>2333</v>
      </c>
      <c r="AV48" s="1817">
        <v>10</v>
      </c>
      <c r="AW48" s="1817" t="s">
        <v>2331</v>
      </c>
      <c r="AX48" s="1811" t="s">
        <v>2334</v>
      </c>
      <c r="AY48" s="1811" t="s">
        <v>2289</v>
      </c>
      <c r="AZ48" s="1817" t="s">
        <v>292</v>
      </c>
      <c r="BA48" s="1811" t="s">
        <v>2289</v>
      </c>
      <c r="BB48" s="1811">
        <v>190.29</v>
      </c>
      <c r="BC48" s="1810">
        <v>78</v>
      </c>
      <c r="BD48" s="1844" t="s">
        <v>2431</v>
      </c>
      <c r="BE48" s="1817">
        <v>10</v>
      </c>
      <c r="BF48" s="1817" t="s">
        <v>2420</v>
      </c>
      <c r="BG48" s="1811" t="s">
        <v>2421</v>
      </c>
      <c r="BH48" s="1811" t="s">
        <v>2289</v>
      </c>
      <c r="BI48" s="1817" t="s">
        <v>292</v>
      </c>
      <c r="BJ48" s="1811" t="s">
        <v>2289</v>
      </c>
      <c r="BK48" s="1811">
        <v>323.9889</v>
      </c>
    </row>
    <row r="49" spans="1:72" s="1754" customFormat="1" ht="12" customHeight="1">
      <c r="A49" s="1816">
        <v>44</v>
      </c>
      <c r="B49" s="1816" t="s">
        <v>2731</v>
      </c>
      <c r="C49" s="1816">
        <v>5</v>
      </c>
      <c r="D49" s="1816" t="s">
        <v>2732</v>
      </c>
      <c r="E49" s="1816" t="s">
        <v>2762</v>
      </c>
      <c r="F49" s="1808">
        <v>10.79</v>
      </c>
      <c r="G49" s="1816" t="s">
        <v>2763</v>
      </c>
      <c r="H49" s="1808">
        <v>10.84</v>
      </c>
      <c r="I49" s="1804">
        <v>8000</v>
      </c>
      <c r="J49" s="1815">
        <v>91</v>
      </c>
      <c r="K49" s="1815" t="s">
        <v>2100</v>
      </c>
      <c r="L49" s="1815">
        <v>15</v>
      </c>
      <c r="M49" s="1815" t="s">
        <v>2101</v>
      </c>
      <c r="N49" s="1815" t="s">
        <v>2102</v>
      </c>
      <c r="O49" s="1818">
        <v>11.93</v>
      </c>
      <c r="P49" s="1815" t="s">
        <v>292</v>
      </c>
      <c r="Q49" s="1818">
        <v>11.93</v>
      </c>
      <c r="R49" s="1818">
        <v>100</v>
      </c>
      <c r="S49" s="1816">
        <v>137</v>
      </c>
      <c r="T49" s="1816" t="s">
        <v>1673</v>
      </c>
      <c r="U49" s="1816">
        <v>20</v>
      </c>
      <c r="V49" s="1819" t="s">
        <v>32</v>
      </c>
      <c r="W49" s="1816" t="s">
        <v>44</v>
      </c>
      <c r="X49" s="1804">
        <v>13.139999999999999</v>
      </c>
      <c r="Y49" s="1816" t="s">
        <v>292</v>
      </c>
      <c r="Z49" s="1804">
        <v>13.139999999999999</v>
      </c>
      <c r="AA49" s="1804">
        <v>50</v>
      </c>
      <c r="AB49" s="1816">
        <v>183</v>
      </c>
      <c r="AC49" s="1816" t="s">
        <v>1838</v>
      </c>
      <c r="AD49" s="1816">
        <v>20</v>
      </c>
      <c r="AE49" s="1819" t="s">
        <v>1839</v>
      </c>
      <c r="AF49" s="1816" t="s">
        <v>1840</v>
      </c>
      <c r="AG49" s="1804">
        <v>12.03</v>
      </c>
      <c r="AH49" s="1816" t="s">
        <v>292</v>
      </c>
      <c r="AI49" s="1804">
        <v>12.03</v>
      </c>
      <c r="AJ49" s="1804">
        <v>250</v>
      </c>
      <c r="AK49" s="1816">
        <v>229</v>
      </c>
      <c r="AL49" s="1816" t="s">
        <v>2623</v>
      </c>
      <c r="AM49" s="1816">
        <v>20</v>
      </c>
      <c r="AN49" s="1819" t="s">
        <v>2622</v>
      </c>
      <c r="AO49" s="1816" t="s">
        <v>2624</v>
      </c>
      <c r="AP49" s="1804">
        <v>12.24</v>
      </c>
      <c r="AQ49" s="1816" t="s">
        <v>2915</v>
      </c>
      <c r="AR49" s="1804">
        <v>10.34</v>
      </c>
      <c r="AS49" s="1804">
        <v>6632.82</v>
      </c>
      <c r="AT49" s="1816">
        <v>33</v>
      </c>
      <c r="AU49" s="1843" t="s">
        <v>2335</v>
      </c>
      <c r="AV49" s="1816">
        <v>10</v>
      </c>
      <c r="AW49" s="1819" t="s">
        <v>2331</v>
      </c>
      <c r="AX49" s="1816" t="s">
        <v>2334</v>
      </c>
      <c r="AY49" s="1804" t="s">
        <v>2289</v>
      </c>
      <c r="AZ49" s="1816" t="s">
        <v>292</v>
      </c>
      <c r="BA49" s="1804" t="s">
        <v>2289</v>
      </c>
      <c r="BB49" s="1804">
        <v>56.52</v>
      </c>
      <c r="BC49" s="1816">
        <v>79</v>
      </c>
      <c r="BD49" s="1843" t="s">
        <v>2369</v>
      </c>
      <c r="BE49" s="1816">
        <v>10</v>
      </c>
      <c r="BF49" s="1819" t="s">
        <v>2420</v>
      </c>
      <c r="BG49" s="1816" t="s">
        <v>2421</v>
      </c>
      <c r="BH49" s="1804" t="s">
        <v>2289</v>
      </c>
      <c r="BI49" s="1816" t="s">
        <v>292</v>
      </c>
      <c r="BJ49" s="1804" t="s">
        <v>2289</v>
      </c>
      <c r="BK49" s="1804">
        <v>3246.145</v>
      </c>
    </row>
    <row r="50" spans="1:72" s="1754" customFormat="1" ht="12" customHeight="1" thickBot="1">
      <c r="A50" s="1847">
        <v>45</v>
      </c>
      <c r="B50" s="1847" t="s">
        <v>1721</v>
      </c>
      <c r="C50" s="1847">
        <v>10</v>
      </c>
      <c r="D50" s="1847" t="s">
        <v>1201</v>
      </c>
      <c r="E50" s="1847" t="s">
        <v>965</v>
      </c>
      <c r="F50" s="1807">
        <v>6.77</v>
      </c>
      <c r="G50" s="1847" t="s">
        <v>1297</v>
      </c>
      <c r="H50" s="1807">
        <v>6.96</v>
      </c>
      <c r="I50" s="1848">
        <v>2600</v>
      </c>
      <c r="J50" s="1849">
        <v>92</v>
      </c>
      <c r="K50" s="1849" t="s">
        <v>1679</v>
      </c>
      <c r="L50" s="1849">
        <v>15</v>
      </c>
      <c r="M50" s="1849" t="s">
        <v>940</v>
      </c>
      <c r="N50" s="1849" t="s">
        <v>941</v>
      </c>
      <c r="O50" s="1850">
        <v>12</v>
      </c>
      <c r="P50" s="1849" t="s">
        <v>292</v>
      </c>
      <c r="Q50" s="1850">
        <v>12</v>
      </c>
      <c r="R50" s="1850">
        <v>100</v>
      </c>
      <c r="S50" s="1847">
        <v>138</v>
      </c>
      <c r="T50" s="1864" t="s">
        <v>1676</v>
      </c>
      <c r="U50" s="1809">
        <v>20</v>
      </c>
      <c r="V50" s="1809" t="s">
        <v>33</v>
      </c>
      <c r="W50" s="1807" t="s">
        <v>45</v>
      </c>
      <c r="X50" s="1807">
        <v>13.139999999999999</v>
      </c>
      <c r="Y50" s="1809" t="s">
        <v>292</v>
      </c>
      <c r="Z50" s="1807">
        <v>13.139999999999999</v>
      </c>
      <c r="AA50" s="1807">
        <v>50</v>
      </c>
      <c r="AB50" s="1847">
        <v>184</v>
      </c>
      <c r="AC50" s="1847" t="s">
        <v>1692</v>
      </c>
      <c r="AD50" s="1847">
        <v>20</v>
      </c>
      <c r="AE50" s="1809" t="s">
        <v>1693</v>
      </c>
      <c r="AF50" s="1847" t="s">
        <v>1694</v>
      </c>
      <c r="AG50" s="1848">
        <v>12.07</v>
      </c>
      <c r="AH50" s="1847" t="s">
        <v>292</v>
      </c>
      <c r="AI50" s="1848">
        <v>12.07</v>
      </c>
      <c r="AJ50" s="1848">
        <v>325</v>
      </c>
      <c r="AK50" s="1847">
        <v>230</v>
      </c>
      <c r="AL50" s="1847" t="s">
        <v>2680</v>
      </c>
      <c r="AM50" s="1847">
        <v>20</v>
      </c>
      <c r="AN50" s="1847" t="s">
        <v>3066</v>
      </c>
      <c r="AO50" s="1847" t="s">
        <v>2681</v>
      </c>
      <c r="AP50" s="1848">
        <v>10.3</v>
      </c>
      <c r="AQ50" s="1847" t="s">
        <v>2953</v>
      </c>
      <c r="AR50" s="1848">
        <v>10.4</v>
      </c>
      <c r="AS50" s="1848">
        <v>11500</v>
      </c>
      <c r="AT50" s="1847">
        <v>34</v>
      </c>
      <c r="AU50" s="1853" t="s">
        <v>2336</v>
      </c>
      <c r="AV50" s="1809">
        <v>10</v>
      </c>
      <c r="AW50" s="1809" t="s">
        <v>2331</v>
      </c>
      <c r="AX50" s="1807" t="s">
        <v>2334</v>
      </c>
      <c r="AY50" s="1807" t="s">
        <v>2289</v>
      </c>
      <c r="AZ50" s="1809" t="s">
        <v>292</v>
      </c>
      <c r="BA50" s="1807" t="s">
        <v>2289</v>
      </c>
      <c r="BB50" s="1807">
        <v>392.91</v>
      </c>
      <c r="BC50" s="1847">
        <v>80</v>
      </c>
      <c r="BD50" s="1853" t="s">
        <v>2392</v>
      </c>
      <c r="BE50" s="1809">
        <v>10</v>
      </c>
      <c r="BF50" s="1809" t="s">
        <v>2432</v>
      </c>
      <c r="BG50" s="1807" t="s">
        <v>2433</v>
      </c>
      <c r="BH50" s="1807" t="s">
        <v>1800</v>
      </c>
      <c r="BI50" s="1809" t="s">
        <v>292</v>
      </c>
      <c r="BJ50" s="1807" t="s">
        <v>1800</v>
      </c>
      <c r="BK50" s="1807">
        <v>2568</v>
      </c>
    </row>
    <row r="51" spans="1:72" s="1754" customFormat="1" ht="9.75" customHeight="1">
      <c r="A51" s="1821" t="s">
        <v>30</v>
      </c>
      <c r="B51" s="1771" t="s">
        <v>1764</v>
      </c>
      <c r="C51" s="1732"/>
      <c r="D51" s="1732"/>
      <c r="E51" s="1732"/>
      <c r="AT51" s="1801" t="s">
        <v>1108</v>
      </c>
      <c r="AU51" s="1835" t="s">
        <v>2956</v>
      </c>
      <c r="AV51" s="1833"/>
      <c r="AW51" s="1833"/>
      <c r="AX51" s="1810"/>
      <c r="AY51" s="1813"/>
      <c r="AZ51" s="1803"/>
      <c r="BA51" s="1764"/>
      <c r="BB51" s="1753"/>
    </row>
    <row r="52" spans="1:72" s="1754" customFormat="1" ht="13.35" customHeight="1">
      <c r="A52" s="1821"/>
      <c r="B52" s="1771" t="s">
        <v>3070</v>
      </c>
      <c r="C52" s="1732"/>
      <c r="D52" s="1732"/>
      <c r="E52" s="1732"/>
      <c r="F52" s="1732"/>
      <c r="G52" s="1828"/>
      <c r="H52" s="1828"/>
      <c r="I52" s="1733" t="s">
        <v>1909</v>
      </c>
      <c r="K52" s="1832"/>
      <c r="L52" s="1733"/>
      <c r="M52" s="1733"/>
      <c r="N52" s="1733"/>
      <c r="O52" s="1812"/>
      <c r="P52" s="1814"/>
      <c r="Q52" s="1812"/>
      <c r="R52" s="1812"/>
      <c r="AA52" s="1811"/>
      <c r="AT52" s="1834" t="s">
        <v>261</v>
      </c>
      <c r="AU52" s="1835" t="s">
        <v>1906</v>
      </c>
      <c r="AV52" s="1833"/>
      <c r="AW52" s="1833"/>
      <c r="AX52" s="1810"/>
      <c r="AY52" s="1813"/>
      <c r="AZ52" s="1771"/>
      <c r="BA52" s="1764"/>
      <c r="BB52" s="1733" t="s">
        <v>1984</v>
      </c>
      <c r="BK52" s="1765"/>
    </row>
    <row r="53" spans="1:72" s="1754" customFormat="1" ht="13.35" customHeight="1">
      <c r="S53" s="1733"/>
      <c r="T53" s="1813"/>
      <c r="U53" s="1813"/>
      <c r="V53" s="1813"/>
      <c r="W53" s="1813"/>
      <c r="X53" s="1805"/>
      <c r="Y53" s="1813"/>
      <c r="Z53" s="1805"/>
      <c r="AA53" s="1805"/>
      <c r="AB53" s="1733"/>
      <c r="AC53" s="1733"/>
      <c r="AD53" s="1733"/>
      <c r="AE53" s="1733"/>
      <c r="AF53" s="1733"/>
      <c r="AG53" s="1733"/>
      <c r="AH53" s="1733"/>
      <c r="AI53" s="1733"/>
      <c r="AJ53" s="1733"/>
      <c r="AK53" s="1733"/>
      <c r="AL53" s="1733"/>
      <c r="AM53" s="1733"/>
      <c r="AN53" s="1733"/>
      <c r="AO53" s="1733"/>
      <c r="AP53" s="1733"/>
      <c r="AQ53" s="1733"/>
      <c r="AR53" s="1733"/>
      <c r="AS53" s="1733"/>
      <c r="AT53" s="1741"/>
      <c r="AU53" s="1741"/>
      <c r="AV53" s="1741"/>
      <c r="AW53" s="1755"/>
      <c r="AX53" s="1755"/>
      <c r="AY53" s="1755"/>
      <c r="AZ53" s="1755"/>
      <c r="BA53" s="1755"/>
      <c r="BB53" s="1731"/>
    </row>
    <row r="54" spans="1:72" s="1754" customFormat="1" ht="12.95" customHeight="1">
      <c r="O54" s="1733"/>
      <c r="S54" s="1733"/>
      <c r="T54" s="1813"/>
      <c r="U54" s="1813"/>
      <c r="V54" s="1813"/>
      <c r="W54" s="1813"/>
      <c r="X54" s="1805"/>
      <c r="Y54" s="1813"/>
      <c r="Z54" s="1805"/>
      <c r="AA54" s="1805"/>
      <c r="AB54" s="1733"/>
      <c r="AC54" s="1733"/>
      <c r="AD54" s="1733"/>
      <c r="AE54" s="1733"/>
      <c r="AF54" s="1733"/>
      <c r="AG54" s="1733"/>
      <c r="AH54" s="1752"/>
      <c r="AI54" s="1733"/>
      <c r="AJ54" s="1753"/>
      <c r="AK54" s="1733"/>
      <c r="AL54" s="1733"/>
      <c r="AM54" s="1733"/>
      <c r="AN54" s="1733"/>
      <c r="AO54" s="1733"/>
      <c r="AP54" s="1733"/>
      <c r="AQ54" s="1733"/>
      <c r="AR54" s="1733"/>
      <c r="AS54" s="1733"/>
      <c r="AT54" s="1741"/>
      <c r="AU54" s="1741"/>
      <c r="AV54" s="1741"/>
      <c r="AW54" s="1755"/>
      <c r="AX54" s="1755"/>
      <c r="AY54" s="1755"/>
      <c r="AZ54" s="1755"/>
      <c r="BA54" s="1755"/>
      <c r="BB54" s="1753"/>
      <c r="BL54" s="1755"/>
      <c r="BM54" s="1755"/>
      <c r="BN54" s="1755"/>
      <c r="BO54" s="1755"/>
      <c r="BP54" s="1755"/>
      <c r="BQ54" s="1755"/>
      <c r="BR54" s="1744"/>
      <c r="BS54" s="1744"/>
      <c r="BT54" s="1744"/>
    </row>
    <row r="55" spans="1:72" s="1733" customFormat="1" ht="12.95" customHeight="1">
      <c r="I55" s="1753"/>
      <c r="Q55" s="1740"/>
      <c r="R55" s="1806"/>
      <c r="T55" s="1813"/>
      <c r="U55" s="1813"/>
      <c r="V55" s="1813"/>
      <c r="W55" s="1813"/>
      <c r="X55" s="1805"/>
      <c r="Y55" s="1813"/>
      <c r="Z55" s="1805"/>
      <c r="AA55" s="1805"/>
      <c r="AJ55" s="1753"/>
      <c r="AS55" s="1753"/>
      <c r="AT55" s="1755"/>
      <c r="AU55" s="1755"/>
      <c r="AV55" s="1755"/>
      <c r="AW55" s="1755"/>
      <c r="AX55" s="1755"/>
      <c r="AY55" s="1755"/>
      <c r="AZ55" s="1755"/>
      <c r="BA55" s="1755"/>
      <c r="BB55" s="1838"/>
      <c r="BD55" s="1753"/>
      <c r="BL55" s="1769"/>
      <c r="BM55" s="1769"/>
      <c r="BN55" s="1769"/>
      <c r="BO55" s="1769"/>
      <c r="BP55" s="1769"/>
      <c r="BQ55" s="1769"/>
      <c r="BR55" s="1744"/>
      <c r="BS55" s="1744"/>
      <c r="BT55" s="1744"/>
    </row>
    <row r="56" spans="1:72" s="1733" customFormat="1" ht="11.25" customHeight="1">
      <c r="B56" s="1741"/>
      <c r="C56" s="1739"/>
      <c r="D56" s="1739"/>
      <c r="E56" s="1741"/>
      <c r="F56" s="1738"/>
      <c r="G56" s="1828"/>
      <c r="H56" s="1828"/>
      <c r="J56" s="1754"/>
      <c r="T56" s="1813"/>
      <c r="U56" s="1813"/>
      <c r="V56" s="1813"/>
      <c r="W56" s="1813"/>
      <c r="X56" s="1805"/>
      <c r="Y56" s="1813"/>
      <c r="Z56" s="1805"/>
      <c r="AA56" s="1805"/>
      <c r="AH56" s="1752"/>
      <c r="AJ56" s="1753"/>
      <c r="AT56" s="1755"/>
      <c r="AU56" s="1755"/>
      <c r="AV56" s="1755"/>
      <c r="AW56" s="1755"/>
      <c r="AX56" s="1755"/>
      <c r="AY56" s="1755"/>
      <c r="AZ56" s="1755"/>
      <c r="BA56" s="1755"/>
      <c r="BB56" s="1778"/>
      <c r="BC56" s="1755"/>
      <c r="BD56" s="1755"/>
      <c r="BE56" s="1755"/>
      <c r="BF56" s="1755"/>
      <c r="BG56" s="1755"/>
      <c r="BH56" s="1755"/>
      <c r="BI56" s="1755"/>
      <c r="BJ56" s="1764"/>
      <c r="BK56" s="1772"/>
      <c r="BL56" s="1769"/>
      <c r="BM56" s="1769"/>
      <c r="BN56" s="1769"/>
      <c r="BO56" s="1769"/>
      <c r="BP56" s="1769"/>
      <c r="BQ56" s="1769"/>
      <c r="BR56" s="1744"/>
      <c r="BS56" s="1744"/>
      <c r="BT56" s="1744"/>
    </row>
    <row r="57" spans="1:72" s="1733" customFormat="1" ht="10.5" customHeight="1">
      <c r="I57" s="1753"/>
      <c r="J57" s="1754"/>
      <c r="R57" s="1753"/>
      <c r="T57" s="1754"/>
      <c r="U57" s="1754"/>
      <c r="V57" s="1754"/>
      <c r="W57" s="1754"/>
      <c r="X57" s="1754"/>
      <c r="Y57" s="1754"/>
      <c r="Z57" s="1754"/>
      <c r="AA57" s="1753"/>
      <c r="AJ57" s="1753"/>
      <c r="AR57" s="1755"/>
      <c r="AS57" s="1753"/>
      <c r="AT57" s="1755"/>
      <c r="AU57" s="1755"/>
      <c r="AV57" s="1755"/>
      <c r="AW57" s="1755"/>
      <c r="AX57" s="1755"/>
      <c r="AY57" s="1755"/>
      <c r="AZ57" s="1755"/>
      <c r="BA57" s="1755"/>
      <c r="BB57" s="1778"/>
      <c r="BC57" s="1755"/>
      <c r="BD57" s="1802"/>
      <c r="BE57" s="1755"/>
      <c r="BF57" s="1755"/>
      <c r="BG57" s="1755"/>
      <c r="BH57" s="1755"/>
      <c r="BI57" s="1755"/>
      <c r="BJ57" s="1764"/>
      <c r="BK57" s="1772"/>
      <c r="BL57" s="1769"/>
      <c r="BM57" s="1769"/>
      <c r="BN57" s="1769"/>
      <c r="BO57" s="1769"/>
      <c r="BP57" s="1769"/>
      <c r="BQ57" s="1769"/>
      <c r="BR57" s="1744"/>
      <c r="BS57" s="1744"/>
      <c r="BT57" s="1744"/>
    </row>
    <row r="58" spans="1:72" s="1741" customFormat="1" ht="10.5" customHeight="1">
      <c r="B58" s="1810"/>
      <c r="C58" s="1813"/>
      <c r="D58" s="1813"/>
      <c r="E58" s="1813"/>
      <c r="F58" s="1805"/>
      <c r="G58" s="1813"/>
      <c r="H58" s="1805"/>
      <c r="I58" s="1805"/>
      <c r="J58" s="1756"/>
      <c r="R58" s="1731"/>
      <c r="T58" s="1756"/>
      <c r="U58" s="1756"/>
      <c r="V58" s="1756"/>
      <c r="W58" s="1756"/>
      <c r="X58" s="1756"/>
      <c r="Y58" s="1756"/>
      <c r="Z58" s="1756"/>
      <c r="AA58" s="1839"/>
      <c r="AJ58" s="1731"/>
      <c r="AR58" s="1755"/>
      <c r="AS58" s="1838"/>
      <c r="AT58" s="1755"/>
      <c r="AU58" s="1755"/>
      <c r="AV58" s="1755"/>
      <c r="AW58" s="1755"/>
      <c r="AX58" s="1755"/>
      <c r="AY58" s="1755"/>
      <c r="AZ58" s="1755"/>
      <c r="BA58" s="1755"/>
      <c r="BB58" s="1778"/>
      <c r="BC58" s="1755"/>
      <c r="BD58" s="1802"/>
      <c r="BE58" s="1755"/>
      <c r="BF58" s="1755"/>
      <c r="BG58" s="1755"/>
      <c r="BH58" s="1755"/>
      <c r="BI58" s="1755"/>
      <c r="BJ58" s="1764"/>
      <c r="BK58" s="1772"/>
      <c r="BL58" s="1769"/>
      <c r="BM58" s="1769"/>
      <c r="BN58" s="1769"/>
      <c r="BO58" s="1769"/>
      <c r="BP58" s="1779"/>
      <c r="BQ58" s="1769"/>
      <c r="BR58" s="1744"/>
      <c r="BS58" s="1744"/>
      <c r="BT58" s="1744"/>
    </row>
    <row r="59" spans="1:72" s="1741" customFormat="1" ht="11.25" customHeight="1">
      <c r="B59" s="1820"/>
      <c r="C59" s="1813"/>
      <c r="D59" s="1813"/>
      <c r="E59" s="1813"/>
      <c r="F59" s="1805"/>
      <c r="G59" s="1813"/>
      <c r="H59" s="1805"/>
      <c r="I59" s="1805"/>
      <c r="J59" s="1775"/>
      <c r="K59" s="1756"/>
      <c r="L59" s="1756"/>
      <c r="M59" s="1756"/>
      <c r="N59" s="1756"/>
      <c r="O59" s="1756"/>
      <c r="P59" s="1756"/>
      <c r="R59" s="1731"/>
      <c r="T59" s="1813"/>
      <c r="U59" s="1813"/>
      <c r="V59" s="1813"/>
      <c r="W59" s="1813"/>
      <c r="X59" s="1805"/>
      <c r="Y59" s="1813"/>
      <c r="Z59" s="1805"/>
      <c r="AA59" s="1805"/>
      <c r="AJ59" s="1731"/>
      <c r="AR59" s="1755"/>
      <c r="AS59" s="1838"/>
      <c r="AT59" s="1755"/>
      <c r="AU59" s="1755"/>
      <c r="AV59" s="1755"/>
      <c r="AW59" s="1755"/>
      <c r="AX59" s="1755"/>
      <c r="AY59" s="1755"/>
      <c r="AZ59" s="1755"/>
      <c r="BA59" s="1755"/>
      <c r="BB59" s="1778"/>
      <c r="BC59" s="1755"/>
      <c r="BD59" s="1755"/>
      <c r="BE59" s="1755"/>
      <c r="BF59" s="1755"/>
      <c r="BG59" s="1755"/>
      <c r="BH59" s="1755"/>
      <c r="BI59" s="1755"/>
      <c r="BJ59" s="1764"/>
      <c r="BK59" s="1772"/>
      <c r="BL59" s="1769"/>
      <c r="BM59" s="1769"/>
      <c r="BN59" s="1769"/>
      <c r="BO59" s="1769"/>
      <c r="BP59" s="1779"/>
      <c r="BQ59" s="1769"/>
      <c r="BR59" s="1744"/>
      <c r="BS59" s="1744"/>
      <c r="BT59" s="1744"/>
    </row>
    <row r="60" spans="1:72" ht="13.5" customHeight="1">
      <c r="H60" s="1830"/>
      <c r="I60" s="1743"/>
      <c r="BK60" s="1772"/>
      <c r="BL60" s="1769"/>
      <c r="BM60" s="1769"/>
      <c r="BN60" s="1769"/>
      <c r="BO60" s="1769"/>
      <c r="BP60" s="1779"/>
      <c r="BQ60" s="1769"/>
      <c r="BR60" s="1744"/>
      <c r="BS60" s="1744"/>
      <c r="BT60" s="1744"/>
    </row>
    <row r="61" spans="1:72" ht="12" customHeight="1">
      <c r="BB61" s="1755"/>
      <c r="BK61" s="1772"/>
      <c r="BL61" s="1769"/>
      <c r="BM61" s="1769"/>
      <c r="BN61" s="1769"/>
      <c r="BO61" s="1769"/>
      <c r="BP61" s="1769"/>
      <c r="BQ61" s="1769"/>
      <c r="BR61" s="1744"/>
      <c r="BS61" s="1744"/>
      <c r="BT61" s="1744"/>
    </row>
    <row r="62" spans="1:72" ht="12.75" customHeight="1">
      <c r="BK62" s="1772"/>
      <c r="BL62" s="1769"/>
      <c r="BM62" s="1769"/>
      <c r="BN62" s="1769"/>
      <c r="BO62" s="1769"/>
      <c r="BP62" s="1769"/>
      <c r="BQ62" s="1769"/>
      <c r="BR62" s="1744"/>
      <c r="BS62" s="1744"/>
      <c r="BT62" s="1744"/>
    </row>
    <row r="63" spans="1:72" ht="12" customHeight="1">
      <c r="BK63" s="1772"/>
      <c r="BL63" s="1769"/>
      <c r="BM63" s="1769"/>
      <c r="BN63" s="1769"/>
      <c r="BO63" s="1769"/>
      <c r="BP63" s="1769"/>
      <c r="BQ63" s="1769"/>
      <c r="BR63" s="1744"/>
      <c r="BS63" s="1744"/>
      <c r="BT63" s="1744"/>
    </row>
    <row r="64" spans="1:72" ht="11.25" customHeight="1">
      <c r="I64" s="1743"/>
      <c r="BK64" s="1772"/>
      <c r="BL64" s="1769"/>
      <c r="BM64" s="1769"/>
      <c r="BN64" s="1769"/>
      <c r="BO64" s="1769"/>
      <c r="BP64" s="1769"/>
      <c r="BQ64" s="1769"/>
      <c r="BR64" s="1744"/>
      <c r="BS64" s="1744"/>
      <c r="BT64" s="1744"/>
    </row>
    <row r="65" spans="2:72" s="1755" customFormat="1" ht="22.5" customHeight="1">
      <c r="B65" s="1777"/>
      <c r="H65" s="1777"/>
      <c r="J65" s="1776"/>
      <c r="O65" s="1777"/>
      <c r="R65" s="1776"/>
      <c r="W65" s="1777"/>
      <c r="Z65" s="1778"/>
      <c r="AK65" s="1778"/>
      <c r="AS65" s="1778"/>
      <c r="BA65" s="1769"/>
      <c r="BB65" s="1778"/>
      <c r="BC65" s="1769"/>
      <c r="BD65" s="1769"/>
      <c r="BE65" s="1769"/>
      <c r="BF65" s="1769"/>
      <c r="BG65" s="1769"/>
      <c r="BH65" s="1769"/>
      <c r="BI65" s="1769"/>
      <c r="BK65" s="1778"/>
      <c r="BL65" s="1769"/>
      <c r="BM65" s="1769"/>
      <c r="BN65" s="1769"/>
      <c r="BO65" s="1769"/>
      <c r="BP65" s="1769"/>
      <c r="BQ65" s="1769"/>
      <c r="BR65" s="1744"/>
      <c r="BS65" s="1744"/>
      <c r="BT65" s="1744"/>
    </row>
    <row r="66" spans="2:72" s="1755" customFormat="1" ht="22.5" customHeight="1">
      <c r="B66" s="1777"/>
      <c r="H66" s="1777"/>
      <c r="J66" s="1776"/>
      <c r="O66" s="1777"/>
      <c r="R66" s="1776"/>
      <c r="W66" s="1777"/>
      <c r="Z66" s="1778"/>
      <c r="AK66" s="1778"/>
      <c r="AS66" s="1778"/>
      <c r="BA66" s="1769"/>
      <c r="BB66" s="1778"/>
      <c r="BC66" s="1769"/>
      <c r="BD66" s="1769"/>
      <c r="BE66" s="1769"/>
      <c r="BF66" s="1769"/>
      <c r="BG66" s="1769"/>
      <c r="BH66" s="1769"/>
      <c r="BI66" s="1769"/>
      <c r="BK66" s="1778"/>
      <c r="BL66" s="1769"/>
      <c r="BM66" s="1769"/>
      <c r="BN66" s="1769"/>
      <c r="BO66" s="1769"/>
      <c r="BP66" s="1769"/>
      <c r="BQ66" s="1769"/>
      <c r="BR66" s="1744"/>
      <c r="BS66" s="1744"/>
      <c r="BT66" s="1744"/>
    </row>
    <row r="67" spans="2:72" s="1755" customFormat="1" ht="22.5" customHeight="1">
      <c r="B67" s="1777"/>
      <c r="H67" s="1777"/>
      <c r="J67" s="1776"/>
      <c r="O67" s="1777"/>
      <c r="R67" s="1776"/>
      <c r="W67" s="1777"/>
      <c r="Z67" s="1778"/>
      <c r="AK67" s="1778"/>
      <c r="AS67" s="1778"/>
      <c r="AT67" s="1744"/>
      <c r="AU67" s="1744"/>
      <c r="AV67" s="1744"/>
      <c r="AW67" s="1769"/>
      <c r="AX67" s="1769"/>
      <c r="AY67" s="1769"/>
      <c r="AZ67" s="1769"/>
      <c r="BA67" s="1769"/>
      <c r="BB67" s="1778"/>
      <c r="BC67" s="1769"/>
      <c r="BD67" s="1769"/>
      <c r="BE67" s="1769"/>
      <c r="BF67" s="1769"/>
      <c r="BG67" s="1769"/>
      <c r="BH67" s="1769"/>
      <c r="BI67" s="1769"/>
      <c r="BK67" s="1778"/>
      <c r="BL67" s="1769"/>
      <c r="BM67" s="1769"/>
      <c r="BN67" s="1769"/>
      <c r="BO67" s="1769"/>
      <c r="BP67" s="1769"/>
      <c r="BQ67" s="1769"/>
      <c r="BR67" s="1744"/>
      <c r="BS67" s="1744"/>
      <c r="BT67" s="1744"/>
    </row>
    <row r="68" spans="2:72" s="1755" customFormat="1" ht="22.5" customHeight="1">
      <c r="B68" s="1777"/>
      <c r="H68" s="1777"/>
      <c r="J68" s="1776"/>
      <c r="O68" s="1777"/>
      <c r="R68" s="1776"/>
      <c r="W68" s="1777"/>
      <c r="Z68" s="1778"/>
      <c r="AK68" s="1778"/>
      <c r="AS68" s="1778"/>
      <c r="AT68" s="1744"/>
      <c r="AU68" s="1744"/>
      <c r="AV68" s="1744"/>
      <c r="AW68" s="1769"/>
      <c r="AX68" s="1769"/>
      <c r="AY68" s="1769"/>
      <c r="AZ68" s="1769"/>
      <c r="BA68" s="1769"/>
      <c r="BB68" s="1778"/>
      <c r="BC68" s="1769"/>
      <c r="BD68" s="1769"/>
      <c r="BE68" s="1769"/>
      <c r="BF68" s="1769"/>
      <c r="BG68" s="1769"/>
      <c r="BH68" s="1769"/>
      <c r="BI68" s="1769"/>
      <c r="BJ68" s="1769"/>
      <c r="BK68" s="1778"/>
      <c r="BL68" s="1769"/>
      <c r="BM68" s="1769"/>
      <c r="BN68" s="1769"/>
      <c r="BO68" s="1769"/>
      <c r="BP68" s="1769"/>
      <c r="BQ68" s="1769"/>
      <c r="BR68" s="1744"/>
      <c r="BS68" s="1744"/>
      <c r="BT68" s="1744"/>
    </row>
    <row r="69" spans="2:72" s="1755" customFormat="1" ht="22.5" customHeight="1">
      <c r="B69" s="1777"/>
      <c r="H69" s="1777"/>
      <c r="J69" s="1776"/>
      <c r="O69" s="1777"/>
      <c r="R69" s="1776"/>
      <c r="W69" s="1777"/>
      <c r="Z69" s="1778"/>
      <c r="AK69" s="1778"/>
      <c r="AS69" s="1778"/>
      <c r="AT69" s="1744"/>
      <c r="AU69" s="1744"/>
      <c r="AV69" s="1744"/>
      <c r="AW69" s="1769"/>
      <c r="AX69" s="1769"/>
      <c r="AY69" s="1769"/>
      <c r="AZ69" s="1769"/>
      <c r="BA69" s="1769"/>
      <c r="BB69" s="1778"/>
      <c r="BC69" s="1769"/>
      <c r="BD69" s="1769"/>
      <c r="BE69" s="1769"/>
      <c r="BF69" s="1769"/>
      <c r="BG69" s="1769"/>
      <c r="BH69" s="1769"/>
      <c r="BI69" s="1769"/>
      <c r="BJ69" s="1769"/>
      <c r="BK69" s="1778"/>
      <c r="BL69" s="1769"/>
      <c r="BM69" s="1769"/>
      <c r="BN69" s="1769"/>
      <c r="BO69" s="1769"/>
      <c r="BP69" s="1769"/>
      <c r="BQ69" s="1769"/>
      <c r="BR69" s="1744"/>
      <c r="BS69" s="1744"/>
      <c r="BT69" s="1744"/>
    </row>
    <row r="70" spans="2:72" s="1755" customFormat="1" ht="22.5" customHeight="1">
      <c r="B70" s="1777"/>
      <c r="H70" s="1777"/>
      <c r="J70" s="1776"/>
      <c r="O70" s="1777"/>
      <c r="R70" s="1776"/>
      <c r="W70" s="1777"/>
      <c r="Z70" s="1778"/>
      <c r="AK70" s="1778"/>
      <c r="AT70" s="1744"/>
      <c r="AU70" s="1744"/>
      <c r="AV70" s="1744"/>
      <c r="AW70" s="1769"/>
      <c r="AX70" s="1769"/>
      <c r="AY70" s="1779"/>
      <c r="AZ70" s="1769"/>
      <c r="BA70" s="1769"/>
      <c r="BB70" s="1778"/>
      <c r="BC70" s="1769"/>
      <c r="BD70" s="1769"/>
      <c r="BE70" s="1769"/>
      <c r="BF70" s="1769"/>
      <c r="BG70" s="1769"/>
      <c r="BH70" s="1769"/>
      <c r="BI70" s="1769"/>
      <c r="BJ70" s="1769"/>
      <c r="BK70" s="1778"/>
      <c r="BL70" s="1769"/>
      <c r="BM70" s="1769"/>
      <c r="BN70" s="1769"/>
      <c r="BO70" s="1769"/>
      <c r="BP70" s="1769"/>
      <c r="BQ70" s="1769"/>
      <c r="BR70" s="1744"/>
      <c r="BS70" s="1744"/>
      <c r="BT70" s="1744"/>
    </row>
    <row r="71" spans="2:72" s="1755" customFormat="1" ht="22.5" customHeight="1">
      <c r="B71" s="1777"/>
      <c r="H71" s="1777"/>
      <c r="J71" s="1776"/>
      <c r="O71" s="1777"/>
      <c r="R71" s="1776"/>
      <c r="W71" s="1777"/>
      <c r="Z71" s="1778"/>
      <c r="AK71" s="1778"/>
      <c r="AS71" s="1778"/>
      <c r="AT71" s="1744"/>
      <c r="AU71" s="1744"/>
      <c r="AV71" s="1744"/>
      <c r="AW71" s="1769"/>
      <c r="AX71" s="1769"/>
      <c r="AY71" s="1779"/>
      <c r="AZ71" s="1769"/>
      <c r="BA71" s="1769"/>
      <c r="BB71" s="1778"/>
      <c r="BC71" s="1769"/>
      <c r="BD71" s="1769"/>
      <c r="BE71" s="1769"/>
      <c r="BF71" s="1769"/>
      <c r="BG71" s="1769"/>
      <c r="BH71" s="1769"/>
      <c r="BI71" s="1769"/>
      <c r="BJ71" s="1764"/>
      <c r="BK71" s="1778"/>
      <c r="BL71" s="1769"/>
      <c r="BM71" s="1769"/>
      <c r="BN71" s="1769"/>
      <c r="BO71" s="1769"/>
      <c r="BP71" s="1769"/>
      <c r="BQ71" s="1769"/>
      <c r="BR71" s="1744"/>
      <c r="BS71" s="1744"/>
      <c r="BT71" s="1744"/>
    </row>
    <row r="72" spans="2:72" s="1755" customFormat="1" ht="22.5" customHeight="1">
      <c r="B72" s="1777"/>
      <c r="H72" s="1777"/>
      <c r="J72" s="1776"/>
      <c r="O72" s="1777"/>
      <c r="R72" s="1776"/>
      <c r="W72" s="1777"/>
      <c r="Z72" s="1778"/>
      <c r="AK72" s="1778"/>
      <c r="AS72" s="1778"/>
      <c r="AT72" s="1744"/>
      <c r="AU72" s="1744"/>
      <c r="AV72" s="1744"/>
      <c r="AW72" s="1769"/>
      <c r="AX72" s="1769"/>
      <c r="AY72" s="1779"/>
      <c r="AZ72" s="1769"/>
      <c r="BA72" s="1769"/>
      <c r="BB72" s="1778"/>
      <c r="BC72" s="1769"/>
      <c r="BD72" s="1769"/>
      <c r="BE72" s="1769"/>
      <c r="BF72" s="1769"/>
      <c r="BG72" s="1769"/>
      <c r="BH72" s="1769"/>
      <c r="BI72" s="1769"/>
      <c r="BJ72" s="1764"/>
      <c r="BK72" s="1778"/>
      <c r="BL72" s="1769"/>
      <c r="BM72" s="1769"/>
      <c r="BN72" s="1769"/>
      <c r="BO72" s="1769"/>
      <c r="BP72" s="1769"/>
      <c r="BQ72" s="1769"/>
      <c r="BR72" s="1744"/>
      <c r="BS72" s="1744"/>
      <c r="BT72" s="1744"/>
    </row>
    <row r="73" spans="2:72" s="1755" customFormat="1" ht="22.5" customHeight="1">
      <c r="B73" s="1777"/>
      <c r="H73" s="1777"/>
      <c r="J73" s="1776"/>
      <c r="O73" s="1777"/>
      <c r="R73" s="1776"/>
      <c r="W73" s="1777"/>
      <c r="Z73" s="1778"/>
      <c r="AK73" s="1778"/>
      <c r="AS73" s="1778"/>
      <c r="AT73" s="1769"/>
      <c r="AU73" s="1769"/>
      <c r="AV73" s="1769"/>
      <c r="AW73" s="1769"/>
      <c r="AX73" s="1769"/>
      <c r="AY73" s="1769"/>
      <c r="AZ73" s="1769"/>
      <c r="BA73" s="1769"/>
      <c r="BB73" s="1778"/>
      <c r="BC73" s="1769"/>
      <c r="BD73" s="1769"/>
      <c r="BE73" s="1769"/>
      <c r="BF73" s="1769"/>
      <c r="BG73" s="1769"/>
      <c r="BH73" s="1769"/>
      <c r="BI73" s="1769"/>
      <c r="BJ73" s="1764"/>
      <c r="BK73" s="1778"/>
      <c r="BL73" s="1769"/>
      <c r="BM73" s="1769"/>
      <c r="BN73" s="1769"/>
      <c r="BO73" s="1769"/>
      <c r="BP73" s="1769"/>
      <c r="BQ73" s="1769"/>
      <c r="BR73" s="1744"/>
      <c r="BS73" s="1744"/>
      <c r="BT73" s="1744"/>
    </row>
    <row r="74" spans="2:72" ht="22.5" customHeight="1">
      <c r="AT74" s="1769"/>
      <c r="AU74" s="1769"/>
      <c r="AV74" s="1769"/>
      <c r="AW74" s="1769"/>
      <c r="AX74" s="1769"/>
      <c r="AY74" s="1769"/>
      <c r="AZ74" s="1769"/>
      <c r="BA74" s="1769"/>
      <c r="BC74" s="1769"/>
      <c r="BD74" s="1769"/>
      <c r="BE74" s="1769"/>
      <c r="BF74" s="1769"/>
      <c r="BG74" s="1769"/>
      <c r="BH74" s="1769"/>
      <c r="BI74" s="1769"/>
      <c r="BJ74" s="1769"/>
      <c r="BL74" s="1769"/>
      <c r="BM74" s="1769"/>
      <c r="BN74" s="1769"/>
      <c r="BO74" s="1769"/>
      <c r="BP74" s="1769"/>
      <c r="BQ74" s="1769"/>
      <c r="BR74" s="1744"/>
      <c r="BS74" s="1744"/>
      <c r="BT74" s="1744"/>
    </row>
    <row r="75" spans="2:72" s="1744" customFormat="1" ht="22.5" customHeight="1">
      <c r="J75" s="1778"/>
      <c r="K75" s="1769"/>
      <c r="L75" s="1769"/>
      <c r="M75" s="1769"/>
      <c r="N75" s="1769"/>
      <c r="O75" s="1769"/>
      <c r="P75" s="1769"/>
      <c r="Q75" s="1769"/>
      <c r="R75" s="1778"/>
      <c r="S75" s="1769"/>
      <c r="T75" s="1769"/>
      <c r="U75" s="1769"/>
      <c r="V75" s="1769"/>
      <c r="W75" s="1769"/>
      <c r="X75" s="1769"/>
      <c r="AR75" s="1769"/>
      <c r="AS75" s="1778"/>
      <c r="AT75" s="1769"/>
      <c r="AU75" s="1769"/>
      <c r="AV75" s="1769"/>
      <c r="AW75" s="1769"/>
      <c r="AX75" s="1769"/>
      <c r="AY75" s="1769"/>
      <c r="AZ75" s="1769"/>
      <c r="BA75" s="1769"/>
      <c r="BB75" s="1778"/>
      <c r="BC75" s="1769"/>
      <c r="BD75" s="1769"/>
      <c r="BE75" s="1769"/>
      <c r="BF75" s="1769"/>
      <c r="BG75" s="1769"/>
      <c r="BH75" s="1769"/>
      <c r="BI75" s="1769"/>
      <c r="BJ75" s="1769"/>
      <c r="BK75" s="1778"/>
      <c r="BL75" s="1769"/>
      <c r="BM75" s="1769"/>
      <c r="BN75" s="1769"/>
      <c r="BO75" s="1769"/>
      <c r="BP75" s="1769"/>
      <c r="BQ75" s="1769"/>
    </row>
    <row r="76" spans="2:72" s="1744" customFormat="1" ht="22.5" customHeight="1">
      <c r="J76" s="1778"/>
      <c r="K76" s="1769"/>
      <c r="L76" s="1769"/>
      <c r="M76" s="1769"/>
      <c r="N76" s="1769"/>
      <c r="O76" s="1769"/>
      <c r="P76" s="1769"/>
      <c r="Q76" s="1769"/>
      <c r="R76" s="1778"/>
      <c r="S76" s="1769"/>
      <c r="T76" s="1769"/>
      <c r="U76" s="1769"/>
      <c r="V76" s="1769"/>
      <c r="W76" s="1769"/>
      <c r="X76" s="1769"/>
      <c r="Y76" s="1769"/>
      <c r="Z76" s="1778"/>
      <c r="AA76" s="1769"/>
      <c r="AB76" s="1769"/>
      <c r="AC76" s="1769"/>
      <c r="AD76" s="1769"/>
      <c r="AE76" s="1769"/>
      <c r="AF76" s="1769"/>
      <c r="AG76" s="1769"/>
      <c r="AH76" s="1769"/>
      <c r="AI76" s="1769"/>
      <c r="AR76" s="1769"/>
      <c r="AS76" s="1778"/>
      <c r="AT76" s="1769"/>
      <c r="AU76" s="1769"/>
      <c r="AV76" s="1769"/>
      <c r="AW76" s="1769"/>
      <c r="AX76" s="1769"/>
      <c r="AY76" s="1769"/>
      <c r="AZ76" s="1769"/>
      <c r="BA76" s="1769"/>
      <c r="BB76" s="1778"/>
      <c r="BC76" s="1769"/>
      <c r="BD76" s="1769"/>
      <c r="BE76" s="1769"/>
      <c r="BF76" s="1769"/>
      <c r="BG76" s="1769"/>
      <c r="BH76" s="1769"/>
      <c r="BI76" s="1769"/>
      <c r="BJ76" s="1769"/>
      <c r="BK76" s="1778"/>
      <c r="BL76" s="1769"/>
      <c r="BM76" s="1769"/>
      <c r="BN76" s="1769"/>
      <c r="BO76" s="1769"/>
      <c r="BP76" s="1769"/>
      <c r="BQ76" s="1769"/>
    </row>
    <row r="77" spans="2:72" s="1744" customFormat="1" ht="22.5" customHeight="1">
      <c r="J77" s="1778"/>
      <c r="K77" s="1769"/>
      <c r="L77" s="1769"/>
      <c r="M77" s="1769"/>
      <c r="N77" s="1769"/>
      <c r="O77" s="1769"/>
      <c r="P77" s="1769"/>
      <c r="Q77" s="1769"/>
      <c r="R77" s="1778"/>
      <c r="S77" s="1769"/>
      <c r="T77" s="1769"/>
      <c r="U77" s="1769"/>
      <c r="V77" s="1769"/>
      <c r="W77" s="1769"/>
      <c r="X77" s="1769"/>
      <c r="Y77" s="1769"/>
      <c r="Z77" s="1778"/>
      <c r="AA77" s="1769"/>
      <c r="AB77" s="1769"/>
      <c r="AC77" s="1769"/>
      <c r="AD77" s="1769"/>
      <c r="AE77" s="1769"/>
      <c r="AF77" s="1769"/>
      <c r="AG77" s="1769"/>
      <c r="AH77" s="1769"/>
      <c r="AI77" s="1769"/>
      <c r="AR77" s="1769"/>
      <c r="AS77" s="1778"/>
      <c r="AT77" s="1769"/>
      <c r="AU77" s="1769"/>
      <c r="AV77" s="1769"/>
      <c r="AW77" s="1769"/>
      <c r="AX77" s="1769"/>
      <c r="AY77" s="1769"/>
      <c r="AZ77" s="1769"/>
      <c r="BA77" s="1769"/>
      <c r="BB77" s="1778"/>
      <c r="BC77" s="1769"/>
      <c r="BD77" s="1769"/>
      <c r="BE77" s="1769"/>
      <c r="BF77" s="1769"/>
      <c r="BG77" s="1769"/>
      <c r="BH77" s="1769"/>
      <c r="BI77" s="1769"/>
      <c r="BJ77" s="1769"/>
      <c r="BK77" s="1778"/>
      <c r="BL77" s="1769"/>
      <c r="BM77" s="1769"/>
      <c r="BN77" s="1769"/>
      <c r="BO77" s="1769"/>
      <c r="BP77" s="1769"/>
      <c r="BQ77" s="1769"/>
    </row>
    <row r="78" spans="2:72" s="1744" customFormat="1" ht="22.5" customHeight="1">
      <c r="J78" s="1778"/>
      <c r="K78" s="1769"/>
      <c r="L78" s="1769"/>
      <c r="M78" s="1769"/>
      <c r="N78" s="1769"/>
      <c r="O78" s="1769"/>
      <c r="P78" s="1769"/>
      <c r="Q78" s="1769"/>
      <c r="R78" s="1778"/>
      <c r="S78" s="1769"/>
      <c r="T78" s="1769"/>
      <c r="U78" s="1769"/>
      <c r="V78" s="1769"/>
      <c r="W78" s="1769"/>
      <c r="X78" s="1769"/>
      <c r="Y78" s="1769"/>
      <c r="Z78" s="1778"/>
      <c r="AA78" s="1769"/>
      <c r="AB78" s="1769"/>
      <c r="AC78" s="1769"/>
      <c r="AD78" s="1769"/>
      <c r="AE78" s="1769"/>
      <c r="AF78" s="1769"/>
      <c r="AG78" s="1769"/>
      <c r="AH78" s="1769"/>
      <c r="AI78" s="1769"/>
      <c r="AJ78" s="1769"/>
      <c r="AK78" s="1778"/>
      <c r="AL78" s="1769"/>
      <c r="AM78" s="1769"/>
      <c r="AN78" s="1769"/>
      <c r="AO78" s="1769"/>
      <c r="AP78" s="1769"/>
      <c r="AQ78" s="1769"/>
      <c r="AR78" s="1764"/>
      <c r="AS78" s="1778"/>
      <c r="AT78" s="1769"/>
      <c r="AU78" s="1769"/>
      <c r="AV78" s="1769"/>
      <c r="AW78" s="1769"/>
      <c r="AX78" s="1769"/>
      <c r="AY78" s="1769"/>
      <c r="AZ78" s="1769"/>
      <c r="BA78" s="1769"/>
      <c r="BB78" s="1778"/>
      <c r="BC78" s="1769"/>
      <c r="BD78" s="1769"/>
      <c r="BE78" s="1769"/>
      <c r="BF78" s="1769"/>
      <c r="BG78" s="1769"/>
      <c r="BH78" s="1769"/>
      <c r="BI78" s="1769"/>
      <c r="BJ78" s="1769"/>
      <c r="BK78" s="1778"/>
      <c r="BL78" s="1769"/>
      <c r="BM78" s="1769"/>
      <c r="BN78" s="1769"/>
      <c r="BO78" s="1769"/>
      <c r="BP78" s="1769"/>
      <c r="BQ78" s="1769"/>
    </row>
    <row r="79" spans="2:72" s="1744" customFormat="1" ht="22.5" customHeight="1">
      <c r="J79" s="1778"/>
      <c r="K79" s="1769"/>
      <c r="L79" s="1769"/>
      <c r="M79" s="1769"/>
      <c r="N79" s="1769"/>
      <c r="O79" s="1769"/>
      <c r="P79" s="1769"/>
      <c r="Q79" s="1769"/>
      <c r="R79" s="1778"/>
      <c r="S79" s="1769"/>
      <c r="T79" s="1769"/>
      <c r="U79" s="1769"/>
      <c r="V79" s="1769"/>
      <c r="W79" s="1769"/>
      <c r="X79" s="1769"/>
      <c r="Y79" s="1769"/>
      <c r="Z79" s="1778"/>
      <c r="AA79" s="1769"/>
      <c r="AB79" s="1769"/>
      <c r="AC79" s="1769"/>
      <c r="AD79" s="1769"/>
      <c r="AE79" s="1769"/>
      <c r="AF79" s="1769"/>
      <c r="AG79" s="1769"/>
      <c r="AH79" s="1769"/>
      <c r="AI79" s="1769"/>
      <c r="AR79" s="1764"/>
      <c r="AS79" s="1778"/>
      <c r="AT79" s="1769"/>
      <c r="AU79" s="1769"/>
      <c r="AV79" s="1769"/>
      <c r="AW79" s="1769"/>
      <c r="AX79" s="1769"/>
      <c r="AY79" s="1769"/>
      <c r="AZ79" s="1769"/>
      <c r="BA79" s="1769"/>
      <c r="BB79" s="1778"/>
      <c r="BC79" s="1769"/>
      <c r="BD79" s="1769"/>
      <c r="BE79" s="1769"/>
      <c r="BF79" s="1769"/>
      <c r="BG79" s="1769"/>
      <c r="BH79" s="1769"/>
      <c r="BI79" s="1769"/>
      <c r="BJ79" s="1769"/>
      <c r="BK79" s="1778"/>
      <c r="BL79" s="1769"/>
      <c r="BM79" s="1769"/>
      <c r="BN79" s="1769"/>
      <c r="BO79" s="1769"/>
      <c r="BP79" s="1769"/>
      <c r="BQ79" s="1769"/>
    </row>
    <row r="80" spans="2:72" s="1744" customFormat="1" ht="22.5" customHeight="1">
      <c r="J80" s="1778"/>
      <c r="K80" s="1769"/>
      <c r="L80" s="1769"/>
      <c r="M80" s="1769"/>
      <c r="N80" s="1769"/>
      <c r="O80" s="1769"/>
      <c r="P80" s="1769"/>
      <c r="Q80" s="1769"/>
      <c r="R80" s="1778"/>
      <c r="S80" s="1769"/>
      <c r="T80" s="1769"/>
      <c r="U80" s="1769"/>
      <c r="V80" s="1769"/>
      <c r="W80" s="1769"/>
      <c r="X80" s="1769"/>
      <c r="Y80" s="1769"/>
      <c r="Z80" s="1778"/>
      <c r="AA80" s="1769"/>
      <c r="AB80" s="1769"/>
      <c r="AC80" s="1769"/>
      <c r="AD80" s="1769"/>
      <c r="AE80" s="1769"/>
      <c r="AF80" s="1769"/>
      <c r="AG80" s="1769"/>
      <c r="AH80" s="1769"/>
      <c r="AI80" s="1769"/>
      <c r="AR80" s="1764"/>
      <c r="AS80" s="1778"/>
      <c r="AT80" s="1769"/>
      <c r="AU80" s="1769"/>
      <c r="AV80" s="1769"/>
      <c r="AW80" s="1769"/>
      <c r="AX80" s="1769"/>
      <c r="AY80" s="1769"/>
      <c r="AZ80" s="1769"/>
      <c r="BA80" s="1769"/>
      <c r="BB80" s="1778"/>
      <c r="BC80" s="1769"/>
      <c r="BD80" s="1769"/>
      <c r="BE80" s="1769"/>
      <c r="BF80" s="1769"/>
      <c r="BG80" s="1769"/>
      <c r="BH80" s="1769"/>
      <c r="BI80" s="1769"/>
      <c r="BJ80" s="1769"/>
      <c r="BK80" s="1778"/>
      <c r="BL80" s="1769"/>
      <c r="BM80" s="1769"/>
      <c r="BN80" s="1769"/>
      <c r="BO80" s="1769"/>
      <c r="BP80" s="1769"/>
      <c r="BQ80" s="1769"/>
    </row>
    <row r="81" spans="10:72" s="1744" customFormat="1" ht="22.5" customHeight="1">
      <c r="J81" s="1778"/>
      <c r="K81" s="1769"/>
      <c r="L81" s="1769"/>
      <c r="M81" s="1769"/>
      <c r="N81" s="1769"/>
      <c r="O81" s="1769"/>
      <c r="P81" s="1769"/>
      <c r="Q81" s="1769"/>
      <c r="R81" s="1778"/>
      <c r="S81" s="1769"/>
      <c r="T81" s="1769"/>
      <c r="U81" s="1769"/>
      <c r="V81" s="1769"/>
      <c r="W81" s="1769"/>
      <c r="X81" s="1769"/>
      <c r="Y81" s="1769"/>
      <c r="Z81" s="1778"/>
      <c r="AA81" s="1769"/>
      <c r="AB81" s="1769"/>
      <c r="AC81" s="1769"/>
      <c r="AD81" s="1769"/>
      <c r="AE81" s="1769"/>
      <c r="AF81" s="1769"/>
      <c r="AG81" s="1769"/>
      <c r="AH81" s="1769"/>
      <c r="AI81" s="1769"/>
      <c r="AR81" s="1769"/>
      <c r="AS81" s="1778"/>
      <c r="AT81" s="1769"/>
      <c r="AU81" s="1769"/>
      <c r="AV81" s="1769"/>
      <c r="AW81" s="1769"/>
      <c r="AX81" s="1769"/>
      <c r="AY81" s="1769"/>
      <c r="AZ81" s="1769"/>
      <c r="BA81" s="1769"/>
      <c r="BB81" s="1778"/>
      <c r="BC81" s="1769"/>
      <c r="BD81" s="1769"/>
      <c r="BE81" s="1769"/>
      <c r="BF81" s="1769"/>
      <c r="BG81" s="1769"/>
      <c r="BH81" s="1769"/>
      <c r="BI81" s="1769"/>
      <c r="BJ81" s="1769"/>
      <c r="BK81" s="1778"/>
      <c r="BL81" s="1769"/>
      <c r="BM81" s="1769"/>
      <c r="BN81" s="1769"/>
      <c r="BO81" s="1769"/>
      <c r="BP81" s="1769"/>
      <c r="BQ81" s="1769"/>
    </row>
    <row r="82" spans="10:72" s="1744" customFormat="1" ht="22.5" customHeight="1">
      <c r="J82" s="1778"/>
      <c r="K82" s="1769"/>
      <c r="L82" s="1769"/>
      <c r="M82" s="1769"/>
      <c r="N82" s="1769"/>
      <c r="O82" s="1769"/>
      <c r="P82" s="1769"/>
      <c r="Q82" s="1769"/>
      <c r="R82" s="1778"/>
      <c r="S82" s="1769"/>
      <c r="T82" s="1769"/>
      <c r="U82" s="1769"/>
      <c r="V82" s="1769"/>
      <c r="W82" s="1769"/>
      <c r="X82" s="1769"/>
      <c r="Y82" s="1769"/>
      <c r="Z82" s="1778"/>
      <c r="AA82" s="1769"/>
      <c r="AB82" s="1769"/>
      <c r="AC82" s="1769"/>
      <c r="AD82" s="1769"/>
      <c r="AE82" s="1769"/>
      <c r="AF82" s="1769"/>
      <c r="AG82" s="1769"/>
      <c r="AH82" s="1769"/>
      <c r="AI82" s="1769"/>
      <c r="AR82" s="1769"/>
      <c r="AS82" s="1778"/>
      <c r="AT82" s="1769"/>
      <c r="AU82" s="1769"/>
      <c r="AV82" s="1769"/>
      <c r="AW82" s="1769"/>
      <c r="AX82" s="1769"/>
      <c r="AY82" s="1769"/>
      <c r="AZ82" s="1769"/>
      <c r="BA82" s="1769"/>
      <c r="BB82" s="1778"/>
      <c r="BC82" s="1769"/>
      <c r="BD82" s="1769"/>
      <c r="BE82" s="1769"/>
      <c r="BF82" s="1769"/>
      <c r="BG82" s="1769"/>
      <c r="BH82" s="1769"/>
      <c r="BI82" s="1769"/>
      <c r="BJ82" s="1769"/>
      <c r="BK82" s="1778"/>
      <c r="BL82" s="1769"/>
      <c r="BM82" s="1769"/>
      <c r="BN82" s="1769"/>
      <c r="BO82" s="1769"/>
      <c r="BP82" s="1769"/>
      <c r="BQ82" s="1769"/>
    </row>
    <row r="83" spans="10:72" s="1744" customFormat="1" ht="22.5" customHeight="1">
      <c r="J83" s="1778"/>
      <c r="K83" s="1769"/>
      <c r="L83" s="1769"/>
      <c r="M83" s="1769"/>
      <c r="N83" s="1769"/>
      <c r="O83" s="1769"/>
      <c r="P83" s="1769"/>
      <c r="Q83" s="1769"/>
      <c r="R83" s="1778"/>
      <c r="S83" s="1769"/>
      <c r="T83" s="1769"/>
      <c r="U83" s="1769"/>
      <c r="V83" s="1769"/>
      <c r="W83" s="1769"/>
      <c r="X83" s="1769"/>
      <c r="Y83" s="1769"/>
      <c r="Z83" s="1778"/>
      <c r="AA83" s="1769"/>
      <c r="AB83" s="1769"/>
      <c r="AC83" s="1769"/>
      <c r="AD83" s="1769"/>
      <c r="AE83" s="1769"/>
      <c r="AF83" s="1769"/>
      <c r="AG83" s="1769"/>
      <c r="AH83" s="1769"/>
      <c r="AI83" s="1769"/>
      <c r="AR83" s="1769"/>
      <c r="AS83" s="1778"/>
      <c r="AT83" s="1769"/>
      <c r="AU83" s="1769"/>
      <c r="AV83" s="1769"/>
      <c r="AW83" s="1769"/>
      <c r="AX83" s="1769"/>
      <c r="AY83" s="1769"/>
      <c r="AZ83" s="1769"/>
      <c r="BA83" s="1769"/>
      <c r="BB83" s="1778"/>
      <c r="BC83" s="1769"/>
      <c r="BD83" s="1769"/>
      <c r="BE83" s="1769"/>
      <c r="BF83" s="1769"/>
      <c r="BG83" s="1769"/>
      <c r="BH83" s="1769"/>
      <c r="BI83" s="1769"/>
      <c r="BJ83" s="1769"/>
      <c r="BK83" s="1778"/>
      <c r="BL83" s="1769"/>
      <c r="BM83" s="1769"/>
      <c r="BN83" s="1769"/>
      <c r="BO83" s="1769"/>
      <c r="BP83" s="1769"/>
      <c r="BQ83" s="1769"/>
    </row>
    <row r="84" spans="10:72" s="1744" customFormat="1" ht="22.5" customHeight="1">
      <c r="J84" s="1778"/>
      <c r="K84" s="1769"/>
      <c r="L84" s="1769"/>
      <c r="M84" s="1769"/>
      <c r="N84" s="1769"/>
      <c r="O84" s="1769"/>
      <c r="P84" s="1769"/>
      <c r="Q84" s="1769"/>
      <c r="R84" s="1778"/>
      <c r="S84" s="1769"/>
      <c r="T84" s="1769"/>
      <c r="U84" s="1769"/>
      <c r="V84" s="1769"/>
      <c r="W84" s="1769"/>
      <c r="X84" s="1769"/>
      <c r="Y84" s="1769"/>
      <c r="Z84" s="1778"/>
      <c r="AA84" s="1769"/>
      <c r="AB84" s="1769"/>
      <c r="AC84" s="1769"/>
      <c r="AD84" s="1769"/>
      <c r="AE84" s="1769"/>
      <c r="AF84" s="1769"/>
      <c r="AG84" s="1769"/>
      <c r="AH84" s="1769"/>
      <c r="AI84" s="1769"/>
      <c r="AR84" s="1769"/>
      <c r="AS84" s="1778"/>
      <c r="AT84" s="1769"/>
      <c r="AU84" s="1769"/>
      <c r="AV84" s="1769"/>
      <c r="AW84" s="1769"/>
      <c r="AX84" s="1769"/>
      <c r="AY84" s="1769"/>
      <c r="AZ84" s="1769"/>
      <c r="BA84" s="1769"/>
      <c r="BB84" s="1778"/>
      <c r="BC84" s="1769"/>
      <c r="BD84" s="1769"/>
      <c r="BE84" s="1769"/>
      <c r="BF84" s="1769"/>
      <c r="BG84" s="1769"/>
      <c r="BH84" s="1769"/>
      <c r="BI84" s="1769"/>
      <c r="BJ84" s="1769"/>
      <c r="BK84" s="1778"/>
      <c r="BL84" s="1769"/>
      <c r="BM84" s="1769"/>
      <c r="BN84" s="1769"/>
      <c r="BO84" s="1769"/>
      <c r="BP84" s="1769"/>
      <c r="BQ84" s="1769"/>
    </row>
    <row r="85" spans="10:72" s="1744" customFormat="1" ht="22.5" customHeight="1">
      <c r="J85" s="1778"/>
      <c r="K85" s="1769"/>
      <c r="L85" s="1769"/>
      <c r="M85" s="1769"/>
      <c r="N85" s="1769"/>
      <c r="O85" s="1769"/>
      <c r="P85" s="1769"/>
      <c r="Q85" s="1769"/>
      <c r="R85" s="1778"/>
      <c r="S85" s="1769"/>
      <c r="T85" s="1769"/>
      <c r="U85" s="1769"/>
      <c r="V85" s="1769"/>
      <c r="W85" s="1769"/>
      <c r="X85" s="1769"/>
      <c r="Y85" s="1769"/>
      <c r="Z85" s="1778"/>
      <c r="AA85" s="1769"/>
      <c r="AB85" s="1769"/>
      <c r="AC85" s="1769"/>
      <c r="AD85" s="1769"/>
      <c r="AE85" s="1769"/>
      <c r="AF85" s="1769"/>
      <c r="AG85" s="1769"/>
      <c r="AH85" s="1769"/>
      <c r="AI85" s="1769"/>
      <c r="AR85" s="1769"/>
      <c r="AS85" s="1778"/>
      <c r="AT85" s="1769"/>
      <c r="AU85" s="1769"/>
      <c r="AV85" s="1769"/>
      <c r="AW85" s="1769"/>
      <c r="AX85" s="1769"/>
      <c r="AY85" s="1769"/>
      <c r="AZ85" s="1769"/>
      <c r="BA85" s="1769"/>
      <c r="BB85" s="1778"/>
      <c r="BC85" s="1769"/>
      <c r="BD85" s="1769"/>
      <c r="BE85" s="1769"/>
      <c r="BF85" s="1769"/>
      <c r="BG85" s="1769"/>
      <c r="BH85" s="1769"/>
      <c r="BI85" s="1769"/>
      <c r="BJ85" s="1769"/>
      <c r="BK85" s="1778"/>
      <c r="BL85" s="1769"/>
      <c r="BM85" s="1769"/>
      <c r="BN85" s="1769"/>
      <c r="BO85" s="1769"/>
      <c r="BP85" s="1769"/>
      <c r="BQ85" s="1769"/>
    </row>
    <row r="86" spans="10:72" s="1744" customFormat="1" ht="22.5" customHeight="1">
      <c r="J86" s="1778"/>
      <c r="K86" s="1769"/>
      <c r="L86" s="1769"/>
      <c r="M86" s="1769"/>
      <c r="N86" s="1769"/>
      <c r="O86" s="1769"/>
      <c r="P86" s="1769"/>
      <c r="Q86" s="1769"/>
      <c r="R86" s="1778"/>
      <c r="S86" s="1769"/>
      <c r="T86" s="1769"/>
      <c r="U86" s="1769"/>
      <c r="V86" s="1769"/>
      <c r="W86" s="1769"/>
      <c r="X86" s="1769"/>
      <c r="Y86" s="1769"/>
      <c r="Z86" s="1778"/>
      <c r="AA86" s="1769"/>
      <c r="AB86" s="1769"/>
      <c r="AC86" s="1769"/>
      <c r="AD86" s="1769"/>
      <c r="AE86" s="1769"/>
      <c r="AF86" s="1769"/>
      <c r="AG86" s="1769"/>
      <c r="AH86" s="1769"/>
      <c r="AI86" s="1769"/>
      <c r="AR86" s="1769"/>
      <c r="AS86" s="1778"/>
      <c r="AT86" s="1769"/>
      <c r="AU86" s="1769"/>
      <c r="AV86" s="1769"/>
      <c r="AW86" s="1769"/>
      <c r="AX86" s="1769"/>
      <c r="AY86" s="1769"/>
      <c r="AZ86" s="1769"/>
      <c r="BA86" s="1769"/>
      <c r="BB86" s="1778"/>
      <c r="BC86" s="1769"/>
      <c r="BD86" s="1769"/>
      <c r="BE86" s="1769"/>
      <c r="BF86" s="1769"/>
      <c r="BG86" s="1769"/>
      <c r="BH86" s="1769"/>
      <c r="BI86" s="1769"/>
      <c r="BJ86" s="1769"/>
      <c r="BK86" s="1778"/>
      <c r="BL86" s="1769"/>
      <c r="BM86" s="1769"/>
      <c r="BN86" s="1769"/>
      <c r="BO86" s="1769"/>
      <c r="BP86" s="1769"/>
      <c r="BQ86" s="1769"/>
    </row>
    <row r="87" spans="10:72" s="1744" customFormat="1" ht="22.5" customHeight="1">
      <c r="J87" s="1778"/>
      <c r="K87" s="1769"/>
      <c r="L87" s="1769"/>
      <c r="M87" s="1769"/>
      <c r="N87" s="1769"/>
      <c r="O87" s="1769"/>
      <c r="P87" s="1769"/>
      <c r="Q87" s="1769"/>
      <c r="R87" s="1778"/>
      <c r="S87" s="1769"/>
      <c r="T87" s="1769"/>
      <c r="U87" s="1769"/>
      <c r="V87" s="1769"/>
      <c r="W87" s="1769"/>
      <c r="X87" s="1769"/>
      <c r="Y87" s="1769"/>
      <c r="Z87" s="1778"/>
      <c r="AA87" s="1769"/>
      <c r="AB87" s="1769"/>
      <c r="AC87" s="1769"/>
      <c r="AD87" s="1769"/>
      <c r="AE87" s="1769"/>
      <c r="AF87" s="1769"/>
      <c r="AG87" s="1769"/>
      <c r="AH87" s="1769"/>
      <c r="AI87" s="1769"/>
      <c r="AJ87" s="1769"/>
      <c r="AK87" s="1778"/>
      <c r="AL87" s="1769"/>
      <c r="AM87" s="1769"/>
      <c r="AN87" s="1769"/>
      <c r="AO87" s="1769"/>
      <c r="AP87" s="1769"/>
      <c r="AQ87" s="1769"/>
      <c r="AR87" s="1769"/>
      <c r="AS87" s="1778"/>
      <c r="AT87" s="1769"/>
      <c r="AU87" s="1769"/>
      <c r="AV87" s="1769"/>
      <c r="AW87" s="1769"/>
      <c r="AX87" s="1769"/>
      <c r="AY87" s="1769"/>
      <c r="AZ87" s="1769"/>
      <c r="BA87" s="1769"/>
      <c r="BB87" s="1778"/>
      <c r="BC87" s="1769"/>
      <c r="BD87" s="1769"/>
      <c r="BE87" s="1769"/>
      <c r="BF87" s="1769"/>
      <c r="BG87" s="1769"/>
      <c r="BH87" s="1769"/>
      <c r="BI87" s="1769"/>
      <c r="BJ87" s="1769"/>
      <c r="BK87" s="1778"/>
      <c r="BL87" s="1769"/>
      <c r="BM87" s="1769"/>
      <c r="BN87" s="1769"/>
      <c r="BO87" s="1769"/>
      <c r="BP87" s="1769"/>
      <c r="BQ87" s="1769"/>
      <c r="BR87" s="1732"/>
      <c r="BS87" s="1732"/>
      <c r="BT87" s="1732"/>
    </row>
    <row r="88" spans="10:72" s="1744" customFormat="1" ht="22.5" customHeight="1">
      <c r="J88" s="1778"/>
      <c r="K88" s="1769"/>
      <c r="L88" s="1769"/>
      <c r="M88" s="1769"/>
      <c r="N88" s="1769"/>
      <c r="O88" s="1769"/>
      <c r="P88" s="1769"/>
      <c r="Q88" s="1769"/>
      <c r="R88" s="1778"/>
      <c r="S88" s="1769"/>
      <c r="T88" s="1769"/>
      <c r="U88" s="1769"/>
      <c r="V88" s="1769"/>
      <c r="W88" s="1769"/>
      <c r="X88" s="1769"/>
      <c r="Y88" s="1769"/>
      <c r="Z88" s="1778"/>
      <c r="AA88" s="1769"/>
      <c r="AB88" s="1769"/>
      <c r="AC88" s="1769"/>
      <c r="AD88" s="1769"/>
      <c r="AE88" s="1769"/>
      <c r="AF88" s="1769"/>
      <c r="AG88" s="1769"/>
      <c r="AH88" s="1769"/>
      <c r="AI88" s="1769"/>
      <c r="AJ88" s="1769"/>
      <c r="AK88" s="1778"/>
      <c r="AL88" s="1769"/>
      <c r="AM88" s="1769"/>
      <c r="AN88" s="1769"/>
      <c r="AO88" s="1769"/>
      <c r="AP88" s="1769"/>
      <c r="AQ88" s="1769"/>
      <c r="AR88" s="1769"/>
      <c r="AS88" s="1778"/>
      <c r="AT88" s="1769"/>
      <c r="AU88" s="1769"/>
      <c r="AV88" s="1769"/>
      <c r="AW88" s="1769"/>
      <c r="AX88" s="1769"/>
      <c r="AY88" s="1769"/>
      <c r="AZ88" s="1769"/>
      <c r="BA88" s="1769"/>
      <c r="BB88" s="1778"/>
      <c r="BC88" s="1769"/>
      <c r="BD88" s="1769"/>
      <c r="BE88" s="1769"/>
      <c r="BF88" s="1769"/>
      <c r="BG88" s="1769"/>
      <c r="BH88" s="1769"/>
      <c r="BI88" s="1769"/>
      <c r="BJ88" s="1769"/>
      <c r="BK88" s="1778"/>
      <c r="BL88" s="1769"/>
      <c r="BM88" s="1769"/>
      <c r="BN88" s="1769"/>
      <c r="BO88" s="1769"/>
      <c r="BP88" s="1769"/>
      <c r="BQ88" s="1769"/>
      <c r="BR88" s="1758"/>
      <c r="BS88" s="1758"/>
      <c r="BT88" s="1758"/>
    </row>
    <row r="89" spans="10:72" s="1744" customFormat="1" ht="22.5" customHeight="1">
      <c r="J89" s="1778"/>
      <c r="K89" s="1769"/>
      <c r="L89" s="1769"/>
      <c r="M89" s="1769"/>
      <c r="N89" s="1769"/>
      <c r="O89" s="1769"/>
      <c r="P89" s="1769"/>
      <c r="Q89" s="1769"/>
      <c r="R89" s="1778"/>
      <c r="S89" s="1769"/>
      <c r="T89" s="1769"/>
      <c r="U89" s="1769"/>
      <c r="V89" s="1769"/>
      <c r="W89" s="1769"/>
      <c r="X89" s="1769"/>
      <c r="Y89" s="1769"/>
      <c r="Z89" s="1778"/>
      <c r="AA89" s="1769"/>
      <c r="AB89" s="1769"/>
      <c r="AC89" s="1769"/>
      <c r="AD89" s="1769"/>
      <c r="AE89" s="1769"/>
      <c r="AF89" s="1769"/>
      <c r="AG89" s="1769"/>
      <c r="AH89" s="1769"/>
      <c r="AI89" s="1769"/>
      <c r="AJ89" s="1769"/>
      <c r="AK89" s="1778"/>
      <c r="AL89" s="1769"/>
      <c r="AM89" s="1769"/>
      <c r="AN89" s="1769"/>
      <c r="AO89" s="1769"/>
      <c r="AP89" s="1769"/>
      <c r="AQ89" s="1769"/>
      <c r="AR89" s="1769"/>
      <c r="AS89" s="1778"/>
      <c r="AT89" s="1769"/>
      <c r="AU89" s="1769"/>
      <c r="AV89" s="1769"/>
      <c r="AW89" s="1769"/>
      <c r="AX89" s="1769"/>
      <c r="AY89" s="1769"/>
      <c r="AZ89" s="1769"/>
      <c r="BA89" s="1769"/>
      <c r="BB89" s="1778"/>
      <c r="BC89" s="1769"/>
      <c r="BD89" s="1769"/>
      <c r="BE89" s="1769"/>
      <c r="BF89" s="1769"/>
      <c r="BG89" s="1769"/>
      <c r="BH89" s="1769"/>
      <c r="BI89" s="1769"/>
      <c r="BJ89" s="1769"/>
      <c r="BK89" s="1778"/>
      <c r="BL89" s="1769"/>
      <c r="BM89" s="1769"/>
      <c r="BN89" s="1769"/>
      <c r="BO89" s="1769"/>
      <c r="BP89" s="1769"/>
      <c r="BQ89" s="1769"/>
      <c r="BR89" s="1758"/>
      <c r="BS89" s="1758"/>
      <c r="BT89" s="1758"/>
    </row>
    <row r="90" spans="10:72" s="1744" customFormat="1" ht="22.5" customHeight="1">
      <c r="J90" s="1778"/>
      <c r="K90" s="1769"/>
      <c r="L90" s="1769"/>
      <c r="M90" s="1769"/>
      <c r="N90" s="1769"/>
      <c r="O90" s="1769"/>
      <c r="P90" s="1769"/>
      <c r="Q90" s="1769"/>
      <c r="R90" s="1778"/>
      <c r="S90" s="1769"/>
      <c r="T90" s="1769"/>
      <c r="U90" s="1769"/>
      <c r="V90" s="1769"/>
      <c r="W90" s="1769"/>
      <c r="X90" s="1769"/>
      <c r="Y90" s="1769"/>
      <c r="Z90" s="1778"/>
      <c r="AA90" s="1769"/>
      <c r="AB90" s="1769"/>
      <c r="AC90" s="1769"/>
      <c r="AD90" s="1769"/>
      <c r="AE90" s="1769"/>
      <c r="AF90" s="1769"/>
      <c r="AG90" s="1769"/>
      <c r="AH90" s="1769"/>
      <c r="AI90" s="1769"/>
      <c r="AJ90" s="1769"/>
      <c r="AK90" s="1778"/>
      <c r="AL90" s="1769"/>
      <c r="AM90" s="1769"/>
      <c r="AN90" s="1769"/>
      <c r="AO90" s="1769"/>
      <c r="AP90" s="1769"/>
      <c r="AQ90" s="1769"/>
      <c r="AR90" s="1769"/>
      <c r="AS90" s="1778"/>
      <c r="AT90" s="1769"/>
      <c r="AU90" s="1769"/>
      <c r="AV90" s="1769"/>
      <c r="AW90" s="1769"/>
      <c r="AX90" s="1769"/>
      <c r="AY90" s="1769"/>
      <c r="AZ90" s="1769"/>
      <c r="BA90" s="1769"/>
      <c r="BB90" s="1778"/>
      <c r="BC90" s="1769"/>
      <c r="BD90" s="1769"/>
      <c r="BE90" s="1769"/>
      <c r="BF90" s="1769"/>
      <c r="BG90" s="1769"/>
      <c r="BH90" s="1769"/>
      <c r="BI90" s="1769"/>
      <c r="BJ90" s="1769"/>
      <c r="BK90" s="1778"/>
      <c r="BL90" s="1769"/>
      <c r="BM90" s="1769"/>
      <c r="BN90" s="1769"/>
      <c r="BO90" s="1769"/>
      <c r="BP90" s="1769"/>
      <c r="BQ90" s="1769"/>
      <c r="BR90" s="1738"/>
      <c r="BS90" s="1738"/>
      <c r="BT90" s="1738"/>
    </row>
    <row r="91" spans="10:72" s="1744" customFormat="1" ht="22.5" customHeight="1">
      <c r="J91" s="1778"/>
      <c r="K91" s="1769"/>
      <c r="L91" s="1769"/>
      <c r="M91" s="1769"/>
      <c r="N91" s="1769"/>
      <c r="O91" s="1769"/>
      <c r="P91" s="1769"/>
      <c r="Q91" s="1769"/>
      <c r="R91" s="1778"/>
      <c r="S91" s="1769"/>
      <c r="T91" s="1769"/>
      <c r="U91" s="1769"/>
      <c r="V91" s="1769"/>
      <c r="W91" s="1769"/>
      <c r="X91" s="1769"/>
      <c r="Y91" s="1769"/>
      <c r="Z91" s="1778"/>
      <c r="AA91" s="1769"/>
      <c r="AB91" s="1769"/>
      <c r="AC91" s="1769"/>
      <c r="AD91" s="1769"/>
      <c r="AE91" s="1769"/>
      <c r="AF91" s="1769"/>
      <c r="AG91" s="1769"/>
      <c r="AH91" s="1769"/>
      <c r="AI91" s="1769"/>
      <c r="AJ91" s="1769"/>
      <c r="AK91" s="1778"/>
      <c r="AL91" s="1769"/>
      <c r="AM91" s="1769"/>
      <c r="AN91" s="1769"/>
      <c r="AO91" s="1769"/>
      <c r="AP91" s="1769"/>
      <c r="AQ91" s="1769"/>
      <c r="AR91" s="1769"/>
      <c r="AS91" s="1778"/>
      <c r="AT91" s="1769"/>
      <c r="AU91" s="1769"/>
      <c r="AV91" s="1769"/>
      <c r="AW91" s="1769"/>
      <c r="AX91" s="1769"/>
      <c r="AY91" s="1769"/>
      <c r="AZ91" s="1769"/>
      <c r="BA91" s="1769"/>
      <c r="BB91" s="1778"/>
      <c r="BC91" s="1769"/>
      <c r="BD91" s="1769"/>
      <c r="BE91" s="1769"/>
      <c r="BF91" s="1769"/>
      <c r="BG91" s="1769"/>
      <c r="BH91" s="1769"/>
      <c r="BI91" s="1769"/>
      <c r="BJ91" s="1769"/>
      <c r="BK91" s="1778"/>
      <c r="BL91" s="1755"/>
      <c r="BM91" s="1755"/>
      <c r="BN91" s="1755"/>
      <c r="BO91" s="1755"/>
      <c r="BP91" s="1755"/>
      <c r="BQ91" s="1755"/>
      <c r="BR91" s="1738"/>
      <c r="BS91" s="1738"/>
      <c r="BT91" s="1738"/>
    </row>
    <row r="92" spans="10:72" s="1744" customFormat="1" ht="22.5" customHeight="1">
      <c r="J92" s="1778"/>
      <c r="K92" s="1769"/>
      <c r="L92" s="1769"/>
      <c r="M92" s="1769"/>
      <c r="N92" s="1769"/>
      <c r="O92" s="1769"/>
      <c r="P92" s="1769"/>
      <c r="Q92" s="1769"/>
      <c r="R92" s="1778"/>
      <c r="S92" s="1769"/>
      <c r="T92" s="1769"/>
      <c r="U92" s="1769"/>
      <c r="V92" s="1769"/>
      <c r="W92" s="1769"/>
      <c r="X92" s="1769"/>
      <c r="Y92" s="1769"/>
      <c r="Z92" s="1778"/>
      <c r="AA92" s="1769"/>
      <c r="AB92" s="1769"/>
      <c r="AC92" s="1769"/>
      <c r="AD92" s="1769"/>
      <c r="AE92" s="1769"/>
      <c r="AF92" s="1769"/>
      <c r="AG92" s="1769"/>
      <c r="AH92" s="1769"/>
      <c r="AI92" s="1769"/>
      <c r="AJ92" s="1769"/>
      <c r="AK92" s="1778"/>
      <c r="AL92" s="1769"/>
      <c r="AM92" s="1769"/>
      <c r="AN92" s="1769"/>
      <c r="AO92" s="1769"/>
      <c r="AP92" s="1769"/>
      <c r="AQ92" s="1769"/>
      <c r="AR92" s="1769"/>
      <c r="AS92" s="1778"/>
      <c r="AT92" s="1769"/>
      <c r="AU92" s="1769"/>
      <c r="AV92" s="1769"/>
      <c r="AW92" s="1769"/>
      <c r="AX92" s="1769"/>
      <c r="AY92" s="1769"/>
      <c r="AZ92" s="1769"/>
      <c r="BA92" s="1769"/>
      <c r="BB92" s="1778"/>
      <c r="BC92" s="1769"/>
      <c r="BD92" s="1769"/>
      <c r="BE92" s="1769"/>
      <c r="BF92" s="1769"/>
      <c r="BG92" s="1769"/>
      <c r="BH92" s="1769"/>
      <c r="BI92" s="1769"/>
      <c r="BJ92" s="1769"/>
      <c r="BK92" s="1778"/>
      <c r="BL92" s="1780"/>
      <c r="BM92" s="1780"/>
      <c r="BN92" s="1780"/>
      <c r="BO92" s="1780"/>
      <c r="BP92" s="1780"/>
      <c r="BQ92" s="1780"/>
      <c r="BR92" s="1738"/>
      <c r="BS92" s="1738"/>
      <c r="BT92" s="1738"/>
    </row>
    <row r="93" spans="10:72" s="1744" customFormat="1" ht="22.5" customHeight="1">
      <c r="J93" s="1778"/>
      <c r="K93" s="1769"/>
      <c r="L93" s="1769"/>
      <c r="M93" s="1769"/>
      <c r="N93" s="1769"/>
      <c r="O93" s="1769"/>
      <c r="P93" s="1769"/>
      <c r="Q93" s="1769"/>
      <c r="R93" s="1778"/>
      <c r="S93" s="1769"/>
      <c r="T93" s="1769"/>
      <c r="U93" s="1769"/>
      <c r="V93" s="1769"/>
      <c r="W93" s="1769"/>
      <c r="X93" s="1769"/>
      <c r="Y93" s="1769"/>
      <c r="Z93" s="1778"/>
      <c r="AA93" s="1769"/>
      <c r="AB93" s="1769"/>
      <c r="AC93" s="1769"/>
      <c r="AD93" s="1769"/>
      <c r="AE93" s="1769"/>
      <c r="AF93" s="1769"/>
      <c r="AG93" s="1769"/>
      <c r="AH93" s="1769"/>
      <c r="AI93" s="1769"/>
      <c r="AJ93" s="1769"/>
      <c r="AK93" s="1778"/>
      <c r="AL93" s="1769"/>
      <c r="AM93" s="1769"/>
      <c r="AN93" s="1769"/>
      <c r="AO93" s="1769"/>
      <c r="AP93" s="1769"/>
      <c r="AQ93" s="1769"/>
      <c r="AR93" s="1769"/>
      <c r="AS93" s="1778"/>
      <c r="AT93" s="1769"/>
      <c r="AU93" s="1769"/>
      <c r="AV93" s="1769"/>
      <c r="AW93" s="1769"/>
      <c r="AX93" s="1769"/>
      <c r="AY93" s="1769"/>
      <c r="AZ93" s="1769"/>
      <c r="BA93" s="1769"/>
      <c r="BB93" s="1778"/>
      <c r="BC93" s="1769"/>
      <c r="BD93" s="1769"/>
      <c r="BE93" s="1769"/>
      <c r="BF93" s="1769"/>
      <c r="BG93" s="1769"/>
      <c r="BH93" s="1769"/>
      <c r="BI93" s="1769"/>
      <c r="BJ93" s="1769"/>
      <c r="BK93" s="1778"/>
      <c r="BL93" s="1780"/>
      <c r="BM93" s="1780"/>
      <c r="BN93" s="1780"/>
      <c r="BO93" s="1780"/>
      <c r="BP93" s="1780"/>
      <c r="BQ93" s="1780"/>
      <c r="BR93" s="1738"/>
      <c r="BS93" s="1738"/>
      <c r="BT93" s="1738"/>
    </row>
    <row r="94" spans="10:72" s="1744" customFormat="1" ht="22.5" customHeight="1">
      <c r="J94" s="1778"/>
      <c r="K94" s="1769"/>
      <c r="L94" s="1769"/>
      <c r="M94" s="1769"/>
      <c r="N94" s="1769"/>
      <c r="O94" s="1769"/>
      <c r="P94" s="1769"/>
      <c r="Q94" s="1769"/>
      <c r="R94" s="1778"/>
      <c r="S94" s="1769"/>
      <c r="T94" s="1769"/>
      <c r="U94" s="1769"/>
      <c r="V94" s="1769"/>
      <c r="W94" s="1769"/>
      <c r="X94" s="1769"/>
      <c r="Y94" s="1769"/>
      <c r="Z94" s="1778"/>
      <c r="AA94" s="1769"/>
      <c r="AB94" s="1769"/>
      <c r="AC94" s="1769"/>
      <c r="AD94" s="1769"/>
      <c r="AE94" s="1769"/>
      <c r="AF94" s="1769"/>
      <c r="AG94" s="1769"/>
      <c r="AH94" s="1769"/>
      <c r="AI94" s="1769"/>
      <c r="AJ94" s="1769"/>
      <c r="AK94" s="1778"/>
      <c r="AL94" s="1769"/>
      <c r="AM94" s="1769"/>
      <c r="AN94" s="1769"/>
      <c r="AO94" s="1769"/>
      <c r="AP94" s="1769"/>
      <c r="AQ94" s="1769"/>
      <c r="AR94" s="1769"/>
      <c r="AS94" s="1778"/>
      <c r="AT94" s="1769"/>
      <c r="AU94" s="1769"/>
      <c r="AV94" s="1769"/>
      <c r="AW94" s="1769"/>
      <c r="AX94" s="1769"/>
      <c r="AY94" s="1769"/>
      <c r="AZ94" s="1769"/>
      <c r="BA94" s="1769"/>
      <c r="BB94" s="1778"/>
      <c r="BC94" s="1769"/>
      <c r="BD94" s="1769"/>
      <c r="BE94" s="1769"/>
      <c r="BF94" s="1769"/>
      <c r="BG94" s="1769"/>
      <c r="BH94" s="1769"/>
      <c r="BI94" s="1769"/>
      <c r="BJ94" s="1769"/>
      <c r="BK94" s="1778"/>
      <c r="BL94" s="1777"/>
      <c r="BM94" s="1777"/>
      <c r="BN94" s="1777"/>
      <c r="BO94" s="1777"/>
      <c r="BP94" s="1777"/>
      <c r="BQ94" s="1777"/>
      <c r="BR94" s="1738"/>
      <c r="BS94" s="1738"/>
      <c r="BT94" s="1738"/>
    </row>
    <row r="95" spans="10:72" s="1744" customFormat="1" ht="22.5" customHeight="1">
      <c r="J95" s="1778"/>
      <c r="K95" s="1769"/>
      <c r="L95" s="1769"/>
      <c r="M95" s="1769"/>
      <c r="N95" s="1769"/>
      <c r="O95" s="1769"/>
      <c r="P95" s="1769"/>
      <c r="Q95" s="1769"/>
      <c r="R95" s="1778"/>
      <c r="S95" s="1769"/>
      <c r="T95" s="1769"/>
      <c r="U95" s="1769"/>
      <c r="V95" s="1769"/>
      <c r="W95" s="1769"/>
      <c r="X95" s="1769"/>
      <c r="Y95" s="1769"/>
      <c r="Z95" s="1778"/>
      <c r="AA95" s="1769"/>
      <c r="AB95" s="1769"/>
      <c r="AC95" s="1769"/>
      <c r="AD95" s="1769"/>
      <c r="AE95" s="1769"/>
      <c r="AF95" s="1769"/>
      <c r="AG95" s="1769"/>
      <c r="AH95" s="1769"/>
      <c r="AI95" s="1769"/>
      <c r="AJ95" s="1769"/>
      <c r="AK95" s="1778"/>
      <c r="AL95" s="1769"/>
      <c r="AM95" s="1769"/>
      <c r="AN95" s="1769"/>
      <c r="AO95" s="1769"/>
      <c r="AP95" s="1769"/>
      <c r="AQ95" s="1769"/>
      <c r="AR95" s="1769"/>
      <c r="AS95" s="1778"/>
      <c r="AT95" s="1769"/>
      <c r="AU95" s="1769"/>
      <c r="AV95" s="1769"/>
      <c r="AW95" s="1769"/>
      <c r="AX95" s="1769"/>
      <c r="AY95" s="1769"/>
      <c r="AZ95" s="1769"/>
      <c r="BA95" s="1769"/>
      <c r="BB95" s="1778"/>
      <c r="BC95" s="1769"/>
      <c r="BD95" s="1769"/>
      <c r="BE95" s="1769"/>
      <c r="BF95" s="1769"/>
      <c r="BG95" s="1769"/>
      <c r="BH95" s="1769"/>
      <c r="BI95" s="1769"/>
      <c r="BJ95" s="1769"/>
      <c r="BK95" s="1778"/>
      <c r="BL95" s="1777"/>
      <c r="BM95" s="1777"/>
      <c r="BN95" s="1777"/>
      <c r="BO95" s="1777"/>
      <c r="BP95" s="1777"/>
      <c r="BQ95" s="1777"/>
      <c r="BR95" s="1738"/>
      <c r="BS95" s="1738"/>
      <c r="BT95" s="1738"/>
    </row>
    <row r="96" spans="10:72" s="1744" customFormat="1" ht="22.5" customHeight="1">
      <c r="J96" s="1778"/>
      <c r="K96" s="1769"/>
      <c r="L96" s="1769"/>
      <c r="M96" s="1769"/>
      <c r="N96" s="1769"/>
      <c r="O96" s="1769"/>
      <c r="P96" s="1769"/>
      <c r="Q96" s="1769"/>
      <c r="R96" s="1778"/>
      <c r="S96" s="1769"/>
      <c r="T96" s="1769"/>
      <c r="U96" s="1769"/>
      <c r="V96" s="1769"/>
      <c r="W96" s="1769"/>
      <c r="X96" s="1769"/>
      <c r="Y96" s="1769"/>
      <c r="Z96" s="1778"/>
      <c r="AA96" s="1769"/>
      <c r="AB96" s="1769"/>
      <c r="AC96" s="1769"/>
      <c r="AD96" s="1769"/>
      <c r="AE96" s="1769"/>
      <c r="AF96" s="1769"/>
      <c r="AG96" s="1769"/>
      <c r="AH96" s="1769"/>
      <c r="AI96" s="1769"/>
      <c r="AJ96" s="1769"/>
      <c r="AK96" s="1778"/>
      <c r="AL96" s="1769"/>
      <c r="AM96" s="1769"/>
      <c r="AN96" s="1769"/>
      <c r="AO96" s="1769"/>
      <c r="AP96" s="1769"/>
      <c r="AQ96" s="1769"/>
      <c r="AR96" s="1769"/>
      <c r="AS96" s="1778"/>
      <c r="AT96" s="1769"/>
      <c r="AU96" s="1769"/>
      <c r="AV96" s="1769"/>
      <c r="AW96" s="1769"/>
      <c r="AX96" s="1769"/>
      <c r="AY96" s="1769"/>
      <c r="AZ96" s="1769"/>
      <c r="BA96" s="1769"/>
      <c r="BB96" s="1778"/>
      <c r="BC96" s="1769"/>
      <c r="BD96" s="1769"/>
      <c r="BE96" s="1769"/>
      <c r="BF96" s="1769"/>
      <c r="BG96" s="1769"/>
      <c r="BH96" s="1769"/>
      <c r="BI96" s="1769"/>
      <c r="BJ96" s="1769"/>
      <c r="BK96" s="1778"/>
      <c r="BL96" s="1777"/>
      <c r="BM96" s="1777"/>
      <c r="BN96" s="1777"/>
      <c r="BO96" s="1777"/>
      <c r="BP96" s="1777"/>
      <c r="BQ96" s="1777"/>
      <c r="BR96" s="1760"/>
      <c r="BS96" s="1760"/>
      <c r="BT96" s="1760"/>
    </row>
    <row r="97" spans="2:72" s="1744" customFormat="1" ht="22.5" customHeight="1">
      <c r="J97" s="1778"/>
      <c r="K97" s="1769"/>
      <c r="L97" s="1769"/>
      <c r="M97" s="1769"/>
      <c r="N97" s="1769"/>
      <c r="O97" s="1769"/>
      <c r="P97" s="1769"/>
      <c r="Q97" s="1769"/>
      <c r="R97" s="1778"/>
      <c r="S97" s="1769"/>
      <c r="T97" s="1769"/>
      <c r="U97" s="1769"/>
      <c r="V97" s="1769"/>
      <c r="W97" s="1769"/>
      <c r="X97" s="1769"/>
      <c r="Y97" s="1769"/>
      <c r="Z97" s="1778"/>
      <c r="AA97" s="1769"/>
      <c r="AB97" s="1769"/>
      <c r="AC97" s="1769"/>
      <c r="AD97" s="1769"/>
      <c r="AE97" s="1769"/>
      <c r="AF97" s="1769"/>
      <c r="AG97" s="1769"/>
      <c r="AH97" s="1769"/>
      <c r="AI97" s="1769"/>
      <c r="AJ97" s="1769"/>
      <c r="AK97" s="1778"/>
      <c r="AL97" s="1769"/>
      <c r="AM97" s="1769"/>
      <c r="AN97" s="1769"/>
      <c r="AO97" s="1769"/>
      <c r="AP97" s="1769"/>
      <c r="AQ97" s="1769"/>
      <c r="AR97" s="1769"/>
      <c r="AS97" s="1778"/>
      <c r="AT97" s="1769"/>
      <c r="AU97" s="1769"/>
      <c r="AV97" s="1769"/>
      <c r="AW97" s="1769"/>
      <c r="AX97" s="1769"/>
      <c r="AY97" s="1769"/>
      <c r="AZ97" s="1769"/>
      <c r="BA97" s="1769"/>
      <c r="BB97" s="1778"/>
      <c r="BC97" s="1769"/>
      <c r="BD97" s="1769"/>
      <c r="BE97" s="1769"/>
      <c r="BF97" s="1769"/>
      <c r="BG97" s="1769"/>
      <c r="BH97" s="1769"/>
      <c r="BI97" s="1769"/>
      <c r="BJ97" s="1769"/>
      <c r="BK97" s="1778"/>
      <c r="BL97" s="1777"/>
      <c r="BM97" s="1777"/>
      <c r="BN97" s="1777"/>
      <c r="BO97" s="1777"/>
      <c r="BP97" s="1777"/>
      <c r="BQ97" s="1777"/>
      <c r="BR97" s="1760"/>
      <c r="BS97" s="1760"/>
      <c r="BT97" s="1760"/>
    </row>
    <row r="98" spans="2:72" s="1744" customFormat="1" ht="22.5" customHeight="1">
      <c r="J98" s="1778"/>
      <c r="K98" s="1769"/>
      <c r="L98" s="1769"/>
      <c r="M98" s="1769"/>
      <c r="N98" s="1769"/>
      <c r="O98" s="1769"/>
      <c r="P98" s="1769"/>
      <c r="Q98" s="1769"/>
      <c r="R98" s="1778"/>
      <c r="S98" s="1769"/>
      <c r="T98" s="1769"/>
      <c r="U98" s="1769"/>
      <c r="V98" s="1769"/>
      <c r="W98" s="1769"/>
      <c r="X98" s="1769"/>
      <c r="Y98" s="1769"/>
      <c r="Z98" s="1778"/>
      <c r="AA98" s="1769"/>
      <c r="AB98" s="1769"/>
      <c r="AC98" s="1769"/>
      <c r="AD98" s="1769"/>
      <c r="AE98" s="1769"/>
      <c r="AF98" s="1769"/>
      <c r="AG98" s="1769"/>
      <c r="AH98" s="1769"/>
      <c r="AI98" s="1769"/>
      <c r="AJ98" s="1769"/>
      <c r="AK98" s="1778"/>
      <c r="AL98" s="1769"/>
      <c r="AM98" s="1769"/>
      <c r="AN98" s="1769"/>
      <c r="AO98" s="1769"/>
      <c r="AP98" s="1769"/>
      <c r="AQ98" s="1769"/>
      <c r="AR98" s="1769"/>
      <c r="AS98" s="1778"/>
      <c r="AT98" s="1769"/>
      <c r="AU98" s="1769"/>
      <c r="AV98" s="1769"/>
      <c r="AW98" s="1769"/>
      <c r="AX98" s="1769"/>
      <c r="AY98" s="1769"/>
      <c r="AZ98" s="1769"/>
      <c r="BA98" s="1769"/>
      <c r="BB98" s="1778"/>
      <c r="BC98" s="1769"/>
      <c r="BD98" s="1769"/>
      <c r="BE98" s="1769"/>
      <c r="BF98" s="1769"/>
      <c r="BG98" s="1769"/>
      <c r="BH98" s="1769"/>
      <c r="BI98" s="1769"/>
      <c r="BJ98" s="1769"/>
      <c r="BK98" s="1778"/>
      <c r="BL98" s="1777"/>
      <c r="BM98" s="1777"/>
      <c r="BN98" s="1777"/>
      <c r="BO98" s="1777"/>
      <c r="BP98" s="1777"/>
      <c r="BQ98" s="1777"/>
      <c r="BR98" s="1760"/>
      <c r="BS98" s="1760"/>
      <c r="BT98" s="1760"/>
    </row>
    <row r="99" spans="2:72" s="1744" customFormat="1" ht="22.5" customHeight="1">
      <c r="J99" s="1778"/>
      <c r="K99" s="1769"/>
      <c r="L99" s="1769"/>
      <c r="M99" s="1769"/>
      <c r="N99" s="1769"/>
      <c r="O99" s="1769"/>
      <c r="P99" s="1769"/>
      <c r="Q99" s="1769"/>
      <c r="R99" s="1778"/>
      <c r="S99" s="1769"/>
      <c r="T99" s="1769"/>
      <c r="U99" s="1769"/>
      <c r="V99" s="1769"/>
      <c r="W99" s="1769"/>
      <c r="X99" s="1769"/>
      <c r="Y99" s="1769"/>
      <c r="Z99" s="1778"/>
      <c r="AA99" s="1769"/>
      <c r="AB99" s="1769"/>
      <c r="AC99" s="1769"/>
      <c r="AD99" s="1769"/>
      <c r="AE99" s="1769"/>
      <c r="AF99" s="1769"/>
      <c r="AG99" s="1769"/>
      <c r="AH99" s="1769"/>
      <c r="AI99" s="1769"/>
      <c r="AJ99" s="1769"/>
      <c r="AK99" s="1778"/>
      <c r="AL99" s="1769"/>
      <c r="AM99" s="1769"/>
      <c r="AN99" s="1769"/>
      <c r="AO99" s="1769"/>
      <c r="AP99" s="1769"/>
      <c r="AQ99" s="1769"/>
      <c r="AR99" s="1769"/>
      <c r="AS99" s="1778"/>
      <c r="AT99" s="1769"/>
      <c r="AU99" s="1769"/>
      <c r="AV99" s="1769"/>
      <c r="AW99" s="1769"/>
      <c r="AX99" s="1769"/>
      <c r="AY99" s="1769"/>
      <c r="AZ99" s="1769"/>
      <c r="BA99" s="1769"/>
      <c r="BB99" s="1778"/>
      <c r="BC99" s="1769"/>
      <c r="BD99" s="1769"/>
      <c r="BE99" s="1769"/>
      <c r="BF99" s="1769"/>
      <c r="BG99" s="1769"/>
      <c r="BH99" s="1769"/>
      <c r="BI99" s="1769"/>
      <c r="BJ99" s="1769"/>
      <c r="BK99" s="1778"/>
      <c r="BL99" s="1777"/>
      <c r="BM99" s="1777"/>
      <c r="BN99" s="1777"/>
      <c r="BO99" s="1777"/>
      <c r="BP99" s="1777"/>
      <c r="BQ99" s="1777"/>
      <c r="BR99" s="1760"/>
      <c r="BS99" s="1760"/>
      <c r="BT99" s="1760"/>
    </row>
    <row r="100" spans="2:72" s="1744" customFormat="1" ht="22.5" customHeight="1">
      <c r="J100" s="1778"/>
      <c r="K100" s="1769"/>
      <c r="L100" s="1769"/>
      <c r="M100" s="1769"/>
      <c r="N100" s="1769"/>
      <c r="O100" s="1769"/>
      <c r="P100" s="1769"/>
      <c r="Q100" s="1769"/>
      <c r="R100" s="1778"/>
      <c r="S100" s="1769"/>
      <c r="T100" s="1769"/>
      <c r="U100" s="1769"/>
      <c r="V100" s="1769"/>
      <c r="W100" s="1769"/>
      <c r="X100" s="1769"/>
      <c r="Y100" s="1769"/>
      <c r="Z100" s="1778"/>
      <c r="AA100" s="1769"/>
      <c r="AB100" s="1769"/>
      <c r="AC100" s="1769"/>
      <c r="AD100" s="1769"/>
      <c r="AE100" s="1769"/>
      <c r="AF100" s="1769"/>
      <c r="AG100" s="1769"/>
      <c r="AH100" s="1769"/>
      <c r="AI100" s="1769"/>
      <c r="AJ100" s="1769"/>
      <c r="AK100" s="1778"/>
      <c r="AL100" s="1769"/>
      <c r="AM100" s="1769"/>
      <c r="AN100" s="1769"/>
      <c r="AO100" s="1769"/>
      <c r="AP100" s="1769"/>
      <c r="AQ100" s="1769"/>
      <c r="AR100" s="1769"/>
      <c r="AS100" s="1778"/>
      <c r="AT100" s="1769"/>
      <c r="AU100" s="1769"/>
      <c r="AV100" s="1769"/>
      <c r="AW100" s="1769"/>
      <c r="AX100" s="1769"/>
      <c r="AY100" s="1769"/>
      <c r="AZ100" s="1769"/>
      <c r="BA100" s="1769"/>
      <c r="BB100" s="1778"/>
      <c r="BC100" s="1769"/>
      <c r="BD100" s="1769"/>
      <c r="BE100" s="1769"/>
      <c r="BF100" s="1769"/>
      <c r="BG100" s="1779"/>
      <c r="BH100" s="1779"/>
      <c r="BI100" s="1769"/>
      <c r="BJ100" s="1769"/>
      <c r="BK100" s="1778"/>
      <c r="BL100" s="1779"/>
      <c r="BM100" s="1779"/>
      <c r="BN100" s="1779"/>
      <c r="BO100" s="1779"/>
      <c r="BP100" s="1779"/>
      <c r="BQ100" s="1779"/>
      <c r="BR100" s="1761"/>
      <c r="BS100" s="1761"/>
      <c r="BT100" s="1761"/>
    </row>
    <row r="101" spans="2:72" s="1744" customFormat="1" ht="22.5" customHeight="1">
      <c r="J101" s="1778"/>
      <c r="K101" s="1769"/>
      <c r="L101" s="1769"/>
      <c r="M101" s="1769"/>
      <c r="N101" s="1769"/>
      <c r="O101" s="1769"/>
      <c r="P101" s="1769"/>
      <c r="Q101" s="1769"/>
      <c r="R101" s="1778"/>
      <c r="S101" s="1769"/>
      <c r="T101" s="1769"/>
      <c r="U101" s="1769"/>
      <c r="V101" s="1769"/>
      <c r="W101" s="1769"/>
      <c r="X101" s="1769"/>
      <c r="Y101" s="1769"/>
      <c r="Z101" s="1778"/>
      <c r="AA101" s="1769"/>
      <c r="AB101" s="1769"/>
      <c r="AC101" s="1769"/>
      <c r="AD101" s="1769"/>
      <c r="AE101" s="1769"/>
      <c r="AF101" s="1769"/>
      <c r="AG101" s="1769"/>
      <c r="AH101" s="1769"/>
      <c r="AI101" s="1769"/>
      <c r="AJ101" s="1769"/>
      <c r="AK101" s="1778"/>
      <c r="AL101" s="1769"/>
      <c r="AM101" s="1769"/>
      <c r="AN101" s="1769"/>
      <c r="AO101" s="1769"/>
      <c r="AP101" s="1769"/>
      <c r="AQ101" s="1769"/>
      <c r="AR101" s="1769"/>
      <c r="AS101" s="1778"/>
      <c r="AT101" s="1769"/>
      <c r="AU101" s="1769"/>
      <c r="AV101" s="1769"/>
      <c r="AW101" s="1769"/>
      <c r="AX101" s="1769"/>
      <c r="AY101" s="1769"/>
      <c r="AZ101" s="1769"/>
      <c r="BA101" s="1755"/>
      <c r="BB101" s="1776"/>
      <c r="BC101" s="1755"/>
      <c r="BD101" s="1755"/>
      <c r="BE101" s="1755"/>
      <c r="BF101" s="1755"/>
      <c r="BG101" s="1755"/>
      <c r="BH101" s="1755"/>
      <c r="BI101" s="1755"/>
      <c r="BJ101" s="1769"/>
      <c r="BK101" s="1778"/>
      <c r="BL101" s="1779"/>
      <c r="BM101" s="1779"/>
      <c r="BN101" s="1779"/>
      <c r="BO101" s="1779"/>
      <c r="BP101" s="1779"/>
      <c r="BQ101" s="1779"/>
      <c r="BR101" s="1760"/>
      <c r="BS101" s="1760"/>
      <c r="BT101" s="1760"/>
    </row>
    <row r="102" spans="2:72" s="1744" customFormat="1" ht="22.5" customHeight="1">
      <c r="J102" s="1778"/>
      <c r="K102" s="1769"/>
      <c r="L102" s="1769"/>
      <c r="M102" s="1769"/>
      <c r="N102" s="1769"/>
      <c r="O102" s="1769"/>
      <c r="P102" s="1769"/>
      <c r="Q102" s="1769"/>
      <c r="R102" s="1778"/>
      <c r="S102" s="1769"/>
      <c r="T102" s="1769"/>
      <c r="U102" s="1769"/>
      <c r="V102" s="1769"/>
      <c r="W102" s="1769"/>
      <c r="X102" s="1769"/>
      <c r="Y102" s="1769"/>
      <c r="Z102" s="1778"/>
      <c r="AA102" s="1769"/>
      <c r="AB102" s="1769"/>
      <c r="AC102" s="1769"/>
      <c r="AD102" s="1769"/>
      <c r="AE102" s="1769"/>
      <c r="AF102" s="1769"/>
      <c r="AG102" s="1769"/>
      <c r="AH102" s="1769"/>
      <c r="AI102" s="1769"/>
      <c r="AJ102" s="1769"/>
      <c r="AK102" s="1778"/>
      <c r="AL102" s="1769"/>
      <c r="AM102" s="1769"/>
      <c r="AN102" s="1769"/>
      <c r="AO102" s="1769"/>
      <c r="AP102" s="1769"/>
      <c r="AQ102" s="1769"/>
      <c r="AR102" s="1769"/>
      <c r="AS102" s="1778"/>
      <c r="AT102" s="1769"/>
      <c r="AU102" s="1769"/>
      <c r="AV102" s="1769"/>
      <c r="AW102" s="1769"/>
      <c r="AX102" s="1769"/>
      <c r="AY102" s="1769"/>
      <c r="AZ102" s="1769"/>
      <c r="BA102" s="1780"/>
      <c r="BB102" s="1778"/>
      <c r="BC102" s="1780"/>
      <c r="BD102" s="1780"/>
      <c r="BE102" s="1780"/>
      <c r="BF102" s="1780"/>
      <c r="BG102" s="1780"/>
      <c r="BH102" s="1780"/>
      <c r="BI102" s="1780"/>
      <c r="BJ102" s="1769"/>
      <c r="BK102" s="1778"/>
      <c r="BL102" s="1779"/>
      <c r="BM102" s="1779"/>
      <c r="BN102" s="1779"/>
      <c r="BO102" s="1779"/>
      <c r="BP102" s="1779"/>
      <c r="BQ102" s="1779"/>
      <c r="BR102" s="1758"/>
      <c r="BS102" s="1758"/>
      <c r="BT102" s="1758"/>
    </row>
    <row r="103" spans="2:72" s="1744" customFormat="1" ht="22.5" customHeight="1">
      <c r="J103" s="1778"/>
      <c r="K103" s="1769"/>
      <c r="L103" s="1769"/>
      <c r="M103" s="1769"/>
      <c r="N103" s="1769"/>
      <c r="O103" s="1769"/>
      <c r="P103" s="1769"/>
      <c r="Q103" s="1769"/>
      <c r="R103" s="1778"/>
      <c r="S103" s="1769"/>
      <c r="T103" s="1769"/>
      <c r="U103" s="1769"/>
      <c r="V103" s="1769"/>
      <c r="W103" s="1769"/>
      <c r="X103" s="1769"/>
      <c r="Y103" s="1769"/>
      <c r="Z103" s="1778"/>
      <c r="AA103" s="1769"/>
      <c r="AB103" s="1769"/>
      <c r="AC103" s="1769"/>
      <c r="AD103" s="1769"/>
      <c r="AE103" s="1769"/>
      <c r="AF103" s="1769"/>
      <c r="AG103" s="1769"/>
      <c r="AH103" s="1769"/>
      <c r="AI103" s="1769"/>
      <c r="AJ103" s="1769"/>
      <c r="AK103" s="1778"/>
      <c r="AL103" s="1769"/>
      <c r="AM103" s="1769"/>
      <c r="AN103" s="1769"/>
      <c r="AO103" s="1769"/>
      <c r="AP103" s="1769"/>
      <c r="AQ103" s="1769"/>
      <c r="AR103" s="1769"/>
      <c r="AS103" s="1778"/>
      <c r="AT103" s="1755"/>
      <c r="AU103" s="1755"/>
      <c r="AV103" s="1755"/>
      <c r="AW103" s="1755"/>
      <c r="AX103" s="1755"/>
      <c r="AY103" s="1755"/>
      <c r="AZ103" s="1755"/>
      <c r="BA103" s="1780"/>
      <c r="BB103" s="1781"/>
      <c r="BC103" s="1780"/>
      <c r="BD103" s="1780"/>
      <c r="BE103" s="1780"/>
      <c r="BF103" s="1780"/>
      <c r="BG103" s="1780"/>
      <c r="BH103" s="1780"/>
      <c r="BI103" s="1780"/>
      <c r="BJ103" s="1769"/>
      <c r="BK103" s="1778"/>
      <c r="BL103" s="1779"/>
      <c r="BM103" s="1779"/>
      <c r="BN103" s="1779"/>
      <c r="BO103" s="1779"/>
      <c r="BP103" s="1779"/>
      <c r="BQ103" s="1779"/>
      <c r="BR103" s="1758"/>
      <c r="BS103" s="1758"/>
      <c r="BT103" s="1758"/>
    </row>
    <row r="104" spans="2:72" s="1744" customFormat="1" ht="22.5" customHeight="1">
      <c r="J104" s="1778"/>
      <c r="K104" s="1769"/>
      <c r="L104" s="1769"/>
      <c r="M104" s="1769"/>
      <c r="N104" s="1769"/>
      <c r="O104" s="1769"/>
      <c r="P104" s="1769"/>
      <c r="Q104" s="1769"/>
      <c r="R104" s="1778"/>
      <c r="S104" s="1769"/>
      <c r="T104" s="1769"/>
      <c r="U104" s="1769"/>
      <c r="V104" s="1769"/>
      <c r="W104" s="1769"/>
      <c r="X104" s="1769"/>
      <c r="Y104" s="1769"/>
      <c r="Z104" s="1778"/>
      <c r="AA104" s="1769"/>
      <c r="AB104" s="1769"/>
      <c r="AC104" s="1769"/>
      <c r="AD104" s="1769"/>
      <c r="AE104" s="1769"/>
      <c r="AF104" s="1769"/>
      <c r="AG104" s="1769"/>
      <c r="AH104" s="1769"/>
      <c r="AI104" s="1769"/>
      <c r="AJ104" s="1769"/>
      <c r="AK104" s="1778"/>
      <c r="AL104" s="1769"/>
      <c r="AM104" s="1769"/>
      <c r="AN104" s="1769"/>
      <c r="AO104" s="1769"/>
      <c r="AP104" s="1769"/>
      <c r="AQ104" s="1769"/>
      <c r="AR104" s="1769"/>
      <c r="AS104" s="1778"/>
      <c r="AT104" s="1780"/>
      <c r="AU104" s="1780"/>
      <c r="AV104" s="1780"/>
      <c r="AW104" s="1780"/>
      <c r="AX104" s="1780"/>
      <c r="AY104" s="1780"/>
      <c r="AZ104" s="1780"/>
      <c r="BA104" s="1777"/>
      <c r="BB104" s="1781"/>
      <c r="BC104" s="1777"/>
      <c r="BD104" s="1777"/>
      <c r="BE104" s="1777"/>
      <c r="BF104" s="1777"/>
      <c r="BG104" s="1777"/>
      <c r="BH104" s="1777"/>
      <c r="BI104" s="1777"/>
      <c r="BJ104" s="1755"/>
      <c r="BK104" s="1778"/>
      <c r="BL104" s="1783"/>
      <c r="BM104" s="1783"/>
      <c r="BN104" s="1783"/>
      <c r="BO104" s="1783"/>
      <c r="BP104" s="1783"/>
      <c r="BQ104" s="1783"/>
      <c r="BR104" s="1758"/>
      <c r="BS104" s="1758"/>
      <c r="BT104" s="1758"/>
    </row>
    <row r="105" spans="2:72" s="1744" customFormat="1" ht="22.5" customHeight="1">
      <c r="J105" s="1778"/>
      <c r="K105" s="1769"/>
      <c r="L105" s="1769"/>
      <c r="M105" s="1769"/>
      <c r="N105" s="1769"/>
      <c r="O105" s="1769"/>
      <c r="P105" s="1769"/>
      <c r="Q105" s="1769"/>
      <c r="R105" s="1778"/>
      <c r="S105" s="1769"/>
      <c r="T105" s="1769"/>
      <c r="U105" s="1769"/>
      <c r="V105" s="1769"/>
      <c r="W105" s="1769"/>
      <c r="X105" s="1769"/>
      <c r="Y105" s="1769"/>
      <c r="Z105" s="1778"/>
      <c r="AA105" s="1769"/>
      <c r="AB105" s="1769"/>
      <c r="AC105" s="1769"/>
      <c r="AD105" s="1769"/>
      <c r="AE105" s="1769"/>
      <c r="AF105" s="1769"/>
      <c r="AG105" s="1769"/>
      <c r="AH105" s="1769"/>
      <c r="AI105" s="1769"/>
      <c r="AJ105" s="1769"/>
      <c r="AK105" s="1778"/>
      <c r="AL105" s="1769"/>
      <c r="AM105" s="1769"/>
      <c r="AN105" s="1769"/>
      <c r="AO105" s="1769"/>
      <c r="AP105" s="1769"/>
      <c r="AQ105" s="1769"/>
      <c r="AR105" s="1769"/>
      <c r="AS105" s="1778"/>
      <c r="AT105" s="1780"/>
      <c r="AU105" s="1780"/>
      <c r="AV105" s="1780"/>
      <c r="AW105" s="1780"/>
      <c r="AX105" s="1780"/>
      <c r="AY105" s="1780"/>
      <c r="AZ105" s="1780"/>
      <c r="BA105" s="1777"/>
      <c r="BB105" s="1782"/>
      <c r="BC105" s="1777"/>
      <c r="BD105" s="1777"/>
      <c r="BE105" s="1777"/>
      <c r="BF105" s="1777"/>
      <c r="BG105" s="1777"/>
      <c r="BH105" s="1777"/>
      <c r="BI105" s="1777"/>
      <c r="BJ105" s="1780"/>
      <c r="BK105" s="1778"/>
      <c r="BL105" s="1779"/>
      <c r="BM105" s="1779"/>
      <c r="BN105" s="1779"/>
      <c r="BO105" s="1779"/>
      <c r="BP105" s="1779"/>
      <c r="BQ105" s="1779"/>
      <c r="BR105" s="1758"/>
      <c r="BS105" s="1758"/>
      <c r="BT105" s="1758"/>
    </row>
    <row r="106" spans="2:72" s="1744" customFormat="1" ht="22.5" customHeight="1">
      <c r="J106" s="1778"/>
      <c r="K106" s="1769"/>
      <c r="L106" s="1769"/>
      <c r="M106" s="1769"/>
      <c r="N106" s="1769"/>
      <c r="O106" s="1769"/>
      <c r="P106" s="1769"/>
      <c r="Q106" s="1769"/>
      <c r="R106" s="1778"/>
      <c r="S106" s="1769"/>
      <c r="T106" s="1769"/>
      <c r="U106" s="1769"/>
      <c r="V106" s="1769"/>
      <c r="W106" s="1769"/>
      <c r="X106" s="1769"/>
      <c r="Y106" s="1769"/>
      <c r="Z106" s="1778"/>
      <c r="AA106" s="1769"/>
      <c r="AB106" s="1769"/>
      <c r="AC106" s="1769"/>
      <c r="AD106" s="1769"/>
      <c r="AE106" s="1769"/>
      <c r="AF106" s="1769"/>
      <c r="AG106" s="1769"/>
      <c r="AH106" s="1769"/>
      <c r="AI106" s="1769"/>
      <c r="AJ106" s="1769"/>
      <c r="AK106" s="1778"/>
      <c r="AL106" s="1769"/>
      <c r="AM106" s="1769"/>
      <c r="AN106" s="1769"/>
      <c r="AO106" s="1769"/>
      <c r="AP106" s="1769"/>
      <c r="AQ106" s="1769"/>
      <c r="AR106" s="1769"/>
      <c r="AS106" s="1778"/>
      <c r="AT106" s="1777"/>
      <c r="AU106" s="1777"/>
      <c r="AV106" s="1777"/>
      <c r="AW106" s="1777"/>
      <c r="AX106" s="1777"/>
      <c r="AY106" s="1777"/>
      <c r="AZ106" s="1777"/>
      <c r="BA106" s="1777"/>
      <c r="BB106" s="1782"/>
      <c r="BC106" s="1777"/>
      <c r="BD106" s="1777"/>
      <c r="BE106" s="1777"/>
      <c r="BF106" s="1777"/>
      <c r="BG106" s="1777"/>
      <c r="BH106" s="1777"/>
      <c r="BI106" s="1777"/>
      <c r="BJ106" s="1780"/>
      <c r="BK106" s="1781"/>
      <c r="BL106" s="1780"/>
      <c r="BM106" s="1780"/>
      <c r="BN106" s="1780"/>
      <c r="BO106" s="1780"/>
      <c r="BP106" s="1780"/>
      <c r="BQ106" s="1780"/>
      <c r="BR106" s="1758"/>
      <c r="BS106" s="1758"/>
      <c r="BT106" s="1758"/>
    </row>
    <row r="107" spans="2:72" s="1744" customFormat="1" ht="22.5" customHeight="1">
      <c r="J107" s="1778"/>
      <c r="K107" s="1769"/>
      <c r="L107" s="1769"/>
      <c r="M107" s="1769"/>
      <c r="N107" s="1769"/>
      <c r="O107" s="1769"/>
      <c r="P107" s="1769"/>
      <c r="Q107" s="1769"/>
      <c r="R107" s="1778"/>
      <c r="S107" s="1769"/>
      <c r="T107" s="1769"/>
      <c r="U107" s="1769"/>
      <c r="V107" s="1769"/>
      <c r="W107" s="1769"/>
      <c r="X107" s="1769"/>
      <c r="Y107" s="1769"/>
      <c r="Z107" s="1778"/>
      <c r="AA107" s="1769"/>
      <c r="AB107" s="1769"/>
      <c r="AC107" s="1769"/>
      <c r="AD107" s="1769"/>
      <c r="AE107" s="1769"/>
      <c r="AF107" s="1769"/>
      <c r="AG107" s="1769"/>
      <c r="AH107" s="1769"/>
      <c r="AI107" s="1769"/>
      <c r="AJ107" s="1769"/>
      <c r="AK107" s="1778"/>
      <c r="AL107" s="1769"/>
      <c r="AM107" s="1769"/>
      <c r="AN107" s="1769"/>
      <c r="AO107" s="1769"/>
      <c r="AP107" s="1769"/>
      <c r="AQ107" s="1769"/>
      <c r="AR107" s="1769"/>
      <c r="AS107" s="1778"/>
      <c r="AT107" s="1777"/>
      <c r="AU107" s="1777"/>
      <c r="AV107" s="1777"/>
      <c r="AW107" s="1777"/>
      <c r="AX107" s="1777"/>
      <c r="AY107" s="1777"/>
      <c r="AZ107" s="1777"/>
      <c r="BA107" s="1777"/>
      <c r="BB107" s="1782"/>
      <c r="BC107" s="1777"/>
      <c r="BD107" s="1777"/>
      <c r="BE107" s="1777"/>
      <c r="BF107" s="1777"/>
      <c r="BG107" s="1777"/>
      <c r="BH107" s="1777"/>
      <c r="BI107" s="1777"/>
      <c r="BJ107" s="1777"/>
      <c r="BK107" s="1781"/>
      <c r="BL107" s="1780"/>
      <c r="BM107" s="1780"/>
      <c r="BN107" s="1780"/>
      <c r="BO107" s="1780"/>
      <c r="BP107" s="1780"/>
      <c r="BQ107" s="1780"/>
      <c r="BR107" s="1758"/>
      <c r="BS107" s="1758"/>
      <c r="BT107" s="1758"/>
    </row>
    <row r="108" spans="2:72" s="1744" customFormat="1" ht="22.5" customHeight="1">
      <c r="J108" s="1778"/>
      <c r="K108" s="1769"/>
      <c r="L108" s="1769"/>
      <c r="M108" s="1769"/>
      <c r="N108" s="1769"/>
      <c r="O108" s="1769"/>
      <c r="P108" s="1769"/>
      <c r="Q108" s="1769"/>
      <c r="R108" s="1778"/>
      <c r="S108" s="1769"/>
      <c r="T108" s="1769"/>
      <c r="U108" s="1769"/>
      <c r="V108" s="1769"/>
      <c r="W108" s="1769"/>
      <c r="X108" s="1769"/>
      <c r="Y108" s="1769"/>
      <c r="Z108" s="1778"/>
      <c r="AA108" s="1769"/>
      <c r="AB108" s="1769"/>
      <c r="AC108" s="1769"/>
      <c r="AD108" s="1769"/>
      <c r="AE108" s="1769"/>
      <c r="AF108" s="1769"/>
      <c r="AG108" s="1769"/>
      <c r="AH108" s="1769"/>
      <c r="AI108" s="1769"/>
      <c r="AJ108" s="1769"/>
      <c r="AK108" s="1778"/>
      <c r="AL108" s="1769"/>
      <c r="AM108" s="1769"/>
      <c r="AN108" s="1769"/>
      <c r="AO108" s="1769"/>
      <c r="AP108" s="1769"/>
      <c r="AQ108" s="1769"/>
      <c r="AR108" s="1769"/>
      <c r="AS108" s="1778"/>
      <c r="AT108" s="1777"/>
      <c r="AU108" s="1777"/>
      <c r="AV108" s="1777"/>
      <c r="AW108" s="1777"/>
      <c r="AX108" s="1777"/>
      <c r="AY108" s="1777"/>
      <c r="AZ108" s="1777"/>
      <c r="BA108" s="1777"/>
      <c r="BB108" s="1782"/>
      <c r="BC108" s="1777"/>
      <c r="BD108" s="1777"/>
      <c r="BE108" s="1777"/>
      <c r="BF108" s="1777"/>
      <c r="BG108" s="1777"/>
      <c r="BH108" s="1777"/>
      <c r="BI108" s="1777"/>
      <c r="BJ108" s="1777"/>
      <c r="BK108" s="1782"/>
      <c r="BL108" s="1780"/>
      <c r="BM108" s="1780"/>
      <c r="BN108" s="1780"/>
      <c r="BO108" s="1780"/>
      <c r="BP108" s="1780"/>
      <c r="BQ108" s="1780"/>
      <c r="BR108" s="1758"/>
      <c r="BS108" s="1758"/>
      <c r="BT108" s="1758"/>
    </row>
    <row r="109" spans="2:72" s="1744" customFormat="1" ht="22.5" customHeight="1">
      <c r="E109" s="1732"/>
      <c r="F109" s="1732"/>
      <c r="G109" s="1732"/>
      <c r="H109" s="1738"/>
      <c r="I109" s="1732"/>
      <c r="J109" s="1778"/>
      <c r="K109" s="1769"/>
      <c r="L109" s="1769"/>
      <c r="M109" s="1769"/>
      <c r="N109" s="1769"/>
      <c r="O109" s="1769"/>
      <c r="P109" s="1769"/>
      <c r="Q109" s="1769"/>
      <c r="R109" s="1778"/>
      <c r="S109" s="1769"/>
      <c r="T109" s="1769"/>
      <c r="U109" s="1769"/>
      <c r="V109" s="1769"/>
      <c r="W109" s="1769"/>
      <c r="X109" s="1769"/>
      <c r="Y109" s="1769"/>
      <c r="Z109" s="1778"/>
      <c r="AA109" s="1769"/>
      <c r="AB109" s="1769"/>
      <c r="AC109" s="1769"/>
      <c r="AD109" s="1769"/>
      <c r="AE109" s="1769"/>
      <c r="AF109" s="1769"/>
      <c r="AG109" s="1769"/>
      <c r="AH109" s="1769"/>
      <c r="AI109" s="1769"/>
      <c r="AJ109" s="1769"/>
      <c r="AK109" s="1778"/>
      <c r="AL109" s="1769"/>
      <c r="AM109" s="1769"/>
      <c r="AN109" s="1769"/>
      <c r="AO109" s="1769"/>
      <c r="AP109" s="1769"/>
      <c r="AQ109" s="1769"/>
      <c r="AR109" s="1769"/>
      <c r="AS109" s="1778"/>
      <c r="AT109" s="1777"/>
      <c r="AU109" s="1777"/>
      <c r="AV109" s="1777"/>
      <c r="AW109" s="1777"/>
      <c r="AX109" s="1777"/>
      <c r="AY109" s="1777"/>
      <c r="AZ109" s="1777"/>
      <c r="BA109" s="1777"/>
      <c r="BB109" s="1782"/>
      <c r="BC109" s="1777"/>
      <c r="BD109" s="1777"/>
      <c r="BE109" s="1777"/>
      <c r="BF109" s="1777"/>
      <c r="BG109" s="1777"/>
      <c r="BH109" s="1777"/>
      <c r="BI109" s="1777"/>
      <c r="BJ109" s="1777"/>
      <c r="BK109" s="1782"/>
      <c r="BL109" s="1780"/>
      <c r="BM109" s="1780"/>
      <c r="BN109" s="1780"/>
      <c r="BO109" s="1780"/>
      <c r="BP109" s="1780"/>
      <c r="BQ109" s="1780"/>
      <c r="BR109" s="1758"/>
      <c r="BS109" s="1758"/>
      <c r="BT109" s="1758"/>
    </row>
    <row r="110" spans="2:72" s="1744" customFormat="1" ht="22.5" customHeight="1">
      <c r="B110" s="1760"/>
      <c r="H110" s="1760"/>
      <c r="J110" s="1778"/>
      <c r="K110" s="1769"/>
      <c r="L110" s="1769"/>
      <c r="M110" s="1769"/>
      <c r="N110" s="1769"/>
      <c r="O110" s="1769"/>
      <c r="P110" s="1769"/>
      <c r="Q110" s="1769"/>
      <c r="R110" s="1778"/>
      <c r="S110" s="1769"/>
      <c r="T110" s="1769"/>
      <c r="U110" s="1769"/>
      <c r="V110" s="1769"/>
      <c r="W110" s="1769"/>
      <c r="X110" s="1769"/>
      <c r="Y110" s="1769"/>
      <c r="Z110" s="1778"/>
      <c r="AA110" s="1769"/>
      <c r="AB110" s="1769"/>
      <c r="AC110" s="1769"/>
      <c r="AD110" s="1769"/>
      <c r="AE110" s="1769"/>
      <c r="AF110" s="1769"/>
      <c r="AG110" s="1769"/>
      <c r="AH110" s="1769"/>
      <c r="AI110" s="1769"/>
      <c r="AJ110" s="1769"/>
      <c r="AK110" s="1776"/>
      <c r="AL110" s="1769"/>
      <c r="AM110" s="1769"/>
      <c r="AN110" s="1769"/>
      <c r="AO110" s="1769"/>
      <c r="AP110" s="1779"/>
      <c r="AQ110" s="1769"/>
      <c r="AR110" s="1769"/>
      <c r="AS110" s="1778"/>
      <c r="AT110" s="1777"/>
      <c r="AU110" s="1777"/>
      <c r="AV110" s="1777"/>
      <c r="AW110" s="1777"/>
      <c r="AX110" s="1777"/>
      <c r="AY110" s="1777"/>
      <c r="AZ110" s="1777"/>
      <c r="BA110" s="1779"/>
      <c r="BB110" s="1782"/>
      <c r="BC110" s="1779"/>
      <c r="BD110" s="1779"/>
      <c r="BE110" s="1779"/>
      <c r="BF110" s="1779"/>
      <c r="BG110" s="1779"/>
      <c r="BH110" s="1779"/>
      <c r="BI110" s="1779"/>
      <c r="BJ110" s="1777"/>
      <c r="BK110" s="1782"/>
      <c r="BL110" s="1780"/>
      <c r="BM110" s="1780"/>
      <c r="BN110" s="1780"/>
      <c r="BO110" s="1780"/>
      <c r="BP110" s="1780"/>
      <c r="BQ110" s="1780"/>
      <c r="BR110" s="1758"/>
      <c r="BS110" s="1758"/>
      <c r="BT110" s="1758"/>
    </row>
    <row r="111" spans="2:72" ht="22.5" customHeight="1">
      <c r="AT111" s="1777"/>
      <c r="AU111" s="1777"/>
      <c r="AV111" s="1777"/>
      <c r="AW111" s="1777"/>
      <c r="AX111" s="1777"/>
      <c r="AY111" s="1777"/>
      <c r="AZ111" s="1777"/>
      <c r="BA111" s="1779"/>
      <c r="BB111" s="1782"/>
      <c r="BC111" s="1779"/>
      <c r="BD111" s="1779"/>
      <c r="BE111" s="1779"/>
      <c r="BF111" s="1779"/>
      <c r="BG111" s="1779"/>
      <c r="BH111" s="1779"/>
      <c r="BI111" s="1779"/>
      <c r="BJ111" s="1777"/>
      <c r="BK111" s="1782"/>
      <c r="BL111" s="1780"/>
      <c r="BM111" s="1780"/>
      <c r="BN111" s="1780"/>
      <c r="BO111" s="1780"/>
      <c r="BP111" s="1780"/>
      <c r="BQ111" s="1780"/>
      <c r="BR111" s="1738"/>
      <c r="BS111" s="1738"/>
      <c r="BT111" s="1738"/>
    </row>
    <row r="112" spans="2:72" s="1758" customFormat="1" ht="22.5" customHeight="1">
      <c r="B112" s="1738"/>
      <c r="H112" s="1738"/>
      <c r="J112" s="1781"/>
      <c r="K112" s="1780"/>
      <c r="L112" s="1780"/>
      <c r="M112" s="1780"/>
      <c r="N112" s="1780"/>
      <c r="O112" s="1780"/>
      <c r="P112" s="1780"/>
      <c r="Q112" s="1780"/>
      <c r="R112" s="1781"/>
      <c r="S112" s="1780"/>
      <c r="T112" s="1780"/>
      <c r="U112" s="1780"/>
      <c r="V112" s="1780"/>
      <c r="W112" s="1780"/>
      <c r="X112" s="1780"/>
      <c r="Y112" s="1780"/>
      <c r="Z112" s="1781"/>
      <c r="AA112" s="1780"/>
      <c r="AB112" s="1780"/>
      <c r="AC112" s="1780"/>
      <c r="AD112" s="1780"/>
      <c r="AE112" s="1780"/>
      <c r="AF112" s="1780"/>
      <c r="AG112" s="1780"/>
      <c r="AH112" s="1780"/>
      <c r="AI112" s="1780"/>
      <c r="AJ112" s="1780"/>
      <c r="AK112" s="1781"/>
      <c r="AL112" s="1780"/>
      <c r="AM112" s="1780"/>
      <c r="AN112" s="1780"/>
      <c r="AO112" s="1780"/>
      <c r="AP112" s="1780"/>
      <c r="AQ112" s="1780"/>
      <c r="AR112" s="1780"/>
      <c r="AS112" s="1781"/>
      <c r="AT112" s="1779"/>
      <c r="AU112" s="1779"/>
      <c r="AV112" s="1779"/>
      <c r="AW112" s="1779"/>
      <c r="AX112" s="1779"/>
      <c r="AY112" s="1779"/>
      <c r="AZ112" s="1779"/>
      <c r="BA112" s="1779"/>
      <c r="BB112" s="1782"/>
      <c r="BC112" s="1779"/>
      <c r="BD112" s="1779"/>
      <c r="BE112" s="1779"/>
      <c r="BF112" s="1779"/>
      <c r="BG112" s="1779"/>
      <c r="BH112" s="1779"/>
      <c r="BI112" s="1779"/>
      <c r="BJ112" s="1777"/>
      <c r="BK112" s="1782"/>
      <c r="BL112" s="1780"/>
      <c r="BM112" s="1780"/>
      <c r="BN112" s="1780"/>
      <c r="BO112" s="1780"/>
      <c r="BP112" s="1780"/>
      <c r="BQ112" s="1780"/>
      <c r="BR112" s="1738"/>
      <c r="BS112" s="1738"/>
      <c r="BT112" s="1738"/>
    </row>
    <row r="113" spans="2:72" s="1758" customFormat="1" ht="22.5" customHeight="1">
      <c r="B113" s="1738"/>
      <c r="D113" s="1762"/>
      <c r="E113" s="1762"/>
      <c r="F113" s="1762"/>
      <c r="G113" s="1762"/>
      <c r="H113" s="1760"/>
      <c r="I113" s="1762"/>
      <c r="J113" s="1781"/>
      <c r="K113" s="1780"/>
      <c r="L113" s="1780"/>
      <c r="M113" s="1780"/>
      <c r="N113" s="1780"/>
      <c r="O113" s="1780"/>
      <c r="P113" s="1780"/>
      <c r="Q113" s="1780"/>
      <c r="R113" s="1781"/>
      <c r="S113" s="1780"/>
      <c r="T113" s="1780"/>
      <c r="U113" s="1780"/>
      <c r="V113" s="1780"/>
      <c r="W113" s="1780"/>
      <c r="X113" s="1780"/>
      <c r="Y113" s="1780"/>
      <c r="Z113" s="1781"/>
      <c r="AA113" s="1780"/>
      <c r="AB113" s="1780"/>
      <c r="AC113" s="1780"/>
      <c r="AD113" s="1780"/>
      <c r="AE113" s="1780"/>
      <c r="AF113" s="1780"/>
      <c r="AG113" s="1780"/>
      <c r="AH113" s="1780"/>
      <c r="AI113" s="1780"/>
      <c r="AJ113" s="1780"/>
      <c r="AK113" s="1781"/>
      <c r="AL113" s="1780"/>
      <c r="AM113" s="1780"/>
      <c r="AN113" s="1780"/>
      <c r="AO113" s="1780"/>
      <c r="AP113" s="1780"/>
      <c r="AQ113" s="1780"/>
      <c r="AR113" s="1780"/>
      <c r="AS113" s="1781"/>
      <c r="AT113" s="1779"/>
      <c r="AU113" s="1779"/>
      <c r="AV113" s="1779"/>
      <c r="AW113" s="1779"/>
      <c r="AX113" s="1779"/>
      <c r="AY113" s="1779"/>
      <c r="AZ113" s="1779"/>
      <c r="BA113" s="1779"/>
      <c r="BB113" s="1782"/>
      <c r="BC113" s="1779"/>
      <c r="BD113" s="1779"/>
      <c r="BE113" s="1779"/>
      <c r="BF113" s="1779"/>
      <c r="BG113" s="1779"/>
      <c r="BH113" s="1779"/>
      <c r="BI113" s="1779"/>
      <c r="BJ113" s="1779"/>
      <c r="BK113" s="1782"/>
      <c r="BL113" s="1780"/>
      <c r="BM113" s="1780"/>
      <c r="BN113" s="1780"/>
      <c r="BO113" s="1780"/>
      <c r="BP113" s="1780"/>
      <c r="BQ113" s="1780"/>
      <c r="BR113" s="1738"/>
      <c r="BS113" s="1738"/>
      <c r="BT113" s="1738"/>
    </row>
    <row r="114" spans="2:72" s="1738" customFormat="1" ht="22.5" customHeight="1">
      <c r="J114" s="1782"/>
      <c r="K114" s="1777"/>
      <c r="L114" s="1777"/>
      <c r="M114" s="1777"/>
      <c r="N114" s="1777"/>
      <c r="O114" s="1777"/>
      <c r="P114" s="1777"/>
      <c r="Q114" s="1777"/>
      <c r="R114" s="1782"/>
      <c r="S114" s="1777"/>
      <c r="T114" s="1777"/>
      <c r="U114" s="1777"/>
      <c r="V114" s="1777"/>
      <c r="W114" s="1777"/>
      <c r="X114" s="1777"/>
      <c r="Y114" s="1777"/>
      <c r="Z114" s="1782"/>
      <c r="AA114" s="1777"/>
      <c r="AB114" s="1777"/>
      <c r="AC114" s="1777"/>
      <c r="AD114" s="1777"/>
      <c r="AE114" s="1777"/>
      <c r="AF114" s="1777"/>
      <c r="AG114" s="1777"/>
      <c r="AH114" s="1777"/>
      <c r="AI114" s="1777"/>
      <c r="AJ114" s="1777"/>
      <c r="AK114" s="1782"/>
      <c r="AL114" s="1777"/>
      <c r="AM114" s="1777"/>
      <c r="AN114" s="1777"/>
      <c r="AO114" s="1777"/>
      <c r="AP114" s="1777"/>
      <c r="AQ114" s="1777"/>
      <c r="AR114" s="1777"/>
      <c r="AS114" s="1782"/>
      <c r="AT114" s="1779"/>
      <c r="AU114" s="1779"/>
      <c r="AV114" s="1779"/>
      <c r="AW114" s="1779"/>
      <c r="AX114" s="1779"/>
      <c r="AY114" s="1779"/>
      <c r="AZ114" s="1779"/>
      <c r="BA114" s="1783"/>
      <c r="BB114" s="1782"/>
      <c r="BC114" s="1783"/>
      <c r="BD114" s="1783"/>
      <c r="BE114" s="1783"/>
      <c r="BF114" s="1783"/>
      <c r="BG114" s="1783"/>
      <c r="BH114" s="1783"/>
      <c r="BI114" s="1783"/>
      <c r="BJ114" s="1779"/>
      <c r="BK114" s="1782"/>
      <c r="BL114" s="1780"/>
      <c r="BM114" s="1780"/>
      <c r="BN114" s="1780"/>
      <c r="BO114" s="1780"/>
      <c r="BP114" s="1780"/>
      <c r="BQ114" s="1780"/>
    </row>
    <row r="115" spans="2:72" s="1738" customFormat="1" ht="22.5" customHeight="1">
      <c r="J115" s="1782"/>
      <c r="K115" s="1777"/>
      <c r="L115" s="1777"/>
      <c r="M115" s="1777"/>
      <c r="N115" s="1777"/>
      <c r="O115" s="1777"/>
      <c r="P115" s="1777"/>
      <c r="Q115" s="1777"/>
      <c r="R115" s="1782"/>
      <c r="S115" s="1777"/>
      <c r="T115" s="1777"/>
      <c r="U115" s="1777"/>
      <c r="V115" s="1777"/>
      <c r="W115" s="1777"/>
      <c r="X115" s="1777"/>
      <c r="Y115" s="1777"/>
      <c r="Z115" s="1782"/>
      <c r="AA115" s="1777"/>
      <c r="AB115" s="1777"/>
      <c r="AC115" s="1777"/>
      <c r="AD115" s="1777"/>
      <c r="AE115" s="1777"/>
      <c r="AF115" s="1777"/>
      <c r="AG115" s="1777"/>
      <c r="AH115" s="1777"/>
      <c r="AI115" s="1777"/>
      <c r="AJ115" s="1777"/>
      <c r="AK115" s="1782"/>
      <c r="AL115" s="1777"/>
      <c r="AM115" s="1777"/>
      <c r="AN115" s="1777"/>
      <c r="AO115" s="1777"/>
      <c r="AP115" s="1777"/>
      <c r="AQ115" s="1777"/>
      <c r="AR115" s="1777"/>
      <c r="AS115" s="1782"/>
      <c r="AT115" s="1779"/>
      <c r="AU115" s="1779"/>
      <c r="AV115" s="1779"/>
      <c r="AW115" s="1779"/>
      <c r="AX115" s="1779"/>
      <c r="AY115" s="1779"/>
      <c r="AZ115" s="1779"/>
      <c r="BA115" s="1779"/>
      <c r="BB115" s="1784"/>
      <c r="BC115" s="1779"/>
      <c r="BD115" s="1779"/>
      <c r="BE115" s="1779"/>
      <c r="BF115" s="1779"/>
      <c r="BG115" s="1779"/>
      <c r="BH115" s="1779"/>
      <c r="BI115" s="1779"/>
      <c r="BJ115" s="1779"/>
      <c r="BK115" s="1782"/>
      <c r="BL115" s="1777"/>
      <c r="BM115" s="1777"/>
      <c r="BN115" s="1777"/>
      <c r="BO115" s="1777"/>
      <c r="BP115" s="1777"/>
      <c r="BQ115" s="1777"/>
    </row>
    <row r="116" spans="2:72" s="1738" customFormat="1" ht="22.5" customHeight="1">
      <c r="J116" s="1782"/>
      <c r="K116" s="1777"/>
      <c r="L116" s="1777"/>
      <c r="M116" s="1777"/>
      <c r="N116" s="1777"/>
      <c r="O116" s="1777"/>
      <c r="P116" s="1777"/>
      <c r="Q116" s="1777"/>
      <c r="R116" s="1782"/>
      <c r="S116" s="1777"/>
      <c r="T116" s="1777"/>
      <c r="U116" s="1777"/>
      <c r="V116" s="1777"/>
      <c r="W116" s="1777"/>
      <c r="X116" s="1777"/>
      <c r="Y116" s="1777"/>
      <c r="Z116" s="1782"/>
      <c r="AA116" s="1777"/>
      <c r="AB116" s="1777"/>
      <c r="AC116" s="1777"/>
      <c r="AD116" s="1777"/>
      <c r="AE116" s="1777"/>
      <c r="AF116" s="1777"/>
      <c r="AG116" s="1777"/>
      <c r="AH116" s="1777"/>
      <c r="AI116" s="1777"/>
      <c r="AJ116" s="1777"/>
      <c r="AK116" s="1782"/>
      <c r="AL116" s="1777"/>
      <c r="AM116" s="1777"/>
      <c r="AN116" s="1777"/>
      <c r="AO116" s="1777"/>
      <c r="AP116" s="1777"/>
      <c r="AQ116" s="1777"/>
      <c r="AR116" s="1777"/>
      <c r="AS116" s="1782"/>
      <c r="AT116" s="1783"/>
      <c r="AU116" s="1783"/>
      <c r="AV116" s="1783"/>
      <c r="AW116" s="1783"/>
      <c r="AX116" s="1783"/>
      <c r="AY116" s="1783"/>
      <c r="AZ116" s="1783"/>
      <c r="BA116" s="1780"/>
      <c r="BB116" s="1782"/>
      <c r="BC116" s="1780"/>
      <c r="BD116" s="1780"/>
      <c r="BE116" s="1780"/>
      <c r="BF116" s="1780"/>
      <c r="BG116" s="1780"/>
      <c r="BH116" s="1780"/>
      <c r="BI116" s="1780"/>
      <c r="BJ116" s="1779"/>
      <c r="BK116" s="1782"/>
      <c r="BL116" s="1777"/>
      <c r="BM116" s="1777"/>
      <c r="BN116" s="1777"/>
      <c r="BO116" s="1777"/>
      <c r="BP116" s="1777"/>
      <c r="BQ116" s="1777"/>
    </row>
    <row r="117" spans="2:72" s="1738" customFormat="1" ht="22.5" customHeight="1">
      <c r="J117" s="1782"/>
      <c r="K117" s="1777"/>
      <c r="L117" s="1777"/>
      <c r="M117" s="1777"/>
      <c r="N117" s="1777"/>
      <c r="O117" s="1777"/>
      <c r="P117" s="1777"/>
      <c r="Q117" s="1777"/>
      <c r="R117" s="1782"/>
      <c r="S117" s="1777"/>
      <c r="T117" s="1777"/>
      <c r="U117" s="1777"/>
      <c r="V117" s="1777"/>
      <c r="W117" s="1777"/>
      <c r="X117" s="1777"/>
      <c r="Y117" s="1777"/>
      <c r="Z117" s="1782"/>
      <c r="AA117" s="1777"/>
      <c r="AB117" s="1777"/>
      <c r="AC117" s="1777"/>
      <c r="AD117" s="1777"/>
      <c r="AE117" s="1777"/>
      <c r="AF117" s="1777"/>
      <c r="AG117" s="1777"/>
      <c r="AH117" s="1777"/>
      <c r="AI117" s="1777"/>
      <c r="AJ117" s="1777"/>
      <c r="AK117" s="1782"/>
      <c r="AL117" s="1777"/>
      <c r="AM117" s="1777"/>
      <c r="AN117" s="1777"/>
      <c r="AO117" s="1777"/>
      <c r="AP117" s="1777"/>
      <c r="AQ117" s="1777"/>
      <c r="AR117" s="1777"/>
      <c r="AS117" s="1782"/>
      <c r="AT117" s="1779"/>
      <c r="AU117" s="1779"/>
      <c r="AV117" s="1779"/>
      <c r="AW117" s="1779"/>
      <c r="AX117" s="1779"/>
      <c r="AY117" s="1779"/>
      <c r="AZ117" s="1779"/>
      <c r="BA117" s="1780"/>
      <c r="BB117" s="1781"/>
      <c r="BC117" s="1780"/>
      <c r="BD117" s="1780"/>
      <c r="BE117" s="1780"/>
      <c r="BF117" s="1780"/>
      <c r="BG117" s="1780"/>
      <c r="BH117" s="1780"/>
      <c r="BI117" s="1780"/>
      <c r="BJ117" s="1783"/>
      <c r="BK117" s="1782"/>
      <c r="BL117" s="1777"/>
      <c r="BM117" s="1777"/>
      <c r="BN117" s="1777"/>
      <c r="BO117" s="1777"/>
      <c r="BP117" s="1777"/>
      <c r="BQ117" s="1777"/>
    </row>
    <row r="118" spans="2:72" s="1738" customFormat="1" ht="22.5" customHeight="1">
      <c r="J118" s="1782"/>
      <c r="K118" s="1777"/>
      <c r="L118" s="1777"/>
      <c r="M118" s="1777"/>
      <c r="N118" s="1777"/>
      <c r="O118" s="1777"/>
      <c r="P118" s="1777"/>
      <c r="Q118" s="1777"/>
      <c r="R118" s="1782"/>
      <c r="S118" s="1777"/>
      <c r="T118" s="1777"/>
      <c r="U118" s="1777"/>
      <c r="V118" s="1777"/>
      <c r="W118" s="1777"/>
      <c r="X118" s="1777"/>
      <c r="Y118" s="1777"/>
      <c r="Z118" s="1782"/>
      <c r="AA118" s="1777"/>
      <c r="AB118" s="1777"/>
      <c r="AC118" s="1777"/>
      <c r="AD118" s="1777"/>
      <c r="AE118" s="1777"/>
      <c r="AF118" s="1777"/>
      <c r="AG118" s="1777"/>
      <c r="AH118" s="1777"/>
      <c r="AI118" s="1777"/>
      <c r="AJ118" s="1777"/>
      <c r="AK118" s="1782"/>
      <c r="AL118" s="1777"/>
      <c r="AM118" s="1777"/>
      <c r="AN118" s="1777"/>
      <c r="AO118" s="1777"/>
      <c r="AP118" s="1777"/>
      <c r="AQ118" s="1777"/>
      <c r="AR118" s="1777"/>
      <c r="AS118" s="1782"/>
      <c r="AT118" s="1780"/>
      <c r="AU118" s="1780"/>
      <c r="AV118" s="1780"/>
      <c r="AW118" s="1780"/>
      <c r="AX118" s="1780"/>
      <c r="AY118" s="1780"/>
      <c r="AZ118" s="1780"/>
      <c r="BA118" s="1780"/>
      <c r="BB118" s="1781"/>
      <c r="BC118" s="1780"/>
      <c r="BD118" s="1780"/>
      <c r="BE118" s="1780"/>
      <c r="BF118" s="1780"/>
      <c r="BG118" s="1780"/>
      <c r="BH118" s="1780"/>
      <c r="BI118" s="1780"/>
      <c r="BJ118" s="1779"/>
      <c r="BK118" s="1784"/>
      <c r="BL118" s="1777"/>
      <c r="BM118" s="1777"/>
      <c r="BN118" s="1777"/>
      <c r="BO118" s="1777"/>
      <c r="BP118" s="1777"/>
      <c r="BQ118" s="1777"/>
    </row>
    <row r="119" spans="2:72" s="1738" customFormat="1" ht="22.5" customHeight="1">
      <c r="J119" s="1782"/>
      <c r="K119" s="1777"/>
      <c r="L119" s="1777"/>
      <c r="M119" s="1777"/>
      <c r="N119" s="1777"/>
      <c r="O119" s="1777"/>
      <c r="P119" s="1777"/>
      <c r="Q119" s="1777"/>
      <c r="R119" s="1782"/>
      <c r="S119" s="1777"/>
      <c r="T119" s="1777"/>
      <c r="U119" s="1777"/>
      <c r="V119" s="1777"/>
      <c r="W119" s="1777"/>
      <c r="X119" s="1777"/>
      <c r="Y119" s="1777"/>
      <c r="Z119" s="1782"/>
      <c r="AA119" s="1777"/>
      <c r="AB119" s="1777"/>
      <c r="AC119" s="1777"/>
      <c r="AD119" s="1777"/>
      <c r="AE119" s="1777"/>
      <c r="AF119" s="1777"/>
      <c r="AG119" s="1777"/>
      <c r="AH119" s="1777"/>
      <c r="AI119" s="1777"/>
      <c r="AJ119" s="1777"/>
      <c r="AK119" s="1782"/>
      <c r="AL119" s="1777"/>
      <c r="AM119" s="1777"/>
      <c r="AN119" s="1777"/>
      <c r="AO119" s="1777"/>
      <c r="AP119" s="1777"/>
      <c r="AQ119" s="1777"/>
      <c r="AR119" s="1777"/>
      <c r="AS119" s="1782"/>
      <c r="AT119" s="1780"/>
      <c r="AU119" s="1780"/>
      <c r="AV119" s="1780"/>
      <c r="AW119" s="1780"/>
      <c r="AX119" s="1780"/>
      <c r="AY119" s="1780"/>
      <c r="AZ119" s="1780"/>
      <c r="BA119" s="1780"/>
      <c r="BB119" s="1781"/>
      <c r="BC119" s="1780"/>
      <c r="BD119" s="1780"/>
      <c r="BE119" s="1780"/>
      <c r="BF119" s="1780"/>
      <c r="BG119" s="1780"/>
      <c r="BH119" s="1780"/>
      <c r="BI119" s="1780"/>
      <c r="BJ119" s="1780"/>
      <c r="BK119" s="1782"/>
      <c r="BL119" s="1777"/>
      <c r="BM119" s="1777"/>
      <c r="BN119" s="1777"/>
      <c r="BO119" s="1777"/>
      <c r="BP119" s="1777"/>
      <c r="BQ119" s="1777"/>
    </row>
    <row r="120" spans="2:72" s="1760" customFormat="1" ht="22.5" customHeight="1">
      <c r="J120" s="1782"/>
      <c r="K120" s="1779"/>
      <c r="L120" s="1779"/>
      <c r="M120" s="1779"/>
      <c r="N120" s="1779"/>
      <c r="O120" s="1779"/>
      <c r="P120" s="1779"/>
      <c r="Q120" s="1779"/>
      <c r="R120" s="1782"/>
      <c r="S120" s="1779"/>
      <c r="T120" s="1779"/>
      <c r="U120" s="1779"/>
      <c r="V120" s="1779"/>
      <c r="W120" s="1779"/>
      <c r="X120" s="1779"/>
      <c r="Y120" s="1779"/>
      <c r="Z120" s="1782"/>
      <c r="AA120" s="1779"/>
      <c r="AB120" s="1779"/>
      <c r="AC120" s="1779"/>
      <c r="AD120" s="1779"/>
      <c r="AE120" s="1779"/>
      <c r="AF120" s="1779"/>
      <c r="AG120" s="1779"/>
      <c r="AH120" s="1779"/>
      <c r="AI120" s="1779"/>
      <c r="AJ120" s="1779"/>
      <c r="AK120" s="1782"/>
      <c r="AL120" s="1779"/>
      <c r="AM120" s="1779"/>
      <c r="AN120" s="1779"/>
      <c r="AO120" s="1779"/>
      <c r="AP120" s="1779"/>
      <c r="AQ120" s="1779"/>
      <c r="AR120" s="1779"/>
      <c r="AS120" s="1782"/>
      <c r="AT120" s="1780"/>
      <c r="AU120" s="1780"/>
      <c r="AV120" s="1780"/>
      <c r="AW120" s="1780"/>
      <c r="AX120" s="1780"/>
      <c r="AY120" s="1780"/>
      <c r="AZ120" s="1780"/>
      <c r="BA120" s="1780"/>
      <c r="BB120" s="1781"/>
      <c r="BC120" s="1780"/>
      <c r="BD120" s="1780"/>
      <c r="BE120" s="1780"/>
      <c r="BF120" s="1780"/>
      <c r="BG120" s="1780"/>
      <c r="BH120" s="1780"/>
      <c r="BI120" s="1780"/>
      <c r="BJ120" s="1780"/>
      <c r="BK120" s="1781"/>
      <c r="BL120" s="1777"/>
      <c r="BM120" s="1777"/>
      <c r="BN120" s="1777"/>
      <c r="BO120" s="1777"/>
      <c r="BP120" s="1777"/>
      <c r="BQ120" s="1777"/>
      <c r="BR120" s="1738"/>
      <c r="BS120" s="1738"/>
      <c r="BT120" s="1738"/>
    </row>
    <row r="121" spans="2:72" s="1760" customFormat="1" ht="22.5" customHeight="1">
      <c r="J121" s="1782"/>
      <c r="K121" s="1779"/>
      <c r="L121" s="1779"/>
      <c r="M121" s="1779"/>
      <c r="N121" s="1779"/>
      <c r="O121" s="1779"/>
      <c r="P121" s="1779"/>
      <c r="Q121" s="1779"/>
      <c r="R121" s="1776"/>
      <c r="S121" s="1779"/>
      <c r="T121" s="1779"/>
      <c r="U121" s="1779"/>
      <c r="V121" s="1779"/>
      <c r="W121" s="1779"/>
      <c r="X121" s="1779"/>
      <c r="Y121" s="1779"/>
      <c r="Z121" s="1782"/>
      <c r="AA121" s="1779"/>
      <c r="AB121" s="1779"/>
      <c r="AC121" s="1779"/>
      <c r="AD121" s="1779"/>
      <c r="AE121" s="1779"/>
      <c r="AF121" s="1779"/>
      <c r="AG121" s="1779"/>
      <c r="AH121" s="1779"/>
      <c r="AI121" s="1779"/>
      <c r="AJ121" s="1779"/>
      <c r="AK121" s="1782"/>
      <c r="AL121" s="1779"/>
      <c r="AM121" s="1779"/>
      <c r="AN121" s="1779"/>
      <c r="AO121" s="1779"/>
      <c r="AP121" s="1779"/>
      <c r="AQ121" s="1779"/>
      <c r="AR121" s="1779"/>
      <c r="AS121" s="1782"/>
      <c r="AT121" s="1780"/>
      <c r="AU121" s="1780"/>
      <c r="AV121" s="1780"/>
      <c r="AW121" s="1780"/>
      <c r="AX121" s="1780"/>
      <c r="AY121" s="1780"/>
      <c r="AZ121" s="1780"/>
      <c r="BA121" s="1780"/>
      <c r="BB121" s="1781"/>
      <c r="BC121" s="1780"/>
      <c r="BD121" s="1780"/>
      <c r="BE121" s="1780"/>
      <c r="BF121" s="1780"/>
      <c r="BG121" s="1780"/>
      <c r="BH121" s="1780"/>
      <c r="BI121" s="1780"/>
      <c r="BJ121" s="1780"/>
      <c r="BK121" s="1781"/>
      <c r="BL121" s="1777"/>
      <c r="BM121" s="1777"/>
      <c r="BN121" s="1777"/>
      <c r="BO121" s="1777"/>
      <c r="BP121" s="1777"/>
      <c r="BQ121" s="1777"/>
      <c r="BR121" s="1738"/>
      <c r="BS121" s="1738"/>
      <c r="BT121" s="1738"/>
    </row>
    <row r="122" spans="2:72" s="1760" customFormat="1" ht="22.5" customHeight="1">
      <c r="J122" s="1782"/>
      <c r="K122" s="1779"/>
      <c r="L122" s="1779"/>
      <c r="M122" s="1779"/>
      <c r="N122" s="1779"/>
      <c r="O122" s="1779"/>
      <c r="P122" s="1779"/>
      <c r="Q122" s="1779"/>
      <c r="R122" s="1776"/>
      <c r="S122" s="1779"/>
      <c r="T122" s="1779"/>
      <c r="U122" s="1779"/>
      <c r="V122" s="1779"/>
      <c r="W122" s="1779"/>
      <c r="X122" s="1779"/>
      <c r="Y122" s="1779"/>
      <c r="Z122" s="1782"/>
      <c r="AA122" s="1779"/>
      <c r="AB122" s="1779"/>
      <c r="AC122" s="1779"/>
      <c r="AD122" s="1779"/>
      <c r="AE122" s="1779"/>
      <c r="AF122" s="1779"/>
      <c r="AG122" s="1779"/>
      <c r="AH122" s="1779"/>
      <c r="AI122" s="1779"/>
      <c r="AJ122" s="1779"/>
      <c r="AK122" s="1782"/>
      <c r="AL122" s="1779"/>
      <c r="AM122" s="1779"/>
      <c r="AN122" s="1779"/>
      <c r="AO122" s="1779"/>
      <c r="AP122" s="1779"/>
      <c r="AQ122" s="1779"/>
      <c r="AR122" s="1779"/>
      <c r="AS122" s="1782"/>
      <c r="AT122" s="1780"/>
      <c r="AU122" s="1780"/>
      <c r="AV122" s="1780"/>
      <c r="AW122" s="1780"/>
      <c r="AX122" s="1780"/>
      <c r="AY122" s="1780"/>
      <c r="AZ122" s="1780"/>
      <c r="BA122" s="1780"/>
      <c r="BB122" s="1781"/>
      <c r="BC122" s="1780"/>
      <c r="BD122" s="1780"/>
      <c r="BE122" s="1780"/>
      <c r="BF122" s="1780"/>
      <c r="BG122" s="1780"/>
      <c r="BH122" s="1780"/>
      <c r="BI122" s="1780"/>
      <c r="BJ122" s="1780"/>
      <c r="BK122" s="1781"/>
      <c r="BL122" s="1777"/>
      <c r="BM122" s="1777"/>
      <c r="BN122" s="1777"/>
      <c r="BO122" s="1777"/>
      <c r="BP122" s="1777"/>
      <c r="BQ122" s="1777"/>
      <c r="BR122" s="1738"/>
      <c r="BS122" s="1738"/>
      <c r="BT122" s="1738"/>
    </row>
    <row r="123" spans="2:72" s="1760" customFormat="1" ht="22.5" customHeight="1">
      <c r="J123" s="1782"/>
      <c r="K123" s="1779"/>
      <c r="L123" s="1779"/>
      <c r="M123" s="1779"/>
      <c r="N123" s="1779"/>
      <c r="O123" s="1779"/>
      <c r="P123" s="1779"/>
      <c r="Q123" s="1779"/>
      <c r="R123" s="1776"/>
      <c r="S123" s="1779"/>
      <c r="T123" s="1779"/>
      <c r="U123" s="1779"/>
      <c r="V123" s="1779"/>
      <c r="W123" s="1779"/>
      <c r="X123" s="1779"/>
      <c r="Y123" s="1779"/>
      <c r="Z123" s="1782"/>
      <c r="AA123" s="1779"/>
      <c r="AB123" s="1779"/>
      <c r="AC123" s="1779"/>
      <c r="AD123" s="1779"/>
      <c r="AE123" s="1779"/>
      <c r="AF123" s="1779"/>
      <c r="AG123" s="1779"/>
      <c r="AH123" s="1779"/>
      <c r="AI123" s="1779"/>
      <c r="AJ123" s="1779"/>
      <c r="AK123" s="1782"/>
      <c r="AL123" s="1779"/>
      <c r="AM123" s="1779"/>
      <c r="AN123" s="1779"/>
      <c r="AO123" s="1779"/>
      <c r="AP123" s="1779"/>
      <c r="AQ123" s="1779"/>
      <c r="AR123" s="1779"/>
      <c r="AS123" s="1782"/>
      <c r="AT123" s="1780"/>
      <c r="AU123" s="1780"/>
      <c r="AV123" s="1780"/>
      <c r="AW123" s="1780"/>
      <c r="AX123" s="1780"/>
      <c r="AY123" s="1780"/>
      <c r="AZ123" s="1780"/>
      <c r="BA123" s="1780"/>
      <c r="BB123" s="1781"/>
      <c r="BC123" s="1780"/>
      <c r="BD123" s="1780"/>
      <c r="BE123" s="1780"/>
      <c r="BF123" s="1780"/>
      <c r="BG123" s="1780"/>
      <c r="BH123" s="1780"/>
      <c r="BI123" s="1780"/>
      <c r="BJ123" s="1780"/>
      <c r="BK123" s="1781"/>
      <c r="BL123" s="1777"/>
      <c r="BM123" s="1777"/>
      <c r="BN123" s="1777"/>
      <c r="BO123" s="1777"/>
      <c r="BP123" s="1777"/>
      <c r="BQ123" s="1777"/>
      <c r="BR123" s="1738"/>
      <c r="BS123" s="1738"/>
      <c r="BT123" s="1738"/>
    </row>
    <row r="124" spans="2:72" s="1761" customFormat="1" ht="22.5" customHeight="1">
      <c r="J124" s="1784"/>
      <c r="K124" s="1783"/>
      <c r="L124" s="1783"/>
      <c r="M124" s="1783"/>
      <c r="N124" s="1783"/>
      <c r="O124" s="1783"/>
      <c r="P124" s="1783"/>
      <c r="Q124" s="1783"/>
      <c r="R124" s="1775"/>
      <c r="S124" s="1783"/>
      <c r="T124" s="1783"/>
      <c r="U124" s="1783"/>
      <c r="V124" s="1783"/>
      <c r="W124" s="1783"/>
      <c r="X124" s="1783"/>
      <c r="Y124" s="1783"/>
      <c r="Z124" s="1784"/>
      <c r="AA124" s="1783"/>
      <c r="AB124" s="1783"/>
      <c r="AC124" s="1783"/>
      <c r="AD124" s="1783"/>
      <c r="AE124" s="1783"/>
      <c r="AF124" s="1783"/>
      <c r="AG124" s="1783"/>
      <c r="AH124" s="1783"/>
      <c r="AI124" s="1783"/>
      <c r="AJ124" s="1783"/>
      <c r="AK124" s="1784"/>
      <c r="AL124" s="1783"/>
      <c r="AM124" s="1783"/>
      <c r="AN124" s="1783"/>
      <c r="AO124" s="1783"/>
      <c r="AP124" s="1783"/>
      <c r="AQ124" s="1783"/>
      <c r="AR124" s="1783"/>
      <c r="AS124" s="1784"/>
      <c r="AT124" s="1780"/>
      <c r="AU124" s="1780"/>
      <c r="AV124" s="1780"/>
      <c r="AW124" s="1780"/>
      <c r="AX124" s="1780"/>
      <c r="AY124" s="1780"/>
      <c r="AZ124" s="1780"/>
      <c r="BA124" s="1780"/>
      <c r="BB124" s="1781"/>
      <c r="BC124" s="1780"/>
      <c r="BD124" s="1780"/>
      <c r="BE124" s="1780"/>
      <c r="BF124" s="1780"/>
      <c r="BG124" s="1780"/>
      <c r="BH124" s="1780"/>
      <c r="BI124" s="1780"/>
      <c r="BJ124" s="1780"/>
      <c r="BK124" s="1781"/>
      <c r="BL124" s="1777"/>
      <c r="BM124" s="1777"/>
      <c r="BN124" s="1777"/>
      <c r="BO124" s="1777"/>
      <c r="BP124" s="1777"/>
      <c r="BQ124" s="1777"/>
      <c r="BR124" s="1738"/>
      <c r="BS124" s="1738"/>
      <c r="BT124" s="1738"/>
    </row>
    <row r="125" spans="2:72" s="1760" customFormat="1" ht="22.5" customHeight="1">
      <c r="J125" s="1782"/>
      <c r="K125" s="1779"/>
      <c r="L125" s="1779"/>
      <c r="M125" s="1779"/>
      <c r="N125" s="1779"/>
      <c r="O125" s="1779"/>
      <c r="P125" s="1779"/>
      <c r="Q125" s="1779"/>
      <c r="R125" s="1776"/>
      <c r="S125" s="1779"/>
      <c r="T125" s="1779"/>
      <c r="U125" s="1779"/>
      <c r="V125" s="1779"/>
      <c r="W125" s="1779"/>
      <c r="X125" s="1779"/>
      <c r="Y125" s="1779"/>
      <c r="Z125" s="1782"/>
      <c r="AA125" s="1779"/>
      <c r="AB125" s="1779"/>
      <c r="AC125" s="1779"/>
      <c r="AD125" s="1779"/>
      <c r="AE125" s="1779"/>
      <c r="AF125" s="1779"/>
      <c r="AG125" s="1779"/>
      <c r="AH125" s="1779"/>
      <c r="AI125" s="1779"/>
      <c r="AJ125" s="1779"/>
      <c r="AK125" s="1782"/>
      <c r="AL125" s="1779"/>
      <c r="AM125" s="1779"/>
      <c r="AN125" s="1779"/>
      <c r="AO125" s="1779"/>
      <c r="AP125" s="1779"/>
      <c r="AQ125" s="1779"/>
      <c r="AR125" s="1779"/>
      <c r="AS125" s="1782"/>
      <c r="AT125" s="1780"/>
      <c r="AU125" s="1780"/>
      <c r="AV125" s="1780"/>
      <c r="AW125" s="1780"/>
      <c r="AX125" s="1780"/>
      <c r="AY125" s="1780"/>
      <c r="AZ125" s="1780"/>
      <c r="BA125" s="1777"/>
      <c r="BB125" s="1781"/>
      <c r="BC125" s="1777"/>
      <c r="BD125" s="1777"/>
      <c r="BE125" s="1777"/>
      <c r="BF125" s="1777"/>
      <c r="BG125" s="1777"/>
      <c r="BH125" s="1777"/>
      <c r="BI125" s="1777"/>
      <c r="BJ125" s="1780"/>
      <c r="BK125" s="1781"/>
      <c r="BL125" s="1777"/>
      <c r="BM125" s="1777"/>
      <c r="BN125" s="1777"/>
      <c r="BO125" s="1777"/>
      <c r="BP125" s="1777"/>
      <c r="BQ125" s="1777"/>
      <c r="BR125" s="1738"/>
      <c r="BS125" s="1738"/>
      <c r="BT125" s="1738"/>
    </row>
    <row r="126" spans="2:72" s="1758" customFormat="1" ht="22.5" customHeight="1">
      <c r="B126" s="1738"/>
      <c r="H126" s="1738"/>
      <c r="J126" s="1781"/>
      <c r="K126" s="1780"/>
      <c r="L126" s="1780"/>
      <c r="M126" s="1780"/>
      <c r="N126" s="1780"/>
      <c r="O126" s="1780"/>
      <c r="P126" s="1780"/>
      <c r="Q126" s="1780"/>
      <c r="R126" s="1776"/>
      <c r="S126" s="1780"/>
      <c r="T126" s="1780"/>
      <c r="U126" s="1780"/>
      <c r="V126" s="1780"/>
      <c r="W126" s="1777"/>
      <c r="X126" s="1780"/>
      <c r="Y126" s="1780"/>
      <c r="Z126" s="1781"/>
      <c r="AA126" s="1780"/>
      <c r="AB126" s="1780"/>
      <c r="AC126" s="1780"/>
      <c r="AD126" s="1780"/>
      <c r="AE126" s="1780"/>
      <c r="AF126" s="1780"/>
      <c r="AG126" s="1780"/>
      <c r="AH126" s="1780"/>
      <c r="AI126" s="1780"/>
      <c r="AJ126" s="1780"/>
      <c r="AK126" s="1781"/>
      <c r="AL126" s="1780"/>
      <c r="AM126" s="1780"/>
      <c r="AN126" s="1780"/>
      <c r="AO126" s="1780"/>
      <c r="AP126" s="1780"/>
      <c r="AQ126" s="1780"/>
      <c r="AR126" s="1780"/>
      <c r="AS126" s="1781"/>
      <c r="AT126" s="1780"/>
      <c r="AU126" s="1780"/>
      <c r="AV126" s="1780"/>
      <c r="AW126" s="1780"/>
      <c r="AX126" s="1780"/>
      <c r="AY126" s="1780"/>
      <c r="AZ126" s="1780"/>
      <c r="BA126" s="1777"/>
      <c r="BB126" s="1782"/>
      <c r="BC126" s="1777"/>
      <c r="BD126" s="1777"/>
      <c r="BE126" s="1777"/>
      <c r="BF126" s="1777"/>
      <c r="BG126" s="1777"/>
      <c r="BH126" s="1777"/>
      <c r="BI126" s="1777"/>
      <c r="BJ126" s="1780"/>
      <c r="BK126" s="1781"/>
      <c r="BL126" s="1777"/>
      <c r="BM126" s="1777"/>
      <c r="BN126" s="1777"/>
      <c r="BO126" s="1777"/>
      <c r="BP126" s="1777"/>
      <c r="BQ126" s="1777"/>
      <c r="BR126" s="1738"/>
      <c r="BS126" s="1738"/>
      <c r="BT126" s="1738"/>
    </row>
    <row r="127" spans="2:72" s="1758" customFormat="1" ht="22.5" customHeight="1">
      <c r="B127" s="1738"/>
      <c r="H127" s="1738"/>
      <c r="J127" s="1781"/>
      <c r="K127" s="1780"/>
      <c r="L127" s="1780"/>
      <c r="M127" s="1780"/>
      <c r="N127" s="1780"/>
      <c r="O127" s="1780"/>
      <c r="P127" s="1780"/>
      <c r="Q127" s="1785"/>
      <c r="R127" s="1772"/>
      <c r="S127" s="1786"/>
      <c r="T127" s="1780"/>
      <c r="U127" s="1780"/>
      <c r="V127" s="1780"/>
      <c r="W127" s="1777"/>
      <c r="X127" s="1780"/>
      <c r="Y127" s="1780"/>
      <c r="Z127" s="1781"/>
      <c r="AA127" s="1780"/>
      <c r="AB127" s="1780"/>
      <c r="AC127" s="1780"/>
      <c r="AD127" s="1780"/>
      <c r="AE127" s="1780"/>
      <c r="AF127" s="1780"/>
      <c r="AG127" s="1780"/>
      <c r="AH127" s="1780"/>
      <c r="AI127" s="1780"/>
      <c r="AJ127" s="1780"/>
      <c r="AK127" s="1781"/>
      <c r="AL127" s="1780"/>
      <c r="AM127" s="1780"/>
      <c r="AN127" s="1780"/>
      <c r="AO127" s="1780"/>
      <c r="AP127" s="1780"/>
      <c r="AQ127" s="1780"/>
      <c r="AR127" s="1780"/>
      <c r="AS127" s="1781"/>
      <c r="AT127" s="1777"/>
      <c r="AU127" s="1777"/>
      <c r="AV127" s="1777"/>
      <c r="AW127" s="1777"/>
      <c r="AX127" s="1777"/>
      <c r="AY127" s="1777"/>
      <c r="AZ127" s="1777"/>
      <c r="BA127" s="1777"/>
      <c r="BB127" s="1782"/>
      <c r="BC127" s="1777"/>
      <c r="BD127" s="1777"/>
      <c r="BE127" s="1777"/>
      <c r="BF127" s="1777"/>
      <c r="BG127" s="1777"/>
      <c r="BH127" s="1777"/>
      <c r="BI127" s="1777"/>
      <c r="BJ127" s="1780"/>
      <c r="BK127" s="1781"/>
      <c r="BL127" s="1777"/>
      <c r="BM127" s="1777"/>
      <c r="BN127" s="1777"/>
      <c r="BO127" s="1777"/>
      <c r="BP127" s="1777"/>
      <c r="BQ127" s="1777"/>
      <c r="BR127" s="1738"/>
      <c r="BS127" s="1738"/>
      <c r="BT127" s="1738"/>
    </row>
    <row r="128" spans="2:72" s="1758" customFormat="1" ht="22.5" customHeight="1">
      <c r="B128" s="1738"/>
      <c r="H128" s="1738"/>
      <c r="J128" s="1781"/>
      <c r="K128" s="1780"/>
      <c r="L128" s="1780"/>
      <c r="M128" s="1780"/>
      <c r="N128" s="1780"/>
      <c r="O128" s="1780"/>
      <c r="P128" s="1780"/>
      <c r="Q128" s="1785"/>
      <c r="R128" s="1772"/>
      <c r="S128" s="1786"/>
      <c r="T128" s="1780"/>
      <c r="U128" s="1780"/>
      <c r="V128" s="1780"/>
      <c r="W128" s="1777"/>
      <c r="X128" s="1780"/>
      <c r="Y128" s="1780"/>
      <c r="Z128" s="1781"/>
      <c r="AA128" s="1780"/>
      <c r="AB128" s="1780"/>
      <c r="AC128" s="1780"/>
      <c r="AD128" s="1780"/>
      <c r="AE128" s="1780"/>
      <c r="AF128" s="1780"/>
      <c r="AG128" s="1780"/>
      <c r="AH128" s="1780"/>
      <c r="AI128" s="1780"/>
      <c r="AJ128" s="1780"/>
      <c r="AK128" s="1781"/>
      <c r="AL128" s="1780"/>
      <c r="AM128" s="1780"/>
      <c r="AN128" s="1780"/>
      <c r="AO128" s="1780"/>
      <c r="AP128" s="1780"/>
      <c r="AQ128" s="1780"/>
      <c r="AR128" s="1780"/>
      <c r="AS128" s="1781"/>
      <c r="AT128" s="1777"/>
      <c r="AU128" s="1777"/>
      <c r="AV128" s="1777"/>
      <c r="AW128" s="1777"/>
      <c r="AX128" s="1777"/>
      <c r="AY128" s="1777"/>
      <c r="AZ128" s="1777"/>
      <c r="BA128" s="1777"/>
      <c r="BB128" s="1782"/>
      <c r="BC128" s="1777"/>
      <c r="BD128" s="1777"/>
      <c r="BE128" s="1777"/>
      <c r="BF128" s="1777"/>
      <c r="BG128" s="1777"/>
      <c r="BH128" s="1777"/>
      <c r="BI128" s="1777"/>
      <c r="BJ128" s="1777"/>
      <c r="BK128" s="1781"/>
      <c r="BL128" s="1777"/>
      <c r="BM128" s="1777"/>
      <c r="BN128" s="1777"/>
      <c r="BO128" s="1777"/>
      <c r="BP128" s="1777"/>
      <c r="BQ128" s="1777"/>
      <c r="BR128" s="1742"/>
      <c r="BS128" s="1742"/>
      <c r="BT128" s="1742"/>
    </row>
    <row r="129" spans="1:72" s="1758" customFormat="1" ht="22.5" customHeight="1">
      <c r="B129" s="1738"/>
      <c r="H129" s="1738"/>
      <c r="J129" s="1781"/>
      <c r="K129" s="1780"/>
      <c r="L129" s="1780"/>
      <c r="M129" s="1780"/>
      <c r="N129" s="1780"/>
      <c r="O129" s="1780"/>
      <c r="P129" s="1780"/>
      <c r="Q129" s="1785"/>
      <c r="R129" s="1772"/>
      <c r="S129" s="1786"/>
      <c r="T129" s="1780"/>
      <c r="U129" s="1780"/>
      <c r="V129" s="1780"/>
      <c r="W129" s="1777"/>
      <c r="X129" s="1780"/>
      <c r="Y129" s="1780"/>
      <c r="Z129" s="1781"/>
      <c r="AA129" s="1780"/>
      <c r="AB129" s="1780"/>
      <c r="AC129" s="1780"/>
      <c r="AD129" s="1780"/>
      <c r="AE129" s="1780"/>
      <c r="AF129" s="1780"/>
      <c r="AG129" s="1780"/>
      <c r="AH129" s="1780"/>
      <c r="AI129" s="1780"/>
      <c r="AJ129" s="1780"/>
      <c r="AK129" s="1781"/>
      <c r="AL129" s="1780"/>
      <c r="AM129" s="1780"/>
      <c r="AN129" s="1780"/>
      <c r="AO129" s="1780"/>
      <c r="AP129" s="1780"/>
      <c r="AQ129" s="1780"/>
      <c r="AR129" s="1780"/>
      <c r="AS129" s="1781"/>
      <c r="AT129" s="1777"/>
      <c r="AU129" s="1777"/>
      <c r="AV129" s="1777"/>
      <c r="AW129" s="1777"/>
      <c r="AX129" s="1777"/>
      <c r="AY129" s="1777"/>
      <c r="AZ129" s="1777"/>
      <c r="BA129" s="1777"/>
      <c r="BB129" s="1782"/>
      <c r="BC129" s="1777"/>
      <c r="BD129" s="1777"/>
      <c r="BE129" s="1777"/>
      <c r="BF129" s="1777"/>
      <c r="BG129" s="1777"/>
      <c r="BH129" s="1777"/>
      <c r="BI129" s="1777"/>
      <c r="BJ129" s="1777"/>
      <c r="BK129" s="1782"/>
      <c r="BL129" s="1777"/>
      <c r="BM129" s="1777"/>
      <c r="BN129" s="1777"/>
      <c r="BO129" s="1777"/>
      <c r="BP129" s="1777"/>
      <c r="BQ129" s="1777"/>
      <c r="BR129" s="1742"/>
      <c r="BS129" s="1742"/>
      <c r="BT129" s="1742"/>
    </row>
    <row r="130" spans="1:72" s="1758" customFormat="1" ht="22.5" customHeight="1">
      <c r="B130" s="1738"/>
      <c r="H130" s="1738"/>
      <c r="J130" s="1781"/>
      <c r="K130" s="1780"/>
      <c r="L130" s="1780"/>
      <c r="M130" s="1780"/>
      <c r="N130" s="1780"/>
      <c r="O130" s="1780"/>
      <c r="P130" s="1780"/>
      <c r="Q130" s="1785"/>
      <c r="R130" s="1772"/>
      <c r="S130" s="1786"/>
      <c r="T130" s="1785"/>
      <c r="U130" s="1785"/>
      <c r="V130" s="1785"/>
      <c r="W130" s="1767"/>
      <c r="X130" s="1785"/>
      <c r="Y130" s="1780"/>
      <c r="Z130" s="1781"/>
      <c r="AA130" s="1780"/>
      <c r="AB130" s="1780"/>
      <c r="AC130" s="1780"/>
      <c r="AD130" s="1780"/>
      <c r="AE130" s="1780"/>
      <c r="AF130" s="1780"/>
      <c r="AG130" s="1780"/>
      <c r="AH130" s="1780"/>
      <c r="AI130" s="1780"/>
      <c r="AJ130" s="1780"/>
      <c r="AK130" s="1781"/>
      <c r="AL130" s="1780"/>
      <c r="AM130" s="1780"/>
      <c r="AN130" s="1780"/>
      <c r="AO130" s="1780"/>
      <c r="AP130" s="1780"/>
      <c r="AQ130" s="1780"/>
      <c r="AR130" s="1780"/>
      <c r="AS130" s="1781"/>
      <c r="AT130" s="1777"/>
      <c r="AU130" s="1777"/>
      <c r="AV130" s="1777"/>
      <c r="AW130" s="1777"/>
      <c r="AX130" s="1777"/>
      <c r="AY130" s="1777"/>
      <c r="AZ130" s="1777"/>
      <c r="BA130" s="1777"/>
      <c r="BB130" s="1782"/>
      <c r="BC130" s="1777"/>
      <c r="BD130" s="1777"/>
      <c r="BE130" s="1777"/>
      <c r="BF130" s="1777"/>
      <c r="BG130" s="1777"/>
      <c r="BH130" s="1777"/>
      <c r="BI130" s="1777"/>
      <c r="BJ130" s="1777"/>
      <c r="BK130" s="1782"/>
      <c r="BL130" s="1777"/>
      <c r="BM130" s="1777"/>
      <c r="BN130" s="1777"/>
      <c r="BO130" s="1777"/>
      <c r="BP130" s="1777"/>
      <c r="BQ130" s="1777"/>
      <c r="BR130" s="1742"/>
      <c r="BS130" s="1742"/>
      <c r="BT130" s="1742"/>
    </row>
    <row r="131" spans="1:72" s="1758" customFormat="1" ht="22.5" customHeight="1">
      <c r="B131" s="1738"/>
      <c r="H131" s="1738"/>
      <c r="J131" s="1781"/>
      <c r="K131" s="1780"/>
      <c r="L131" s="1780"/>
      <c r="M131" s="1780"/>
      <c r="N131" s="1780"/>
      <c r="O131" s="1780"/>
      <c r="P131" s="1780"/>
      <c r="Q131" s="1780"/>
      <c r="R131" s="1776"/>
      <c r="S131" s="1780"/>
      <c r="T131" s="1780"/>
      <c r="U131" s="1780"/>
      <c r="V131" s="1780"/>
      <c r="W131" s="1777"/>
      <c r="X131" s="1780"/>
      <c r="Y131" s="1780"/>
      <c r="Z131" s="1781"/>
      <c r="AA131" s="1780"/>
      <c r="AB131" s="1780"/>
      <c r="AC131" s="1780"/>
      <c r="AD131" s="1780"/>
      <c r="AE131" s="1780"/>
      <c r="AF131" s="1780"/>
      <c r="AG131" s="1780"/>
      <c r="AH131" s="1780"/>
      <c r="AI131" s="1780"/>
      <c r="AJ131" s="1780"/>
      <c r="AK131" s="1781"/>
      <c r="AL131" s="1780"/>
      <c r="AM131" s="1780"/>
      <c r="AN131" s="1780"/>
      <c r="AO131" s="1780"/>
      <c r="AP131" s="1780"/>
      <c r="AQ131" s="1780"/>
      <c r="AR131" s="1780"/>
      <c r="AS131" s="1781"/>
      <c r="AT131" s="1777"/>
      <c r="AU131" s="1777"/>
      <c r="AV131" s="1777"/>
      <c r="AW131" s="1777"/>
      <c r="AX131" s="1777"/>
      <c r="AY131" s="1777"/>
      <c r="AZ131" s="1777"/>
      <c r="BA131" s="1777"/>
      <c r="BB131" s="1782"/>
      <c r="BC131" s="1777"/>
      <c r="BD131" s="1777"/>
      <c r="BE131" s="1777"/>
      <c r="BF131" s="1777"/>
      <c r="BG131" s="1777"/>
      <c r="BH131" s="1777"/>
      <c r="BI131" s="1777"/>
      <c r="BJ131" s="1777"/>
      <c r="BK131" s="1782"/>
      <c r="BL131" s="1777"/>
      <c r="BM131" s="1777"/>
      <c r="BN131" s="1777"/>
      <c r="BO131" s="1777"/>
      <c r="BP131" s="1777"/>
      <c r="BQ131" s="1777"/>
      <c r="BR131" s="1742"/>
      <c r="BS131" s="1742"/>
      <c r="BT131" s="1742"/>
    </row>
    <row r="132" spans="1:72" s="1758" customFormat="1" ht="22.5" customHeight="1">
      <c r="A132" s="1759"/>
      <c r="B132" s="1738"/>
      <c r="H132" s="1738"/>
      <c r="J132" s="1781"/>
      <c r="K132" s="1780"/>
      <c r="L132" s="1780"/>
      <c r="M132" s="1780"/>
      <c r="N132" s="1780"/>
      <c r="O132" s="1780"/>
      <c r="P132" s="1780"/>
      <c r="Q132" s="1780"/>
      <c r="R132" s="1776"/>
      <c r="S132" s="1780"/>
      <c r="T132" s="1780"/>
      <c r="U132" s="1780"/>
      <c r="V132" s="1780"/>
      <c r="W132" s="1777"/>
      <c r="X132" s="1780"/>
      <c r="Y132" s="1780"/>
      <c r="Z132" s="1781"/>
      <c r="AA132" s="1780"/>
      <c r="AB132" s="1780"/>
      <c r="AC132" s="1780"/>
      <c r="AD132" s="1780"/>
      <c r="AE132" s="1780"/>
      <c r="AF132" s="1780"/>
      <c r="AG132" s="1780"/>
      <c r="AH132" s="1780"/>
      <c r="AI132" s="1780"/>
      <c r="AJ132" s="1780"/>
      <c r="AK132" s="1781"/>
      <c r="AL132" s="1780"/>
      <c r="AM132" s="1780"/>
      <c r="AN132" s="1780"/>
      <c r="AO132" s="1780"/>
      <c r="AP132" s="1780"/>
      <c r="AQ132" s="1780"/>
      <c r="AR132" s="1780"/>
      <c r="AS132" s="1781"/>
      <c r="AT132" s="1777"/>
      <c r="AU132" s="1777"/>
      <c r="AV132" s="1777"/>
      <c r="AW132" s="1777"/>
      <c r="AX132" s="1777"/>
      <c r="AY132" s="1777"/>
      <c r="AZ132" s="1777"/>
      <c r="BA132" s="1777"/>
      <c r="BB132" s="1782"/>
      <c r="BC132" s="1777"/>
      <c r="BD132" s="1777"/>
      <c r="BE132" s="1777"/>
      <c r="BF132" s="1777"/>
      <c r="BG132" s="1777"/>
      <c r="BH132" s="1777"/>
      <c r="BI132" s="1777"/>
      <c r="BJ132" s="1777"/>
      <c r="BK132" s="1782"/>
      <c r="BL132" s="1787"/>
      <c r="BM132" s="1787"/>
      <c r="BN132" s="1787"/>
      <c r="BO132" s="1787"/>
      <c r="BP132" s="1787"/>
      <c r="BQ132" s="1787"/>
      <c r="BR132" s="1742"/>
      <c r="BS132" s="1742"/>
      <c r="BT132" s="1742"/>
    </row>
    <row r="133" spans="1:72" s="1758" customFormat="1" ht="22.5" customHeight="1">
      <c r="B133" s="1738"/>
      <c r="H133" s="1738"/>
      <c r="J133" s="1781"/>
      <c r="K133" s="1780"/>
      <c r="L133" s="1780"/>
      <c r="M133" s="1780"/>
      <c r="N133" s="1780"/>
      <c r="O133" s="1780"/>
      <c r="P133" s="1780"/>
      <c r="Q133" s="1780"/>
      <c r="R133" s="1776"/>
      <c r="S133" s="1780"/>
      <c r="T133" s="1780"/>
      <c r="U133" s="1780"/>
      <c r="V133" s="1780"/>
      <c r="W133" s="1777"/>
      <c r="X133" s="1780"/>
      <c r="Y133" s="1780"/>
      <c r="Z133" s="1781"/>
      <c r="AA133" s="1780"/>
      <c r="AB133" s="1780"/>
      <c r="AC133" s="1780"/>
      <c r="AD133" s="1780"/>
      <c r="AE133" s="1780"/>
      <c r="AF133" s="1780"/>
      <c r="AG133" s="1780"/>
      <c r="AH133" s="1780"/>
      <c r="AI133" s="1780"/>
      <c r="AJ133" s="1780"/>
      <c r="AK133" s="1781"/>
      <c r="AL133" s="1780"/>
      <c r="AM133" s="1780"/>
      <c r="AN133" s="1780"/>
      <c r="AO133" s="1780"/>
      <c r="AP133" s="1780"/>
      <c r="AQ133" s="1780"/>
      <c r="AR133" s="1780"/>
      <c r="AS133" s="1781"/>
      <c r="AT133" s="1777"/>
      <c r="AU133" s="1777"/>
      <c r="AV133" s="1777"/>
      <c r="AW133" s="1777"/>
      <c r="AX133" s="1777"/>
      <c r="AY133" s="1777"/>
      <c r="AZ133" s="1777"/>
      <c r="BA133" s="1777"/>
      <c r="BB133" s="1782"/>
      <c r="BC133" s="1777"/>
      <c r="BD133" s="1777"/>
      <c r="BE133" s="1777"/>
      <c r="BF133" s="1777"/>
      <c r="BG133" s="1777"/>
      <c r="BH133" s="1777"/>
      <c r="BI133" s="1777"/>
      <c r="BJ133" s="1777"/>
      <c r="BK133" s="1782"/>
      <c r="BL133" s="1787"/>
      <c r="BM133" s="1787"/>
      <c r="BN133" s="1787"/>
      <c r="BO133" s="1787"/>
      <c r="BP133" s="1787"/>
      <c r="BQ133" s="1787"/>
      <c r="BR133" s="1742"/>
      <c r="BS133" s="1742"/>
      <c r="BT133" s="1742"/>
    </row>
    <row r="134" spans="1:72" s="1758" customFormat="1" ht="22.5" customHeight="1">
      <c r="B134" s="1738"/>
      <c r="H134" s="1738"/>
      <c r="J134" s="1781"/>
      <c r="K134" s="1780"/>
      <c r="L134" s="1780"/>
      <c r="M134" s="1780"/>
      <c r="N134" s="1780"/>
      <c r="O134" s="1780"/>
      <c r="P134" s="1780"/>
      <c r="Q134" s="1780"/>
      <c r="R134" s="1776"/>
      <c r="S134" s="1780"/>
      <c r="T134" s="1780"/>
      <c r="U134" s="1780"/>
      <c r="V134" s="1780"/>
      <c r="W134" s="1777"/>
      <c r="X134" s="1780"/>
      <c r="Y134" s="1780"/>
      <c r="Z134" s="1781"/>
      <c r="AA134" s="1780"/>
      <c r="AB134" s="1780"/>
      <c r="AC134" s="1780"/>
      <c r="AD134" s="1780"/>
      <c r="AE134" s="1780"/>
      <c r="AF134" s="1780"/>
      <c r="AG134" s="1780"/>
      <c r="AH134" s="1780"/>
      <c r="AI134" s="1780"/>
      <c r="AJ134" s="1780"/>
      <c r="AK134" s="1781"/>
      <c r="AL134" s="1780"/>
      <c r="AM134" s="1780"/>
      <c r="AN134" s="1780"/>
      <c r="AO134" s="1780"/>
      <c r="AP134" s="1780"/>
      <c r="AQ134" s="1780"/>
      <c r="AR134" s="1780"/>
      <c r="AS134" s="1781"/>
      <c r="AT134" s="1777"/>
      <c r="AU134" s="1777"/>
      <c r="AV134" s="1777"/>
      <c r="AW134" s="1777"/>
      <c r="AX134" s="1777"/>
      <c r="AY134" s="1777"/>
      <c r="AZ134" s="1777"/>
      <c r="BA134" s="1777"/>
      <c r="BB134" s="1782"/>
      <c r="BC134" s="1777"/>
      <c r="BD134" s="1777"/>
      <c r="BE134" s="1777"/>
      <c r="BF134" s="1777"/>
      <c r="BG134" s="1777"/>
      <c r="BH134" s="1777"/>
      <c r="BI134" s="1777"/>
      <c r="BJ134" s="1777"/>
      <c r="BK134" s="1782"/>
      <c r="BL134" s="1787"/>
      <c r="BM134" s="1787"/>
      <c r="BN134" s="1787"/>
      <c r="BO134" s="1787"/>
      <c r="BP134" s="1787"/>
      <c r="BQ134" s="1787"/>
      <c r="BR134" s="1742"/>
      <c r="BS134" s="1742"/>
      <c r="BT134" s="1742"/>
    </row>
    <row r="135" spans="1:72" s="1738" customFormat="1" ht="22.5" customHeight="1">
      <c r="J135" s="1782"/>
      <c r="K135" s="1777"/>
      <c r="L135" s="1777"/>
      <c r="M135" s="1777"/>
      <c r="N135" s="1777"/>
      <c r="O135" s="1777"/>
      <c r="P135" s="1777"/>
      <c r="Q135" s="1777"/>
      <c r="R135" s="1776"/>
      <c r="S135" s="1777"/>
      <c r="T135" s="1777"/>
      <c r="U135" s="1777"/>
      <c r="V135" s="1777"/>
      <c r="W135" s="1777"/>
      <c r="X135" s="1777"/>
      <c r="Y135" s="1777"/>
      <c r="Z135" s="1782"/>
      <c r="AA135" s="1777"/>
      <c r="AB135" s="1777"/>
      <c r="AC135" s="1777"/>
      <c r="AD135" s="1777"/>
      <c r="AE135" s="1777"/>
      <c r="AF135" s="1777"/>
      <c r="AG135" s="1777"/>
      <c r="AH135" s="1777"/>
      <c r="AI135" s="1777"/>
      <c r="AJ135" s="1777"/>
      <c r="AK135" s="1782"/>
      <c r="AL135" s="1777"/>
      <c r="AM135" s="1777"/>
      <c r="AN135" s="1777"/>
      <c r="AO135" s="1777"/>
      <c r="AP135" s="1777"/>
      <c r="AQ135" s="1777"/>
      <c r="AR135" s="1777"/>
      <c r="AS135" s="1782"/>
      <c r="AT135" s="1777"/>
      <c r="AU135" s="1777"/>
      <c r="AV135" s="1777"/>
      <c r="AW135" s="1777"/>
      <c r="AX135" s="1777"/>
      <c r="AY135" s="1777"/>
      <c r="AZ135" s="1777"/>
      <c r="BA135" s="1777"/>
      <c r="BB135" s="1782"/>
      <c r="BC135" s="1777"/>
      <c r="BD135" s="1777"/>
      <c r="BE135" s="1777"/>
      <c r="BF135" s="1777"/>
      <c r="BG135" s="1777"/>
      <c r="BH135" s="1777"/>
      <c r="BI135" s="1777"/>
      <c r="BJ135" s="1777"/>
      <c r="BK135" s="1782"/>
      <c r="BL135" s="1787"/>
      <c r="BM135" s="1787"/>
      <c r="BN135" s="1787"/>
      <c r="BO135" s="1787"/>
      <c r="BP135" s="1787"/>
      <c r="BQ135" s="1787"/>
      <c r="BR135" s="1742"/>
      <c r="BS135" s="1742"/>
      <c r="BT135" s="1742"/>
    </row>
    <row r="136" spans="1:72" s="1738" customFormat="1" ht="22.5" customHeight="1">
      <c r="J136" s="1782"/>
      <c r="K136" s="1777"/>
      <c r="L136" s="1777"/>
      <c r="M136" s="1777"/>
      <c r="N136" s="1777"/>
      <c r="O136" s="1777"/>
      <c r="P136" s="1777"/>
      <c r="Q136" s="1777"/>
      <c r="R136" s="1776"/>
      <c r="S136" s="1777"/>
      <c r="T136" s="1777"/>
      <c r="U136" s="1777"/>
      <c r="V136" s="1777"/>
      <c r="W136" s="1777"/>
      <c r="X136" s="1777"/>
      <c r="Y136" s="1777"/>
      <c r="Z136" s="1782"/>
      <c r="AA136" s="1777"/>
      <c r="AB136" s="1777"/>
      <c r="AC136" s="1777"/>
      <c r="AD136" s="1777"/>
      <c r="AE136" s="1777"/>
      <c r="AF136" s="1777"/>
      <c r="AG136" s="1777"/>
      <c r="AH136" s="1777"/>
      <c r="AI136" s="1777"/>
      <c r="AJ136" s="1777"/>
      <c r="AK136" s="1782"/>
      <c r="AL136" s="1777"/>
      <c r="AM136" s="1777"/>
      <c r="AN136" s="1777"/>
      <c r="AO136" s="1777"/>
      <c r="AP136" s="1777"/>
      <c r="AQ136" s="1777"/>
      <c r="AR136" s="1777"/>
      <c r="AS136" s="1782"/>
      <c r="AT136" s="1777"/>
      <c r="AU136" s="1777"/>
      <c r="AV136" s="1777"/>
      <c r="AW136" s="1777"/>
      <c r="AX136" s="1777"/>
      <c r="AY136" s="1777"/>
      <c r="AZ136" s="1777"/>
      <c r="BA136" s="1777"/>
      <c r="BB136" s="1782"/>
      <c r="BC136" s="1777"/>
      <c r="BD136" s="1777"/>
      <c r="BE136" s="1777"/>
      <c r="BF136" s="1777"/>
      <c r="BG136" s="1777"/>
      <c r="BH136" s="1777"/>
      <c r="BI136" s="1777"/>
      <c r="BJ136" s="1777"/>
      <c r="BK136" s="1782"/>
      <c r="BL136" s="1787"/>
      <c r="BM136" s="1787"/>
      <c r="BN136" s="1787"/>
      <c r="BO136" s="1787"/>
      <c r="BP136" s="1787"/>
      <c r="BQ136" s="1787"/>
      <c r="BR136" s="1742"/>
      <c r="BS136" s="1742"/>
      <c r="BT136" s="1742"/>
    </row>
    <row r="137" spans="1:72" s="1738" customFormat="1" ht="22.5" customHeight="1">
      <c r="J137" s="1782"/>
      <c r="K137" s="1777"/>
      <c r="L137" s="1777"/>
      <c r="M137" s="1777"/>
      <c r="N137" s="1777"/>
      <c r="O137" s="1777"/>
      <c r="P137" s="1777"/>
      <c r="Q137" s="1777"/>
      <c r="R137" s="1776"/>
      <c r="S137" s="1777"/>
      <c r="T137" s="1777"/>
      <c r="U137" s="1777"/>
      <c r="V137" s="1777"/>
      <c r="W137" s="1777"/>
      <c r="X137" s="1777"/>
      <c r="Y137" s="1777"/>
      <c r="Z137" s="1782"/>
      <c r="AA137" s="1777"/>
      <c r="AB137" s="1777"/>
      <c r="AC137" s="1777"/>
      <c r="AD137" s="1777"/>
      <c r="AE137" s="1777"/>
      <c r="AF137" s="1777"/>
      <c r="AG137" s="1777"/>
      <c r="AH137" s="1777"/>
      <c r="AI137" s="1777"/>
      <c r="AJ137" s="1777"/>
      <c r="AK137" s="1782"/>
      <c r="AL137" s="1777"/>
      <c r="AM137" s="1777"/>
      <c r="AN137" s="1777"/>
      <c r="AO137" s="1777"/>
      <c r="AP137" s="1777"/>
      <c r="AQ137" s="1777"/>
      <c r="AR137" s="1777"/>
      <c r="AS137" s="1782"/>
      <c r="AT137" s="1777"/>
      <c r="AU137" s="1777"/>
      <c r="AV137" s="1777"/>
      <c r="AW137" s="1777"/>
      <c r="AX137" s="1777"/>
      <c r="AY137" s="1777"/>
      <c r="AZ137" s="1777"/>
      <c r="BA137" s="1777"/>
      <c r="BB137" s="1782"/>
      <c r="BC137" s="1777"/>
      <c r="BD137" s="1777"/>
      <c r="BE137" s="1777"/>
      <c r="BF137" s="1777"/>
      <c r="BG137" s="1777"/>
      <c r="BH137" s="1777"/>
      <c r="BI137" s="1777"/>
      <c r="BJ137" s="1777"/>
      <c r="BK137" s="1782"/>
      <c r="BL137" s="1787"/>
      <c r="BM137" s="1787"/>
      <c r="BN137" s="1787"/>
      <c r="BO137" s="1787"/>
      <c r="BP137" s="1787"/>
      <c r="BQ137" s="1787"/>
      <c r="BR137" s="1742"/>
      <c r="BS137" s="1742"/>
      <c r="BT137" s="1742"/>
    </row>
    <row r="138" spans="1:72" s="1738" customFormat="1" ht="22.5" customHeight="1">
      <c r="A138" s="1757"/>
      <c r="J138" s="1782"/>
      <c r="K138" s="1777"/>
      <c r="L138" s="1777"/>
      <c r="M138" s="1777"/>
      <c r="N138" s="1777"/>
      <c r="O138" s="1777"/>
      <c r="P138" s="1777"/>
      <c r="Q138" s="1777"/>
      <c r="R138" s="1776"/>
      <c r="S138" s="1777"/>
      <c r="T138" s="1777"/>
      <c r="U138" s="1777"/>
      <c r="V138" s="1777"/>
      <c r="W138" s="1777"/>
      <c r="X138" s="1777"/>
      <c r="Y138" s="1777"/>
      <c r="Z138" s="1782"/>
      <c r="AA138" s="1777"/>
      <c r="AB138" s="1777"/>
      <c r="AC138" s="1777"/>
      <c r="AD138" s="1777"/>
      <c r="AE138" s="1777"/>
      <c r="AF138" s="1777"/>
      <c r="AG138" s="1777"/>
      <c r="AH138" s="1777"/>
      <c r="AI138" s="1777"/>
      <c r="AJ138" s="1777"/>
      <c r="AK138" s="1782"/>
      <c r="AL138" s="1777"/>
      <c r="AM138" s="1777"/>
      <c r="AN138" s="1777"/>
      <c r="AO138" s="1777"/>
      <c r="AP138" s="1777"/>
      <c r="AQ138" s="1777"/>
      <c r="AR138" s="1777"/>
      <c r="AS138" s="1782"/>
      <c r="AT138" s="1777"/>
      <c r="AU138" s="1777"/>
      <c r="AV138" s="1777"/>
      <c r="AW138" s="1777"/>
      <c r="AX138" s="1777"/>
      <c r="AY138" s="1777"/>
      <c r="AZ138" s="1777"/>
      <c r="BA138" s="1777"/>
      <c r="BB138" s="1782"/>
      <c r="BC138" s="1777"/>
      <c r="BD138" s="1777"/>
      <c r="BE138" s="1777"/>
      <c r="BF138" s="1777"/>
      <c r="BG138" s="1777"/>
      <c r="BH138" s="1777"/>
      <c r="BI138" s="1777"/>
      <c r="BJ138" s="1777"/>
      <c r="BK138" s="1782"/>
      <c r="BL138" s="1787"/>
      <c r="BM138" s="1787"/>
      <c r="BN138" s="1787"/>
      <c r="BO138" s="1787"/>
      <c r="BP138" s="1787"/>
      <c r="BQ138" s="1787"/>
      <c r="BR138" s="1742"/>
      <c r="BS138" s="1742"/>
      <c r="BT138" s="1742"/>
    </row>
    <row r="139" spans="1:72" s="1738" customFormat="1" ht="22.5" customHeight="1">
      <c r="J139" s="1782"/>
      <c r="K139" s="1777"/>
      <c r="L139" s="1777"/>
      <c r="M139" s="1777"/>
      <c r="N139" s="1777"/>
      <c r="O139" s="1777"/>
      <c r="P139" s="1777"/>
      <c r="Q139" s="1777"/>
      <c r="R139" s="1776"/>
      <c r="S139" s="1777"/>
      <c r="T139" s="1777"/>
      <c r="U139" s="1777"/>
      <c r="V139" s="1777"/>
      <c r="W139" s="1777"/>
      <c r="X139" s="1777"/>
      <c r="Y139" s="1777"/>
      <c r="Z139" s="1782"/>
      <c r="AA139" s="1777"/>
      <c r="AB139" s="1777"/>
      <c r="AC139" s="1777"/>
      <c r="AD139" s="1777"/>
      <c r="AE139" s="1777"/>
      <c r="AF139" s="1777"/>
      <c r="AG139" s="1777"/>
      <c r="AH139" s="1777"/>
      <c r="AI139" s="1777"/>
      <c r="AJ139" s="1777"/>
      <c r="AK139" s="1782"/>
      <c r="AL139" s="1777"/>
      <c r="AM139" s="1777"/>
      <c r="AN139" s="1777"/>
      <c r="AO139" s="1777"/>
      <c r="AP139" s="1777"/>
      <c r="AQ139" s="1777"/>
      <c r="AR139" s="1777"/>
      <c r="AS139" s="1782"/>
      <c r="AT139" s="1777"/>
      <c r="AU139" s="1777"/>
      <c r="AV139" s="1777"/>
      <c r="AW139" s="1777"/>
      <c r="AX139" s="1777"/>
      <c r="AY139" s="1777"/>
      <c r="AZ139" s="1777"/>
      <c r="BA139" s="1777"/>
      <c r="BB139" s="1782"/>
      <c r="BC139" s="1777"/>
      <c r="BD139" s="1777"/>
      <c r="BE139" s="1777"/>
      <c r="BF139" s="1777"/>
      <c r="BG139" s="1777"/>
      <c r="BH139" s="1777"/>
      <c r="BI139" s="1777"/>
      <c r="BJ139" s="1777"/>
      <c r="BK139" s="1782"/>
      <c r="BL139" s="1787"/>
      <c r="BM139" s="1787"/>
      <c r="BN139" s="1787"/>
      <c r="BO139" s="1787"/>
      <c r="BP139" s="1787"/>
      <c r="BQ139" s="1787"/>
      <c r="BR139" s="1752"/>
      <c r="BS139" s="1752"/>
      <c r="BT139" s="1752"/>
    </row>
    <row r="140" spans="1:72" s="1738" customFormat="1" ht="22.5" customHeight="1">
      <c r="J140" s="1782"/>
      <c r="K140" s="1777"/>
      <c r="L140" s="1777"/>
      <c r="M140" s="1777"/>
      <c r="N140" s="1777"/>
      <c r="O140" s="1777"/>
      <c r="P140" s="1777"/>
      <c r="Q140" s="1777"/>
      <c r="R140" s="1776"/>
      <c r="S140" s="1777"/>
      <c r="T140" s="1777"/>
      <c r="U140" s="1777"/>
      <c r="V140" s="1777"/>
      <c r="W140" s="1777"/>
      <c r="X140" s="1777"/>
      <c r="Y140" s="1777"/>
      <c r="Z140" s="1782"/>
      <c r="AA140" s="1777"/>
      <c r="AB140" s="1777"/>
      <c r="AC140" s="1777"/>
      <c r="AD140" s="1777"/>
      <c r="AE140" s="1777"/>
      <c r="AF140" s="1777"/>
      <c r="AG140" s="1777"/>
      <c r="AH140" s="1777"/>
      <c r="AI140" s="1777"/>
      <c r="AJ140" s="1777"/>
      <c r="AK140" s="1782"/>
      <c r="AL140" s="1777"/>
      <c r="AM140" s="1777"/>
      <c r="AN140" s="1777"/>
      <c r="AO140" s="1777"/>
      <c r="AP140" s="1777"/>
      <c r="AQ140" s="1777"/>
      <c r="AR140" s="1777"/>
      <c r="AS140" s="1782"/>
      <c r="AT140" s="1777"/>
      <c r="AU140" s="1777"/>
      <c r="AV140" s="1777"/>
      <c r="AW140" s="1777"/>
      <c r="AX140" s="1777"/>
      <c r="AY140" s="1777"/>
      <c r="AZ140" s="1777"/>
      <c r="BA140" s="1777"/>
      <c r="BB140" s="1782"/>
      <c r="BC140" s="1777"/>
      <c r="BD140" s="1777"/>
      <c r="BE140" s="1777"/>
      <c r="BF140" s="1777"/>
      <c r="BG140" s="1777"/>
      <c r="BH140" s="1777"/>
      <c r="BI140" s="1777"/>
      <c r="BJ140" s="1777"/>
      <c r="BK140" s="1782"/>
      <c r="BL140" s="1787"/>
      <c r="BM140" s="1787"/>
      <c r="BN140" s="1787"/>
      <c r="BO140" s="1787"/>
      <c r="BP140" s="1787"/>
      <c r="BQ140" s="1787"/>
      <c r="BR140" s="1742"/>
      <c r="BS140" s="1742"/>
      <c r="BT140" s="1742"/>
    </row>
    <row r="141" spans="1:72" s="1738" customFormat="1" ht="22.5" customHeight="1">
      <c r="J141" s="1782"/>
      <c r="K141" s="1777"/>
      <c r="L141" s="1777"/>
      <c r="M141" s="1777"/>
      <c r="N141" s="1777"/>
      <c r="O141" s="1777"/>
      <c r="P141" s="1777"/>
      <c r="Q141" s="1777"/>
      <c r="R141" s="1776"/>
      <c r="S141" s="1777"/>
      <c r="T141" s="1777"/>
      <c r="U141" s="1777"/>
      <c r="V141" s="1777"/>
      <c r="W141" s="1777"/>
      <c r="X141" s="1777"/>
      <c r="Y141" s="1777"/>
      <c r="Z141" s="1782"/>
      <c r="AA141" s="1777"/>
      <c r="AB141" s="1777"/>
      <c r="AC141" s="1777"/>
      <c r="AD141" s="1777"/>
      <c r="AE141" s="1777"/>
      <c r="AF141" s="1777"/>
      <c r="AG141" s="1777"/>
      <c r="AH141" s="1777"/>
      <c r="AI141" s="1777"/>
      <c r="AJ141" s="1777"/>
      <c r="AK141" s="1782"/>
      <c r="AL141" s="1777"/>
      <c r="AM141" s="1777"/>
      <c r="AN141" s="1777"/>
      <c r="AO141" s="1777"/>
      <c r="AP141" s="1777"/>
      <c r="AQ141" s="1777"/>
      <c r="AR141" s="1777"/>
      <c r="AS141" s="1782"/>
      <c r="AT141" s="1777"/>
      <c r="AU141" s="1777"/>
      <c r="AV141" s="1777"/>
      <c r="AW141" s="1777"/>
      <c r="AX141" s="1777"/>
      <c r="AY141" s="1777"/>
      <c r="AZ141" s="1777"/>
      <c r="BA141" s="1777"/>
      <c r="BB141" s="1782"/>
      <c r="BC141" s="1777"/>
      <c r="BD141" s="1777"/>
      <c r="BE141" s="1777"/>
      <c r="BF141" s="1777"/>
      <c r="BG141" s="1777"/>
      <c r="BH141" s="1777"/>
      <c r="BI141" s="1777"/>
      <c r="BJ141" s="1777"/>
      <c r="BK141" s="1782"/>
      <c r="BL141" s="1787"/>
      <c r="BM141" s="1787"/>
      <c r="BN141" s="1787"/>
      <c r="BO141" s="1787"/>
      <c r="BP141" s="1787"/>
      <c r="BQ141" s="1787"/>
      <c r="BR141" s="1752"/>
      <c r="BS141" s="1752"/>
      <c r="BT141" s="1752"/>
    </row>
    <row r="142" spans="1:72" s="1738" customFormat="1" ht="22.5" customHeight="1">
      <c r="J142" s="1782"/>
      <c r="K142" s="1777"/>
      <c r="L142" s="1777"/>
      <c r="M142" s="1777"/>
      <c r="N142" s="1777"/>
      <c r="O142" s="1777"/>
      <c r="P142" s="1777"/>
      <c r="Q142" s="1777"/>
      <c r="R142" s="1776"/>
      <c r="S142" s="1777"/>
      <c r="T142" s="1777"/>
      <c r="U142" s="1777"/>
      <c r="V142" s="1777"/>
      <c r="W142" s="1777"/>
      <c r="X142" s="1777"/>
      <c r="Y142" s="1777"/>
      <c r="Z142" s="1782"/>
      <c r="AA142" s="1777"/>
      <c r="AB142" s="1777"/>
      <c r="AC142" s="1777"/>
      <c r="AD142" s="1777"/>
      <c r="AE142" s="1777"/>
      <c r="AF142" s="1777"/>
      <c r="AG142" s="1777"/>
      <c r="AH142" s="1777"/>
      <c r="AI142" s="1777"/>
      <c r="AJ142" s="1777"/>
      <c r="AK142" s="1782"/>
      <c r="AL142" s="1777"/>
      <c r="AM142" s="1777"/>
      <c r="AN142" s="1777"/>
      <c r="AO142" s="1777"/>
      <c r="AP142" s="1777"/>
      <c r="AQ142" s="1777"/>
      <c r="AR142" s="1777"/>
      <c r="AS142" s="1782"/>
      <c r="AT142" s="1777"/>
      <c r="AU142" s="1777"/>
      <c r="AV142" s="1777"/>
      <c r="AW142" s="1777"/>
      <c r="AX142" s="1777"/>
      <c r="AY142" s="1777"/>
      <c r="AZ142" s="1777"/>
      <c r="BA142" s="1787"/>
      <c r="BB142" s="1782"/>
      <c r="BC142" s="1787"/>
      <c r="BD142" s="1787"/>
      <c r="BE142" s="1787"/>
      <c r="BF142" s="1787"/>
      <c r="BG142" s="1787"/>
      <c r="BH142" s="1787"/>
      <c r="BI142" s="1787"/>
      <c r="BJ142" s="1777"/>
      <c r="BK142" s="1782"/>
      <c r="BL142" s="1787"/>
      <c r="BM142" s="1787"/>
      <c r="BN142" s="1787"/>
      <c r="BO142" s="1787"/>
      <c r="BP142" s="1787"/>
      <c r="BQ142" s="1787"/>
      <c r="BR142" s="1742"/>
      <c r="BS142" s="1742"/>
      <c r="BT142" s="1742"/>
    </row>
    <row r="143" spans="1:72" s="1738" customFormat="1" ht="22.5" customHeight="1">
      <c r="A143" s="1746"/>
      <c r="B143" s="1917"/>
      <c r="C143" s="1917"/>
      <c r="D143" s="1918"/>
      <c r="E143" s="1747"/>
      <c r="F143" s="1918"/>
      <c r="G143" s="1918"/>
      <c r="H143" s="1918"/>
      <c r="I143" s="1918"/>
      <c r="J143" s="1782"/>
      <c r="K143" s="1777"/>
      <c r="L143" s="1777"/>
      <c r="M143" s="1777"/>
      <c r="N143" s="1777"/>
      <c r="O143" s="1777"/>
      <c r="P143" s="1777"/>
      <c r="Q143" s="1777"/>
      <c r="R143" s="1776"/>
      <c r="S143" s="1777"/>
      <c r="T143" s="1777"/>
      <c r="U143" s="1777"/>
      <c r="V143" s="1777"/>
      <c r="W143" s="1777"/>
      <c r="X143" s="1777"/>
      <c r="Y143" s="1777"/>
      <c r="Z143" s="1782"/>
      <c r="AA143" s="1777"/>
      <c r="AB143" s="1777"/>
      <c r="AC143" s="1777"/>
      <c r="AD143" s="1777"/>
      <c r="AE143" s="1777"/>
      <c r="AF143" s="1777"/>
      <c r="AG143" s="1777"/>
      <c r="AH143" s="1777"/>
      <c r="AI143" s="1777"/>
      <c r="AJ143" s="1777"/>
      <c r="AK143" s="1782"/>
      <c r="AL143" s="1777"/>
      <c r="AM143" s="1777"/>
      <c r="AN143" s="1777"/>
      <c r="AO143" s="1777"/>
      <c r="AP143" s="1777"/>
      <c r="AQ143" s="1777"/>
      <c r="AR143" s="1777"/>
      <c r="AS143" s="1782"/>
      <c r="AT143" s="1777"/>
      <c r="AU143" s="1777"/>
      <c r="AV143" s="1777"/>
      <c r="AW143" s="1777"/>
      <c r="AX143" s="1777"/>
      <c r="AY143" s="1777"/>
      <c r="AZ143" s="1777"/>
      <c r="BA143" s="1787"/>
      <c r="BB143" s="1788"/>
      <c r="BC143" s="1787"/>
      <c r="BD143" s="1787"/>
      <c r="BE143" s="1787"/>
      <c r="BF143" s="1787"/>
      <c r="BG143" s="1787"/>
      <c r="BH143" s="1787"/>
      <c r="BI143" s="1787"/>
      <c r="BJ143" s="1777"/>
      <c r="BK143" s="1782"/>
      <c r="BL143" s="1789"/>
      <c r="BM143" s="1789"/>
      <c r="BN143" s="1789"/>
      <c r="BO143" s="1789"/>
      <c r="BP143" s="1789"/>
      <c r="BQ143" s="1789"/>
      <c r="BR143" s="1742"/>
      <c r="BS143" s="1742"/>
      <c r="BT143" s="1742"/>
    </row>
    <row r="144" spans="1:72" s="1738" customFormat="1" ht="22.5" customHeight="1">
      <c r="A144" s="1746"/>
      <c r="B144" s="1917"/>
      <c r="C144" s="1917"/>
      <c r="D144" s="1918"/>
      <c r="E144" s="1747"/>
      <c r="F144" s="1918"/>
      <c r="G144" s="1918"/>
      <c r="H144" s="1918"/>
      <c r="I144" s="1918"/>
      <c r="J144" s="1782"/>
      <c r="K144" s="1777"/>
      <c r="L144" s="1777"/>
      <c r="M144" s="1777"/>
      <c r="N144" s="1777"/>
      <c r="O144" s="1777"/>
      <c r="P144" s="1777"/>
      <c r="Q144" s="1777"/>
      <c r="R144" s="1776"/>
      <c r="S144" s="1777"/>
      <c r="T144" s="1777"/>
      <c r="U144" s="1777"/>
      <c r="V144" s="1777"/>
      <c r="W144" s="1777"/>
      <c r="X144" s="1777"/>
      <c r="Y144" s="1777"/>
      <c r="Z144" s="1782"/>
      <c r="AA144" s="1777"/>
      <c r="AB144" s="1777"/>
      <c r="AC144" s="1777"/>
      <c r="AD144" s="1777"/>
      <c r="AE144" s="1777"/>
      <c r="AF144" s="1777"/>
      <c r="AG144" s="1777"/>
      <c r="AH144" s="1777"/>
      <c r="AI144" s="1777"/>
      <c r="AJ144" s="1777"/>
      <c r="AK144" s="1782"/>
      <c r="AL144" s="1777"/>
      <c r="AM144" s="1777"/>
      <c r="AN144" s="1777"/>
      <c r="AO144" s="1777"/>
      <c r="AP144" s="1777"/>
      <c r="AQ144" s="1777"/>
      <c r="AR144" s="1777"/>
      <c r="AS144" s="1782"/>
      <c r="AT144" s="1787"/>
      <c r="AU144" s="1787"/>
      <c r="AV144" s="1787"/>
      <c r="AW144" s="1787"/>
      <c r="AX144" s="1787"/>
      <c r="AY144" s="1787"/>
      <c r="AZ144" s="1787"/>
      <c r="BA144" s="1787"/>
      <c r="BB144" s="1788"/>
      <c r="BC144" s="1787"/>
      <c r="BD144" s="1787"/>
      <c r="BE144" s="1787"/>
      <c r="BF144" s="1787"/>
      <c r="BG144" s="1787"/>
      <c r="BH144" s="1787"/>
      <c r="BI144" s="1787"/>
      <c r="BJ144" s="1777"/>
      <c r="BK144" s="1782"/>
      <c r="BL144" s="1787"/>
      <c r="BM144" s="1787"/>
      <c r="BN144" s="1787"/>
      <c r="BO144" s="1787"/>
      <c r="BP144" s="1787"/>
      <c r="BQ144" s="1787"/>
      <c r="BR144" s="1742"/>
      <c r="BS144" s="1742"/>
      <c r="BT144" s="1742"/>
    </row>
    <row r="145" spans="1:72" s="1738" customFormat="1" ht="22.5" customHeight="1">
      <c r="A145" s="1746"/>
      <c r="B145" s="1917"/>
      <c r="C145" s="1917"/>
      <c r="D145" s="1918"/>
      <c r="E145" s="1747"/>
      <c r="F145" s="1918"/>
      <c r="G145" s="1918"/>
      <c r="H145" s="1918"/>
      <c r="I145" s="1918"/>
      <c r="J145" s="1782"/>
      <c r="K145" s="1777"/>
      <c r="L145" s="1777"/>
      <c r="M145" s="1777"/>
      <c r="N145" s="1777"/>
      <c r="O145" s="1777"/>
      <c r="P145" s="1777"/>
      <c r="Q145" s="1777"/>
      <c r="R145" s="1776"/>
      <c r="S145" s="1777"/>
      <c r="T145" s="1777"/>
      <c r="U145" s="1777"/>
      <c r="V145" s="1777"/>
      <c r="W145" s="1777"/>
      <c r="X145" s="1777"/>
      <c r="Y145" s="1777"/>
      <c r="Z145" s="1782"/>
      <c r="AA145" s="1777"/>
      <c r="AB145" s="1777"/>
      <c r="AC145" s="1777"/>
      <c r="AD145" s="1777"/>
      <c r="AE145" s="1777"/>
      <c r="AF145" s="1777"/>
      <c r="AG145" s="1777"/>
      <c r="AH145" s="1777"/>
      <c r="AI145" s="1777"/>
      <c r="AJ145" s="1777"/>
      <c r="AK145" s="1782"/>
      <c r="AL145" s="1777"/>
      <c r="AM145" s="1777"/>
      <c r="AN145" s="1777"/>
      <c r="AO145" s="1777"/>
      <c r="AP145" s="1777"/>
      <c r="AQ145" s="1777"/>
      <c r="AR145" s="1777"/>
      <c r="AS145" s="1782"/>
      <c r="AT145" s="1787"/>
      <c r="AU145" s="1787"/>
      <c r="AV145" s="1787"/>
      <c r="AW145" s="1787"/>
      <c r="AX145" s="1787"/>
      <c r="AY145" s="1787"/>
      <c r="AZ145" s="1787"/>
      <c r="BA145" s="1787"/>
      <c r="BB145" s="1788"/>
      <c r="BC145" s="1787"/>
      <c r="BD145" s="1787"/>
      <c r="BE145" s="1787"/>
      <c r="BF145" s="1787"/>
      <c r="BG145" s="1787"/>
      <c r="BH145" s="1787"/>
      <c r="BI145" s="1787"/>
      <c r="BJ145" s="1787"/>
      <c r="BK145" s="1782"/>
      <c r="BL145" s="1789"/>
      <c r="BM145" s="1789"/>
      <c r="BN145" s="1789"/>
      <c r="BO145" s="1789"/>
      <c r="BP145" s="1789"/>
      <c r="BQ145" s="1789"/>
      <c r="BR145" s="1742"/>
      <c r="BS145" s="1742"/>
      <c r="BT145" s="1742"/>
    </row>
    <row r="146" spans="1:72" s="1738" customFormat="1" ht="22.5" customHeight="1">
      <c r="A146" s="1746"/>
      <c r="B146" s="1917"/>
      <c r="C146" s="1917"/>
      <c r="D146" s="1918"/>
      <c r="E146" s="1747"/>
      <c r="F146" s="1918"/>
      <c r="G146" s="1918"/>
      <c r="H146" s="1918"/>
      <c r="I146" s="1918"/>
      <c r="J146" s="1782"/>
      <c r="K146" s="1777"/>
      <c r="L146" s="1777"/>
      <c r="M146" s="1777"/>
      <c r="N146" s="1777"/>
      <c r="O146" s="1777"/>
      <c r="P146" s="1777"/>
      <c r="Q146" s="1777"/>
      <c r="R146" s="1776"/>
      <c r="S146" s="1777"/>
      <c r="T146" s="1777"/>
      <c r="U146" s="1777"/>
      <c r="V146" s="1777"/>
      <c r="W146" s="1777"/>
      <c r="X146" s="1777"/>
      <c r="Y146" s="1777"/>
      <c r="Z146" s="1782"/>
      <c r="AA146" s="1777"/>
      <c r="AB146" s="1777"/>
      <c r="AC146" s="1777"/>
      <c r="AD146" s="1777"/>
      <c r="AE146" s="1777"/>
      <c r="AF146" s="1777"/>
      <c r="AG146" s="1777"/>
      <c r="AH146" s="1777"/>
      <c r="AI146" s="1777"/>
      <c r="AJ146" s="1777"/>
      <c r="AK146" s="1782"/>
      <c r="AL146" s="1777"/>
      <c r="AM146" s="1777"/>
      <c r="AN146" s="1777"/>
      <c r="AO146" s="1777"/>
      <c r="AP146" s="1777"/>
      <c r="AQ146" s="1777"/>
      <c r="AR146" s="1777"/>
      <c r="AS146" s="1782"/>
      <c r="AT146" s="1787"/>
      <c r="AU146" s="1787"/>
      <c r="AV146" s="1787"/>
      <c r="AW146" s="1787"/>
      <c r="AX146" s="1787"/>
      <c r="AY146" s="1787"/>
      <c r="AZ146" s="1787"/>
      <c r="BA146" s="1787"/>
      <c r="BB146" s="1788"/>
      <c r="BC146" s="1787"/>
      <c r="BD146" s="1787"/>
      <c r="BE146" s="1787"/>
      <c r="BF146" s="1787"/>
      <c r="BG146" s="1787"/>
      <c r="BH146" s="1787"/>
      <c r="BI146" s="1787"/>
      <c r="BJ146" s="1787"/>
      <c r="BK146" s="1788"/>
      <c r="BL146" s="1787"/>
      <c r="BM146" s="1787"/>
      <c r="BN146" s="1787"/>
      <c r="BO146" s="1787"/>
      <c r="BP146" s="1787"/>
      <c r="BQ146" s="1787"/>
      <c r="BR146" s="1732"/>
      <c r="BS146" s="1732"/>
      <c r="BT146" s="1732"/>
    </row>
    <row r="147" spans="1:72" s="1738" customFormat="1" ht="22.5" customHeight="1">
      <c r="A147" s="1746"/>
      <c r="B147" s="1917"/>
      <c r="C147" s="1917"/>
      <c r="D147" s="1918"/>
      <c r="E147" s="1747"/>
      <c r="F147" s="1918"/>
      <c r="G147" s="1918"/>
      <c r="H147" s="1918"/>
      <c r="I147" s="1918"/>
      <c r="J147" s="1782"/>
      <c r="K147" s="1777"/>
      <c r="L147" s="1777"/>
      <c r="M147" s="1777"/>
      <c r="N147" s="1777"/>
      <c r="O147" s="1777"/>
      <c r="P147" s="1777"/>
      <c r="Q147" s="1777"/>
      <c r="R147" s="1776"/>
      <c r="S147" s="1777"/>
      <c r="T147" s="1777"/>
      <c r="U147" s="1777"/>
      <c r="V147" s="1777"/>
      <c r="W147" s="1777"/>
      <c r="X147" s="1777"/>
      <c r="Y147" s="1777"/>
      <c r="Z147" s="1782"/>
      <c r="AA147" s="1777"/>
      <c r="AB147" s="1777"/>
      <c r="AC147" s="1777"/>
      <c r="AD147" s="1777"/>
      <c r="AE147" s="1777"/>
      <c r="AF147" s="1777"/>
      <c r="AG147" s="1777"/>
      <c r="AH147" s="1777"/>
      <c r="AI147" s="1777"/>
      <c r="AJ147" s="1777"/>
      <c r="AK147" s="1782"/>
      <c r="AL147" s="1777"/>
      <c r="AM147" s="1777"/>
      <c r="AN147" s="1777"/>
      <c r="AO147" s="1777"/>
      <c r="AP147" s="1777"/>
      <c r="AQ147" s="1777"/>
      <c r="AR147" s="1777"/>
      <c r="AS147" s="1782"/>
      <c r="AT147" s="1787"/>
      <c r="AU147" s="1787"/>
      <c r="AV147" s="1787"/>
      <c r="AW147" s="1787"/>
      <c r="AX147" s="1787"/>
      <c r="AY147" s="1787"/>
      <c r="AZ147" s="1787"/>
      <c r="BA147" s="1787"/>
      <c r="BB147" s="1788"/>
      <c r="BC147" s="1787"/>
      <c r="BD147" s="1787"/>
      <c r="BE147" s="1787"/>
      <c r="BF147" s="1787"/>
      <c r="BG147" s="1787"/>
      <c r="BH147" s="1787"/>
      <c r="BI147" s="1787"/>
      <c r="BJ147" s="1787"/>
      <c r="BK147" s="1788"/>
      <c r="BL147" s="1787"/>
      <c r="BM147" s="1787"/>
      <c r="BN147" s="1787"/>
      <c r="BO147" s="1787"/>
      <c r="BP147" s="1787"/>
      <c r="BQ147" s="1787"/>
      <c r="BR147" s="1732"/>
      <c r="BS147" s="1732"/>
      <c r="BT147" s="1732"/>
    </row>
    <row r="148" spans="1:72" s="1738" customFormat="1" ht="22.5" customHeight="1">
      <c r="A148" s="1746"/>
      <c r="B148" s="1917"/>
      <c r="C148" s="1917"/>
      <c r="D148" s="1918"/>
      <c r="E148" s="1747"/>
      <c r="F148" s="1918"/>
      <c r="G148" s="1918"/>
      <c r="H148" s="1918"/>
      <c r="I148" s="1918"/>
      <c r="J148" s="1782"/>
      <c r="K148" s="1777"/>
      <c r="L148" s="1777"/>
      <c r="M148" s="1777"/>
      <c r="N148" s="1777"/>
      <c r="O148" s="1777"/>
      <c r="P148" s="1777"/>
      <c r="Q148" s="1777"/>
      <c r="R148" s="1776"/>
      <c r="S148" s="1777"/>
      <c r="T148" s="1777"/>
      <c r="U148" s="1777"/>
      <c r="V148" s="1777"/>
      <c r="W148" s="1777"/>
      <c r="X148" s="1777"/>
      <c r="Y148" s="1777"/>
      <c r="Z148" s="1782"/>
      <c r="AA148" s="1777"/>
      <c r="AB148" s="1777"/>
      <c r="AC148" s="1777"/>
      <c r="AD148" s="1777"/>
      <c r="AE148" s="1777"/>
      <c r="AF148" s="1777"/>
      <c r="AG148" s="1777"/>
      <c r="AH148" s="1777"/>
      <c r="AI148" s="1777"/>
      <c r="AJ148" s="1777"/>
      <c r="AK148" s="1782"/>
      <c r="AL148" s="1777"/>
      <c r="AM148" s="1777"/>
      <c r="AN148" s="1777"/>
      <c r="AO148" s="1777"/>
      <c r="AP148" s="1777"/>
      <c r="AQ148" s="1777"/>
      <c r="AR148" s="1777"/>
      <c r="AS148" s="1782"/>
      <c r="AT148" s="1787"/>
      <c r="AU148" s="1787"/>
      <c r="AV148" s="1787"/>
      <c r="AW148" s="1787"/>
      <c r="AX148" s="1787"/>
      <c r="AY148" s="1787"/>
      <c r="AZ148" s="1787"/>
      <c r="BA148" s="1787"/>
      <c r="BB148" s="1788"/>
      <c r="BC148" s="1787"/>
      <c r="BD148" s="1787"/>
      <c r="BE148" s="1787"/>
      <c r="BF148" s="1787"/>
      <c r="BG148" s="1787"/>
      <c r="BH148" s="1787"/>
      <c r="BI148" s="1787"/>
      <c r="BJ148" s="1787"/>
      <c r="BK148" s="1788"/>
      <c r="BL148" s="1787"/>
      <c r="BM148" s="1787"/>
      <c r="BN148" s="1787"/>
      <c r="BO148" s="1787"/>
      <c r="BP148" s="1787"/>
      <c r="BQ148" s="1787"/>
      <c r="BR148" s="1732"/>
      <c r="BS148" s="1732"/>
      <c r="BT148" s="1732"/>
    </row>
    <row r="149" spans="1:72" s="1738" customFormat="1" ht="22.5" customHeight="1">
      <c r="A149" s="1746"/>
      <c r="B149" s="1917"/>
      <c r="C149" s="1917"/>
      <c r="D149" s="1918"/>
      <c r="E149" s="1747"/>
      <c r="F149" s="1918"/>
      <c r="G149" s="1918"/>
      <c r="H149" s="1918"/>
      <c r="I149" s="1918"/>
      <c r="J149" s="1782"/>
      <c r="K149" s="1777"/>
      <c r="L149" s="1777"/>
      <c r="M149" s="1777"/>
      <c r="N149" s="1777"/>
      <c r="O149" s="1777"/>
      <c r="P149" s="1777"/>
      <c r="Q149" s="1777"/>
      <c r="R149" s="1776"/>
      <c r="S149" s="1777"/>
      <c r="T149" s="1777"/>
      <c r="U149" s="1777"/>
      <c r="V149" s="1777"/>
      <c r="W149" s="1777"/>
      <c r="X149" s="1777"/>
      <c r="Y149" s="1777"/>
      <c r="Z149" s="1782"/>
      <c r="AA149" s="1777"/>
      <c r="AB149" s="1777"/>
      <c r="AC149" s="1777"/>
      <c r="AD149" s="1777"/>
      <c r="AE149" s="1777"/>
      <c r="AF149" s="1777"/>
      <c r="AG149" s="1777"/>
      <c r="AH149" s="1777"/>
      <c r="AI149" s="1777"/>
      <c r="AJ149" s="1777"/>
      <c r="AK149" s="1782"/>
      <c r="AL149" s="1777"/>
      <c r="AM149" s="1777"/>
      <c r="AN149" s="1777"/>
      <c r="AO149" s="1777"/>
      <c r="AP149" s="1777"/>
      <c r="AQ149" s="1777"/>
      <c r="AR149" s="1777"/>
      <c r="AS149" s="1782"/>
      <c r="AT149" s="1787"/>
      <c r="AU149" s="1787"/>
      <c r="AV149" s="1787"/>
      <c r="AW149" s="1787"/>
      <c r="AX149" s="1787"/>
      <c r="AY149" s="1787"/>
      <c r="AZ149" s="1787"/>
      <c r="BA149" s="1787"/>
      <c r="BB149" s="1788"/>
      <c r="BC149" s="1787"/>
      <c r="BD149" s="1787"/>
      <c r="BE149" s="1787"/>
      <c r="BF149" s="1787"/>
      <c r="BG149" s="1787"/>
      <c r="BH149" s="1787"/>
      <c r="BI149" s="1787"/>
      <c r="BJ149" s="1787"/>
      <c r="BK149" s="1788"/>
      <c r="BL149" s="1787"/>
      <c r="BM149" s="1787"/>
      <c r="BN149" s="1787"/>
      <c r="BO149" s="1787"/>
      <c r="BP149" s="1787"/>
      <c r="BQ149" s="1787"/>
      <c r="BR149" s="1732"/>
      <c r="BS149" s="1732"/>
      <c r="BT149" s="1732"/>
    </row>
    <row r="150" spans="1:72" s="1738" customFormat="1" ht="22.5" customHeight="1">
      <c r="A150" s="1746"/>
      <c r="B150" s="1917"/>
      <c r="C150" s="1917"/>
      <c r="D150" s="1918"/>
      <c r="E150" s="1747"/>
      <c r="F150" s="1918"/>
      <c r="G150" s="1918"/>
      <c r="H150" s="1918"/>
      <c r="I150" s="1918"/>
      <c r="J150" s="1782"/>
      <c r="K150" s="1777"/>
      <c r="L150" s="1777"/>
      <c r="M150" s="1777"/>
      <c r="N150" s="1777"/>
      <c r="O150" s="1777"/>
      <c r="P150" s="1777"/>
      <c r="Q150" s="1777"/>
      <c r="R150" s="1776"/>
      <c r="S150" s="1777"/>
      <c r="T150" s="1777"/>
      <c r="U150" s="1777"/>
      <c r="V150" s="1777"/>
      <c r="W150" s="1777"/>
      <c r="X150" s="1777"/>
      <c r="Y150" s="1777"/>
      <c r="Z150" s="1782"/>
      <c r="AA150" s="1777"/>
      <c r="AB150" s="1777"/>
      <c r="AC150" s="1777"/>
      <c r="AD150" s="1777"/>
      <c r="AE150" s="1777"/>
      <c r="AF150" s="1777"/>
      <c r="AG150" s="1777"/>
      <c r="AH150" s="1777"/>
      <c r="AI150" s="1777"/>
      <c r="AJ150" s="1777"/>
      <c r="AK150" s="1782"/>
      <c r="AL150" s="1777"/>
      <c r="AM150" s="1777"/>
      <c r="AN150" s="1777"/>
      <c r="AO150" s="1777"/>
      <c r="AP150" s="1777"/>
      <c r="AQ150" s="1777"/>
      <c r="AR150" s="1777"/>
      <c r="AS150" s="1782"/>
      <c r="AT150" s="1787"/>
      <c r="AU150" s="1787"/>
      <c r="AV150" s="1787"/>
      <c r="AW150" s="1787"/>
      <c r="AX150" s="1787"/>
      <c r="AY150" s="1787"/>
      <c r="AZ150" s="1787"/>
      <c r="BA150" s="1787"/>
      <c r="BB150" s="1788"/>
      <c r="BC150" s="1787"/>
      <c r="BD150" s="1787"/>
      <c r="BE150" s="1787"/>
      <c r="BF150" s="1787"/>
      <c r="BG150" s="1787"/>
      <c r="BH150" s="1787"/>
      <c r="BI150" s="1787"/>
      <c r="BJ150" s="1787"/>
      <c r="BK150" s="1788"/>
      <c r="BL150" s="1755"/>
      <c r="BM150" s="1755"/>
      <c r="BN150" s="1755"/>
      <c r="BO150" s="1755"/>
      <c r="BP150" s="1755"/>
      <c r="BQ150" s="1755"/>
      <c r="BR150" s="1736"/>
      <c r="BS150" s="1736"/>
      <c r="BT150" s="1736"/>
    </row>
    <row r="151" spans="1:72" s="1738" customFormat="1" ht="22.5" customHeight="1">
      <c r="A151" s="1746"/>
      <c r="B151" s="1917"/>
      <c r="C151" s="1917"/>
      <c r="D151" s="1918"/>
      <c r="E151" s="1747"/>
      <c r="F151" s="1918"/>
      <c r="G151" s="1918"/>
      <c r="H151" s="1918"/>
      <c r="I151" s="1918"/>
      <c r="J151" s="1782"/>
      <c r="K151" s="1777"/>
      <c r="L151" s="1777"/>
      <c r="M151" s="1777"/>
      <c r="N151" s="1777"/>
      <c r="O151" s="1777"/>
      <c r="P151" s="1777"/>
      <c r="Q151" s="1777"/>
      <c r="R151" s="1776"/>
      <c r="S151" s="1777"/>
      <c r="T151" s="1777"/>
      <c r="U151" s="1777"/>
      <c r="V151" s="1777"/>
      <c r="W151" s="1777"/>
      <c r="X151" s="1777"/>
      <c r="Y151" s="1777"/>
      <c r="Z151" s="1782"/>
      <c r="AA151" s="1777"/>
      <c r="AB151" s="1777"/>
      <c r="AC151" s="1777"/>
      <c r="AD151" s="1777"/>
      <c r="AE151" s="1777"/>
      <c r="AF151" s="1777"/>
      <c r="AG151" s="1777"/>
      <c r="AH151" s="1777"/>
      <c r="AI151" s="1777"/>
      <c r="AJ151" s="1777"/>
      <c r="AK151" s="1782"/>
      <c r="AL151" s="1777"/>
      <c r="AM151" s="1777"/>
      <c r="AN151" s="1777"/>
      <c r="AO151" s="1777"/>
      <c r="AP151" s="1777"/>
      <c r="AQ151" s="1777"/>
      <c r="AR151" s="1777"/>
      <c r="AS151" s="1782"/>
      <c r="AT151" s="1787"/>
      <c r="AU151" s="1787"/>
      <c r="AV151" s="1787"/>
      <c r="AW151" s="1787"/>
      <c r="AX151" s="1787"/>
      <c r="AY151" s="1787"/>
      <c r="AZ151" s="1787"/>
      <c r="BA151" s="1787"/>
      <c r="BB151" s="1788"/>
      <c r="BC151" s="1787"/>
      <c r="BD151" s="1787"/>
      <c r="BE151" s="1787"/>
      <c r="BF151" s="1787"/>
      <c r="BG151" s="1787"/>
      <c r="BH151" s="1787"/>
      <c r="BI151" s="1787"/>
      <c r="BJ151" s="1787"/>
      <c r="BK151" s="1788"/>
      <c r="BL151" s="1755"/>
      <c r="BM151" s="1755"/>
      <c r="BN151" s="1755"/>
      <c r="BO151" s="1755"/>
      <c r="BP151" s="1755"/>
      <c r="BQ151" s="1755"/>
      <c r="BR151" s="1736"/>
      <c r="BS151" s="1736"/>
      <c r="BT151" s="1736"/>
    </row>
    <row r="152" spans="1:72" s="1742" customFormat="1" ht="22.5" customHeight="1">
      <c r="A152" s="1751"/>
      <c r="B152" s="1917"/>
      <c r="C152" s="1748"/>
      <c r="D152" s="1749"/>
      <c r="E152" s="1750"/>
      <c r="F152" s="1749"/>
      <c r="G152" s="1749"/>
      <c r="H152" s="1918"/>
      <c r="I152" s="1749"/>
      <c r="J152" s="1788"/>
      <c r="K152" s="1787"/>
      <c r="L152" s="1787"/>
      <c r="M152" s="1787"/>
      <c r="N152" s="1787"/>
      <c r="O152" s="1787"/>
      <c r="P152" s="1787"/>
      <c r="Q152" s="1787"/>
      <c r="R152" s="1776"/>
      <c r="S152" s="1787"/>
      <c r="T152" s="1787"/>
      <c r="U152" s="1787"/>
      <c r="V152" s="1787"/>
      <c r="W152" s="1777"/>
      <c r="X152" s="1787"/>
      <c r="Y152" s="1787"/>
      <c r="Z152" s="1788"/>
      <c r="AA152" s="1787"/>
      <c r="AB152" s="1787"/>
      <c r="AC152" s="1787"/>
      <c r="AD152" s="1787"/>
      <c r="AE152" s="1787"/>
      <c r="AF152" s="1787"/>
      <c r="AG152" s="1787"/>
      <c r="AH152" s="1787"/>
      <c r="AI152" s="1787"/>
      <c r="AJ152" s="1787"/>
      <c r="AK152" s="1788"/>
      <c r="AL152" s="1787"/>
      <c r="AM152" s="1787"/>
      <c r="AN152" s="1787"/>
      <c r="AO152" s="1787"/>
      <c r="AP152" s="1787"/>
      <c r="AQ152" s="1787"/>
      <c r="AR152" s="1787"/>
      <c r="AS152" s="1788"/>
      <c r="AT152" s="1787"/>
      <c r="AU152" s="1787"/>
      <c r="AV152" s="1787"/>
      <c r="AW152" s="1787"/>
      <c r="AX152" s="1787"/>
      <c r="AY152" s="1787"/>
      <c r="AZ152" s="1787"/>
      <c r="BA152" s="1787"/>
      <c r="BB152" s="1788"/>
      <c r="BC152" s="1787"/>
      <c r="BD152" s="1787"/>
      <c r="BE152" s="1787"/>
      <c r="BF152" s="1787"/>
      <c r="BG152" s="1787"/>
      <c r="BH152" s="1787"/>
      <c r="BI152" s="1787"/>
      <c r="BJ152" s="1787"/>
      <c r="BK152" s="1788"/>
      <c r="BL152" s="1755"/>
      <c r="BM152" s="1755"/>
      <c r="BN152" s="1755"/>
      <c r="BO152" s="1755"/>
      <c r="BP152" s="1755"/>
      <c r="BQ152" s="1755"/>
      <c r="BR152" s="1736"/>
      <c r="BS152" s="1736"/>
      <c r="BT152" s="1736"/>
    </row>
    <row r="153" spans="1:72" s="1742" customFormat="1" ht="22.5" customHeight="1">
      <c r="A153" s="1751"/>
      <c r="B153" s="1917"/>
      <c r="C153" s="1748"/>
      <c r="D153" s="1749"/>
      <c r="E153" s="1750"/>
      <c r="F153" s="1749"/>
      <c r="G153" s="1749"/>
      <c r="H153" s="1918"/>
      <c r="I153" s="1749"/>
      <c r="J153" s="1788"/>
      <c r="K153" s="1787"/>
      <c r="L153" s="1787"/>
      <c r="M153" s="1787"/>
      <c r="N153" s="1787"/>
      <c r="O153" s="1787"/>
      <c r="P153" s="1787"/>
      <c r="Q153" s="1787"/>
      <c r="R153" s="1776"/>
      <c r="S153" s="1787"/>
      <c r="T153" s="1787"/>
      <c r="U153" s="1787"/>
      <c r="V153" s="1787"/>
      <c r="W153" s="1777"/>
      <c r="X153" s="1787"/>
      <c r="Y153" s="1787"/>
      <c r="Z153" s="1788"/>
      <c r="AA153" s="1787"/>
      <c r="AB153" s="1787"/>
      <c r="AC153" s="1787"/>
      <c r="AD153" s="1787"/>
      <c r="AE153" s="1787"/>
      <c r="AF153" s="1787"/>
      <c r="AG153" s="1787"/>
      <c r="AH153" s="1787"/>
      <c r="AI153" s="1787"/>
      <c r="AJ153" s="1787"/>
      <c r="AK153" s="1788"/>
      <c r="AL153" s="1787"/>
      <c r="AM153" s="1787"/>
      <c r="AN153" s="1787"/>
      <c r="AO153" s="1787"/>
      <c r="AP153" s="1787"/>
      <c r="AQ153" s="1787"/>
      <c r="AR153" s="1787"/>
      <c r="AS153" s="1788"/>
      <c r="AT153" s="1787"/>
      <c r="AU153" s="1787"/>
      <c r="AV153" s="1787"/>
      <c r="AW153" s="1787"/>
      <c r="AX153" s="1787"/>
      <c r="AY153" s="1787"/>
      <c r="AZ153" s="1787"/>
      <c r="BA153" s="1789"/>
      <c r="BB153" s="1788"/>
      <c r="BC153" s="1789"/>
      <c r="BD153" s="1789"/>
      <c r="BE153" s="1789"/>
      <c r="BF153" s="1789"/>
      <c r="BG153" s="1789"/>
      <c r="BH153" s="1789"/>
      <c r="BI153" s="1789"/>
      <c r="BJ153" s="1787"/>
      <c r="BK153" s="1788"/>
      <c r="BL153" s="1755"/>
      <c r="BM153" s="1755"/>
      <c r="BN153" s="1755"/>
      <c r="BO153" s="1755"/>
      <c r="BP153" s="1755"/>
      <c r="BQ153" s="1755"/>
      <c r="BR153" s="1736"/>
      <c r="BS153" s="1736"/>
      <c r="BT153" s="1736"/>
    </row>
    <row r="154" spans="1:72" s="1742" customFormat="1" ht="22.5" customHeight="1">
      <c r="A154" s="1751"/>
      <c r="B154" s="1917"/>
      <c r="C154" s="1748"/>
      <c r="D154" s="1749"/>
      <c r="E154" s="1750"/>
      <c r="F154" s="1749"/>
      <c r="G154" s="1749"/>
      <c r="H154" s="1918"/>
      <c r="I154" s="1749"/>
      <c r="J154" s="1788"/>
      <c r="K154" s="1787"/>
      <c r="L154" s="1787"/>
      <c r="M154" s="1787"/>
      <c r="N154" s="1787"/>
      <c r="O154" s="1787"/>
      <c r="P154" s="1787"/>
      <c r="Q154" s="1787"/>
      <c r="R154" s="1776"/>
      <c r="S154" s="1787"/>
      <c r="T154" s="1787"/>
      <c r="U154" s="1787"/>
      <c r="V154" s="1787"/>
      <c r="W154" s="1777"/>
      <c r="X154" s="1787"/>
      <c r="Y154" s="1787"/>
      <c r="Z154" s="1788"/>
      <c r="AA154" s="1787"/>
      <c r="AB154" s="1787"/>
      <c r="AC154" s="1787"/>
      <c r="AD154" s="1787"/>
      <c r="AE154" s="1787"/>
      <c r="AF154" s="1787"/>
      <c r="AG154" s="1787"/>
      <c r="AH154" s="1787"/>
      <c r="AI154" s="1787"/>
      <c r="AJ154" s="1787"/>
      <c r="AK154" s="1788"/>
      <c r="AL154" s="1787"/>
      <c r="AM154" s="1787"/>
      <c r="AN154" s="1787"/>
      <c r="AO154" s="1787"/>
      <c r="AP154" s="1787"/>
      <c r="AQ154" s="1787"/>
      <c r="AR154" s="1787"/>
      <c r="AS154" s="1788"/>
      <c r="AT154" s="1787"/>
      <c r="AU154" s="1787"/>
      <c r="AV154" s="1787"/>
      <c r="AW154" s="1787"/>
      <c r="AX154" s="1787"/>
      <c r="AY154" s="1787"/>
      <c r="AZ154" s="1787"/>
      <c r="BA154" s="1787"/>
      <c r="BB154" s="1790"/>
      <c r="BC154" s="1787"/>
      <c r="BD154" s="1787"/>
      <c r="BE154" s="1787"/>
      <c r="BF154" s="1787"/>
      <c r="BG154" s="1787"/>
      <c r="BH154" s="1787"/>
      <c r="BI154" s="1787"/>
      <c r="BJ154" s="1787"/>
      <c r="BK154" s="1788"/>
      <c r="BL154" s="1763"/>
      <c r="BM154" s="1763"/>
      <c r="BN154" s="1763"/>
      <c r="BO154" s="1763"/>
      <c r="BP154" s="1763"/>
      <c r="BQ154" s="1763"/>
      <c r="BR154" s="1736"/>
      <c r="BS154" s="1736"/>
      <c r="BT154" s="1736"/>
    </row>
    <row r="155" spans="1:72" s="1742" customFormat="1" ht="22.5" customHeight="1">
      <c r="A155" s="1751"/>
      <c r="B155" s="1917"/>
      <c r="C155" s="1748"/>
      <c r="D155" s="1749"/>
      <c r="E155" s="1750"/>
      <c r="F155" s="1749"/>
      <c r="G155" s="1749"/>
      <c r="H155" s="1918"/>
      <c r="I155" s="1749"/>
      <c r="J155" s="1788"/>
      <c r="K155" s="1787"/>
      <c r="L155" s="1787"/>
      <c r="M155" s="1787"/>
      <c r="N155" s="1787"/>
      <c r="O155" s="1787"/>
      <c r="P155" s="1787"/>
      <c r="Q155" s="1787"/>
      <c r="R155" s="1776"/>
      <c r="S155" s="1787"/>
      <c r="T155" s="1787"/>
      <c r="U155" s="1787"/>
      <c r="V155" s="1787"/>
      <c r="W155" s="1777"/>
      <c r="X155" s="1787"/>
      <c r="Y155" s="1787"/>
      <c r="Z155" s="1788"/>
      <c r="AA155" s="1787"/>
      <c r="AB155" s="1787"/>
      <c r="AC155" s="1787"/>
      <c r="AD155" s="1787"/>
      <c r="AE155" s="1787"/>
      <c r="AF155" s="1787"/>
      <c r="AG155" s="1787"/>
      <c r="AH155" s="1787"/>
      <c r="AI155" s="1787"/>
      <c r="AJ155" s="1787"/>
      <c r="AK155" s="1788"/>
      <c r="AL155" s="1787"/>
      <c r="AM155" s="1787"/>
      <c r="AN155" s="1787"/>
      <c r="AO155" s="1787"/>
      <c r="AP155" s="1787"/>
      <c r="AQ155" s="1787"/>
      <c r="AR155" s="1787"/>
      <c r="AS155" s="1788"/>
      <c r="AT155" s="1789"/>
      <c r="AU155" s="1789"/>
      <c r="AV155" s="1789"/>
      <c r="AW155" s="1789"/>
      <c r="AX155" s="1789"/>
      <c r="AY155" s="1789"/>
      <c r="AZ155" s="1789"/>
      <c r="BA155" s="1789"/>
      <c r="BB155" s="1788"/>
      <c r="BC155" s="1789"/>
      <c r="BD155" s="1789"/>
      <c r="BE155" s="1789"/>
      <c r="BF155" s="1789"/>
      <c r="BG155" s="1789"/>
      <c r="BH155" s="1789"/>
      <c r="BI155" s="1789"/>
      <c r="BJ155" s="1787"/>
      <c r="BK155" s="1788"/>
      <c r="BL155" s="1763"/>
      <c r="BM155" s="1763"/>
      <c r="BN155" s="1763"/>
      <c r="BO155" s="1763"/>
      <c r="BP155" s="1763"/>
      <c r="BQ155" s="1763"/>
      <c r="BR155" s="1736"/>
      <c r="BS155" s="1736"/>
      <c r="BT155" s="1736"/>
    </row>
    <row r="156" spans="1:72" s="1742" customFormat="1" ht="22.5" customHeight="1">
      <c r="A156" s="1751"/>
      <c r="B156" s="1917"/>
      <c r="C156" s="1748"/>
      <c r="D156" s="1749"/>
      <c r="E156" s="1750"/>
      <c r="F156" s="1749"/>
      <c r="G156" s="1749"/>
      <c r="H156" s="1918"/>
      <c r="I156" s="1749"/>
      <c r="J156" s="1788"/>
      <c r="K156" s="1787"/>
      <c r="L156" s="1787"/>
      <c r="M156" s="1787"/>
      <c r="N156" s="1787"/>
      <c r="O156" s="1787"/>
      <c r="P156" s="1787"/>
      <c r="Q156" s="1787"/>
      <c r="R156" s="1776"/>
      <c r="S156" s="1787"/>
      <c r="T156" s="1787"/>
      <c r="U156" s="1787"/>
      <c r="V156" s="1787"/>
      <c r="W156" s="1777"/>
      <c r="X156" s="1787"/>
      <c r="Y156" s="1787"/>
      <c r="Z156" s="1788"/>
      <c r="AA156" s="1787"/>
      <c r="AB156" s="1787"/>
      <c r="AC156" s="1787"/>
      <c r="AD156" s="1787"/>
      <c r="AE156" s="1787"/>
      <c r="AF156" s="1787"/>
      <c r="AG156" s="1787"/>
      <c r="AH156" s="1787"/>
      <c r="AI156" s="1787"/>
      <c r="AJ156" s="1787"/>
      <c r="AK156" s="1788"/>
      <c r="AL156" s="1787"/>
      <c r="AM156" s="1787"/>
      <c r="AN156" s="1787"/>
      <c r="AO156" s="1787"/>
      <c r="AP156" s="1787"/>
      <c r="AQ156" s="1787"/>
      <c r="AR156" s="1787"/>
      <c r="AS156" s="1788"/>
      <c r="AT156" s="1787"/>
      <c r="AU156" s="1787"/>
      <c r="AV156" s="1787"/>
      <c r="AW156" s="1787"/>
      <c r="AX156" s="1787"/>
      <c r="AY156" s="1787"/>
      <c r="AZ156" s="1787"/>
      <c r="BA156" s="1787"/>
      <c r="BB156" s="1790"/>
      <c r="BC156" s="1787"/>
      <c r="BD156" s="1787"/>
      <c r="BE156" s="1787"/>
      <c r="BF156" s="1787"/>
      <c r="BG156" s="1787"/>
      <c r="BH156" s="1787"/>
      <c r="BI156" s="1787"/>
      <c r="BJ156" s="1789"/>
      <c r="BK156" s="1788"/>
      <c r="BL156" s="1763"/>
      <c r="BM156" s="1763"/>
      <c r="BN156" s="1763"/>
      <c r="BO156" s="1763"/>
      <c r="BP156" s="1763"/>
      <c r="BQ156" s="1763"/>
      <c r="BR156" s="1736"/>
      <c r="BS156" s="1736"/>
      <c r="BT156" s="1736"/>
    </row>
    <row r="157" spans="1:72" s="1742" customFormat="1" ht="22.5" customHeight="1">
      <c r="A157" s="1751"/>
      <c r="B157" s="1738"/>
      <c r="H157" s="1738"/>
      <c r="J157" s="1788"/>
      <c r="K157" s="1787"/>
      <c r="L157" s="1787"/>
      <c r="M157" s="1787"/>
      <c r="N157" s="1787"/>
      <c r="O157" s="1787"/>
      <c r="P157" s="1787"/>
      <c r="Q157" s="1787"/>
      <c r="R157" s="1776"/>
      <c r="S157" s="1787"/>
      <c r="T157" s="1787"/>
      <c r="U157" s="1787"/>
      <c r="V157" s="1787"/>
      <c r="W157" s="1777"/>
      <c r="X157" s="1787"/>
      <c r="Y157" s="1787"/>
      <c r="Z157" s="1788"/>
      <c r="AA157" s="1787"/>
      <c r="AB157" s="1787"/>
      <c r="AC157" s="1787"/>
      <c r="AD157" s="1787"/>
      <c r="AE157" s="1787"/>
      <c r="AF157" s="1787"/>
      <c r="AG157" s="1787"/>
      <c r="AH157" s="1787"/>
      <c r="AI157" s="1787"/>
      <c r="AJ157" s="1787"/>
      <c r="AK157" s="1788"/>
      <c r="AL157" s="1787"/>
      <c r="AM157" s="1787"/>
      <c r="AN157" s="1787"/>
      <c r="AO157" s="1787"/>
      <c r="AP157" s="1787"/>
      <c r="AQ157" s="1787"/>
      <c r="AR157" s="1787"/>
      <c r="AS157" s="1788"/>
      <c r="AT157" s="1789"/>
      <c r="AU157" s="1789"/>
      <c r="AV157" s="1789"/>
      <c r="AW157" s="1789"/>
      <c r="AX157" s="1789"/>
      <c r="AY157" s="1789"/>
      <c r="AZ157" s="1789"/>
      <c r="BA157" s="1787"/>
      <c r="BB157" s="1788"/>
      <c r="BC157" s="1787"/>
      <c r="BD157" s="1787"/>
      <c r="BE157" s="1787"/>
      <c r="BF157" s="1787"/>
      <c r="BG157" s="1787"/>
      <c r="BH157" s="1787"/>
      <c r="BI157" s="1787"/>
      <c r="BJ157" s="1787"/>
      <c r="BK157" s="1790"/>
      <c r="BL157" s="1763"/>
      <c r="BM157" s="1763"/>
      <c r="BN157" s="1763"/>
      <c r="BO157" s="1763"/>
      <c r="BP157" s="1763"/>
      <c r="BQ157" s="1763"/>
      <c r="BR157" s="1736"/>
      <c r="BS157" s="1736"/>
      <c r="BT157" s="1736"/>
    </row>
    <row r="158" spans="1:72" s="1742" customFormat="1" ht="22.5" customHeight="1">
      <c r="B158" s="1738"/>
      <c r="H158" s="1738"/>
      <c r="J158" s="1788"/>
      <c r="K158" s="1787"/>
      <c r="L158" s="1787"/>
      <c r="M158" s="1787"/>
      <c r="N158" s="1787"/>
      <c r="O158" s="1787"/>
      <c r="P158" s="1787"/>
      <c r="Q158" s="1787"/>
      <c r="R158" s="1776"/>
      <c r="S158" s="1787"/>
      <c r="T158" s="1787"/>
      <c r="U158" s="1787"/>
      <c r="V158" s="1787"/>
      <c r="W158" s="1777"/>
      <c r="X158" s="1787"/>
      <c r="Y158" s="1787"/>
      <c r="Z158" s="1788"/>
      <c r="AA158" s="1787"/>
      <c r="AB158" s="1787"/>
      <c r="AC158" s="1787"/>
      <c r="AD158" s="1787"/>
      <c r="AE158" s="1787"/>
      <c r="AF158" s="1787"/>
      <c r="AG158" s="1787"/>
      <c r="AH158" s="1787"/>
      <c r="AI158" s="1787"/>
      <c r="AJ158" s="1787"/>
      <c r="AK158" s="1788"/>
      <c r="AL158" s="1787"/>
      <c r="AM158" s="1787"/>
      <c r="AN158" s="1787"/>
      <c r="AO158" s="1787"/>
      <c r="AP158" s="1787"/>
      <c r="AQ158" s="1787"/>
      <c r="AR158" s="1787"/>
      <c r="AS158" s="1788"/>
      <c r="AT158" s="1787"/>
      <c r="AU158" s="1787"/>
      <c r="AV158" s="1787"/>
      <c r="AW158" s="1787"/>
      <c r="AX158" s="1787"/>
      <c r="AY158" s="1787"/>
      <c r="AZ158" s="1787"/>
      <c r="BA158" s="1787"/>
      <c r="BB158" s="1788"/>
      <c r="BC158" s="1787"/>
      <c r="BD158" s="1787"/>
      <c r="BE158" s="1787"/>
      <c r="BF158" s="1787"/>
      <c r="BG158" s="1787"/>
      <c r="BH158" s="1787"/>
      <c r="BI158" s="1787"/>
      <c r="BJ158" s="1789"/>
      <c r="BK158" s="1788"/>
      <c r="BL158" s="1763"/>
      <c r="BM158" s="1763"/>
      <c r="BN158" s="1763"/>
      <c r="BO158" s="1763"/>
      <c r="BP158" s="1763"/>
      <c r="BQ158" s="1763"/>
      <c r="BR158" s="1736"/>
      <c r="BS158" s="1736"/>
      <c r="BT158" s="1736"/>
    </row>
    <row r="159" spans="1:72" s="1742" customFormat="1" ht="22.5" customHeight="1">
      <c r="A159" s="1751"/>
      <c r="B159" s="1738"/>
      <c r="H159" s="1738"/>
      <c r="J159" s="1788"/>
      <c r="K159" s="1787"/>
      <c r="L159" s="1787"/>
      <c r="M159" s="1787"/>
      <c r="N159" s="1787"/>
      <c r="O159" s="1787"/>
      <c r="P159" s="1787"/>
      <c r="Q159" s="1787"/>
      <c r="R159" s="1776"/>
      <c r="S159" s="1787"/>
      <c r="T159" s="1787"/>
      <c r="U159" s="1787"/>
      <c r="V159" s="1787"/>
      <c r="W159" s="1777"/>
      <c r="X159" s="1787"/>
      <c r="Y159" s="1787"/>
      <c r="Z159" s="1788"/>
      <c r="AA159" s="1787"/>
      <c r="AB159" s="1787"/>
      <c r="AC159" s="1787"/>
      <c r="AD159" s="1787"/>
      <c r="AE159" s="1787"/>
      <c r="AF159" s="1787"/>
      <c r="AG159" s="1787"/>
      <c r="AH159" s="1787"/>
      <c r="AI159" s="1787"/>
      <c r="AJ159" s="1787"/>
      <c r="AK159" s="1788"/>
      <c r="AL159" s="1787"/>
      <c r="AM159" s="1787"/>
      <c r="AN159" s="1787"/>
      <c r="AO159" s="1787"/>
      <c r="AP159" s="1787"/>
      <c r="AQ159" s="1787"/>
      <c r="AR159" s="1787"/>
      <c r="AS159" s="1788"/>
      <c r="AT159" s="1787"/>
      <c r="AU159" s="1787"/>
      <c r="AV159" s="1787"/>
      <c r="AW159" s="1787"/>
      <c r="AX159" s="1787"/>
      <c r="AY159" s="1787"/>
      <c r="AZ159" s="1787"/>
      <c r="BA159" s="1787"/>
      <c r="BB159" s="1788"/>
      <c r="BC159" s="1787"/>
      <c r="BD159" s="1787"/>
      <c r="BE159" s="1787"/>
      <c r="BF159" s="1787"/>
      <c r="BG159" s="1787"/>
      <c r="BH159" s="1787"/>
      <c r="BI159" s="1787"/>
      <c r="BJ159" s="1787"/>
      <c r="BK159" s="1790"/>
      <c r="BL159" s="1763"/>
      <c r="BM159" s="1763"/>
      <c r="BN159" s="1763"/>
      <c r="BO159" s="1763"/>
      <c r="BP159" s="1763"/>
      <c r="BQ159" s="1763"/>
      <c r="BR159" s="1736"/>
      <c r="BS159" s="1736"/>
      <c r="BT159" s="1736"/>
    </row>
    <row r="160" spans="1:72" s="1742" customFormat="1" ht="22.5" customHeight="1">
      <c r="A160" s="1751"/>
      <c r="B160" s="1738"/>
      <c r="H160" s="1738"/>
      <c r="J160" s="1788"/>
      <c r="K160" s="1787"/>
      <c r="L160" s="1787"/>
      <c r="M160" s="1787"/>
      <c r="N160" s="1787"/>
      <c r="O160" s="1787"/>
      <c r="P160" s="1787"/>
      <c r="Q160" s="1787"/>
      <c r="R160" s="1776"/>
      <c r="S160" s="1787"/>
      <c r="T160" s="1787"/>
      <c r="U160" s="1787"/>
      <c r="V160" s="1787"/>
      <c r="W160" s="1777"/>
      <c r="X160" s="1787"/>
      <c r="Y160" s="1787"/>
      <c r="Z160" s="1788"/>
      <c r="AA160" s="1787"/>
      <c r="AB160" s="1787"/>
      <c r="AC160" s="1787"/>
      <c r="AD160" s="1787"/>
      <c r="AE160" s="1787"/>
      <c r="AF160" s="1787"/>
      <c r="AG160" s="1787"/>
      <c r="AH160" s="1787"/>
      <c r="AI160" s="1787"/>
      <c r="AJ160" s="1787"/>
      <c r="AK160" s="1788"/>
      <c r="AL160" s="1787"/>
      <c r="AM160" s="1787"/>
      <c r="AN160" s="1787"/>
      <c r="AO160" s="1787"/>
      <c r="AP160" s="1787"/>
      <c r="AQ160" s="1787"/>
      <c r="AR160" s="1787"/>
      <c r="AS160" s="1788"/>
      <c r="AT160" s="1787"/>
      <c r="AU160" s="1787"/>
      <c r="AV160" s="1787"/>
      <c r="AW160" s="1787"/>
      <c r="AX160" s="1787"/>
      <c r="AY160" s="1787"/>
      <c r="AZ160" s="1787"/>
      <c r="BA160" s="1755"/>
      <c r="BB160" s="1788"/>
      <c r="BC160" s="1755"/>
      <c r="BD160" s="1755"/>
      <c r="BE160" s="1755"/>
      <c r="BF160" s="1755"/>
      <c r="BG160" s="1755"/>
      <c r="BH160" s="1755"/>
      <c r="BI160" s="1755"/>
      <c r="BJ160" s="1787"/>
      <c r="BK160" s="1788"/>
      <c r="BL160" s="1763"/>
      <c r="BM160" s="1763"/>
      <c r="BN160" s="1763"/>
      <c r="BO160" s="1763"/>
      <c r="BP160" s="1763"/>
      <c r="BQ160" s="1763"/>
      <c r="BR160" s="1736"/>
      <c r="BS160" s="1736"/>
      <c r="BT160" s="1736"/>
    </row>
    <row r="161" spans="1:72" s="1742" customFormat="1" ht="22.5" customHeight="1">
      <c r="A161" s="1752"/>
      <c r="B161" s="1738"/>
      <c r="H161" s="1738"/>
      <c r="J161" s="1788"/>
      <c r="K161" s="1787"/>
      <c r="L161" s="1787"/>
      <c r="M161" s="1787"/>
      <c r="N161" s="1787"/>
      <c r="O161" s="1787"/>
      <c r="P161" s="1787"/>
      <c r="Q161" s="1787"/>
      <c r="R161" s="1776"/>
      <c r="S161" s="1787"/>
      <c r="T161" s="1787"/>
      <c r="U161" s="1787"/>
      <c r="V161" s="1787"/>
      <c r="W161" s="1777"/>
      <c r="X161" s="1787"/>
      <c r="Y161" s="1787"/>
      <c r="Z161" s="1788"/>
      <c r="AA161" s="1787"/>
      <c r="AB161" s="1787"/>
      <c r="AC161" s="1787"/>
      <c r="AD161" s="1787"/>
      <c r="AE161" s="1787"/>
      <c r="AF161" s="1787"/>
      <c r="AG161" s="1787"/>
      <c r="AH161" s="1787"/>
      <c r="AI161" s="1787"/>
      <c r="AJ161" s="1787"/>
      <c r="AK161" s="1788"/>
      <c r="AL161" s="1787"/>
      <c r="AM161" s="1787"/>
      <c r="AN161" s="1787"/>
      <c r="AO161" s="1787"/>
      <c r="AP161" s="1787"/>
      <c r="AQ161" s="1787"/>
      <c r="AR161" s="1787"/>
      <c r="AS161" s="1788"/>
      <c r="AT161" s="1787"/>
      <c r="AU161" s="1787"/>
      <c r="AV161" s="1787"/>
      <c r="AW161" s="1787"/>
      <c r="AX161" s="1787"/>
      <c r="AY161" s="1787"/>
      <c r="AZ161" s="1787"/>
      <c r="BA161" s="1755"/>
      <c r="BB161" s="1778"/>
      <c r="BC161" s="1755"/>
      <c r="BD161" s="1755"/>
      <c r="BE161" s="1755"/>
      <c r="BF161" s="1755"/>
      <c r="BG161" s="1755"/>
      <c r="BH161" s="1755"/>
      <c r="BI161" s="1755"/>
      <c r="BJ161" s="1787"/>
      <c r="BK161" s="1788"/>
      <c r="BL161" s="1763"/>
      <c r="BM161" s="1763"/>
      <c r="BN161" s="1763"/>
      <c r="BO161" s="1763"/>
      <c r="BP161" s="1763"/>
      <c r="BQ161" s="1763"/>
      <c r="BR161" s="1734"/>
      <c r="BS161" s="1734"/>
      <c r="BT161" s="1734"/>
    </row>
    <row r="162" spans="1:72" s="1742" customFormat="1" ht="22.5" customHeight="1">
      <c r="A162" s="1752"/>
      <c r="B162" s="1738"/>
      <c r="H162" s="1738"/>
      <c r="J162" s="1788"/>
      <c r="K162" s="1787"/>
      <c r="L162" s="1787"/>
      <c r="M162" s="1787"/>
      <c r="N162" s="1787"/>
      <c r="O162" s="1787"/>
      <c r="P162" s="1787"/>
      <c r="Q162" s="1787"/>
      <c r="R162" s="1776"/>
      <c r="S162" s="1787"/>
      <c r="T162" s="1787"/>
      <c r="U162" s="1787"/>
      <c r="V162" s="1787"/>
      <c r="W162" s="1777"/>
      <c r="X162" s="1787"/>
      <c r="Y162" s="1787"/>
      <c r="Z162" s="1788"/>
      <c r="AA162" s="1787"/>
      <c r="AB162" s="1787"/>
      <c r="AC162" s="1787"/>
      <c r="AD162" s="1787"/>
      <c r="AE162" s="1787"/>
      <c r="AF162" s="1787"/>
      <c r="AG162" s="1787"/>
      <c r="AH162" s="1787"/>
      <c r="AI162" s="1787"/>
      <c r="AJ162" s="1787"/>
      <c r="AK162" s="1788"/>
      <c r="AL162" s="1787"/>
      <c r="AM162" s="1787"/>
      <c r="AN162" s="1787"/>
      <c r="AO162" s="1787"/>
      <c r="AP162" s="1787"/>
      <c r="AQ162" s="1787"/>
      <c r="AR162" s="1787"/>
      <c r="AS162" s="1788"/>
      <c r="AT162" s="1755"/>
      <c r="AU162" s="1755"/>
      <c r="AV162" s="1755"/>
      <c r="AW162" s="1755"/>
      <c r="AX162" s="1755"/>
      <c r="AY162" s="1755"/>
      <c r="AZ162" s="1755"/>
      <c r="BA162" s="1755"/>
      <c r="BB162" s="1778"/>
      <c r="BC162" s="1755"/>
      <c r="BD162" s="1755"/>
      <c r="BE162" s="1755"/>
      <c r="BF162" s="1755"/>
      <c r="BG162" s="1755"/>
      <c r="BH162" s="1755"/>
      <c r="BI162" s="1755"/>
      <c r="BJ162" s="1787"/>
      <c r="BK162" s="1788"/>
      <c r="BL162" s="1763"/>
      <c r="BM162" s="1763"/>
      <c r="BN162" s="1763"/>
      <c r="BO162" s="1763"/>
      <c r="BP162" s="1763"/>
      <c r="BQ162" s="1763"/>
      <c r="BR162" s="1734"/>
      <c r="BS162" s="1734"/>
      <c r="BT162" s="1734"/>
    </row>
    <row r="163" spans="1:72" s="1752" customFormat="1" ht="22.5" customHeight="1">
      <c r="B163" s="1739"/>
      <c r="H163" s="1739"/>
      <c r="J163" s="1790"/>
      <c r="K163" s="1789"/>
      <c r="L163" s="1789"/>
      <c r="M163" s="1789"/>
      <c r="N163" s="1789"/>
      <c r="O163" s="1789"/>
      <c r="P163" s="1789"/>
      <c r="Q163" s="1789"/>
      <c r="R163" s="1775"/>
      <c r="S163" s="1789"/>
      <c r="T163" s="1789"/>
      <c r="U163" s="1789"/>
      <c r="V163" s="1789"/>
      <c r="W163" s="1791"/>
      <c r="X163" s="1789"/>
      <c r="Y163" s="1789"/>
      <c r="Z163" s="1790"/>
      <c r="AA163" s="1789"/>
      <c r="AB163" s="1789"/>
      <c r="AC163" s="1789"/>
      <c r="AD163" s="1789"/>
      <c r="AE163" s="1789"/>
      <c r="AF163" s="1789"/>
      <c r="AG163" s="1789"/>
      <c r="AH163" s="1789"/>
      <c r="AI163" s="1789"/>
      <c r="AJ163" s="1789"/>
      <c r="AK163" s="1790"/>
      <c r="AL163" s="1789"/>
      <c r="AM163" s="1789"/>
      <c r="AN163" s="1789"/>
      <c r="AO163" s="1789"/>
      <c r="AP163" s="1789"/>
      <c r="AQ163" s="1789"/>
      <c r="AR163" s="1789"/>
      <c r="AS163" s="1790"/>
      <c r="AT163" s="1755"/>
      <c r="AU163" s="1755"/>
      <c r="AV163" s="1755"/>
      <c r="AW163" s="1755"/>
      <c r="AX163" s="1755"/>
      <c r="AY163" s="1755"/>
      <c r="AZ163" s="1755"/>
      <c r="BA163" s="1755"/>
      <c r="BB163" s="1778"/>
      <c r="BC163" s="1755"/>
      <c r="BD163" s="1755"/>
      <c r="BE163" s="1755"/>
      <c r="BF163" s="1755"/>
      <c r="BG163" s="1755"/>
      <c r="BH163" s="1755"/>
      <c r="BI163" s="1755"/>
      <c r="BJ163" s="1755"/>
      <c r="BK163" s="1788"/>
      <c r="BL163" s="1763"/>
      <c r="BM163" s="1763"/>
      <c r="BN163" s="1763"/>
      <c r="BO163" s="1763"/>
      <c r="BP163" s="1763"/>
      <c r="BQ163" s="1763"/>
      <c r="BR163" s="1734"/>
      <c r="BS163" s="1734"/>
      <c r="BT163" s="1734"/>
    </row>
    <row r="164" spans="1:72" s="1742" customFormat="1" ht="22.5" customHeight="1">
      <c r="B164" s="1738"/>
      <c r="H164" s="1738"/>
      <c r="J164" s="1788"/>
      <c r="K164" s="1787"/>
      <c r="L164" s="1787"/>
      <c r="M164" s="1787"/>
      <c r="N164" s="1787"/>
      <c r="O164" s="1787"/>
      <c r="P164" s="1787"/>
      <c r="Q164" s="1787"/>
      <c r="R164" s="1776"/>
      <c r="S164" s="1787"/>
      <c r="T164" s="1787"/>
      <c r="U164" s="1787"/>
      <c r="V164" s="1787"/>
      <c r="W164" s="1777"/>
      <c r="X164" s="1787"/>
      <c r="Y164" s="1787"/>
      <c r="Z164" s="1788"/>
      <c r="AA164" s="1787"/>
      <c r="AB164" s="1787"/>
      <c r="AC164" s="1787"/>
      <c r="AD164" s="1787"/>
      <c r="AE164" s="1787"/>
      <c r="AF164" s="1787"/>
      <c r="AG164" s="1787"/>
      <c r="AH164" s="1787"/>
      <c r="AI164" s="1787"/>
      <c r="AJ164" s="1787"/>
      <c r="AK164" s="1788"/>
      <c r="AL164" s="1787"/>
      <c r="AM164" s="1787"/>
      <c r="AN164" s="1787"/>
      <c r="AO164" s="1787"/>
      <c r="AP164" s="1787"/>
      <c r="AQ164" s="1787"/>
      <c r="AR164" s="1787"/>
      <c r="AS164" s="1788"/>
      <c r="AT164" s="1755"/>
      <c r="AU164" s="1755"/>
      <c r="AV164" s="1755"/>
      <c r="AW164" s="1755"/>
      <c r="AX164" s="1755"/>
      <c r="AY164" s="1755"/>
      <c r="AZ164" s="1755"/>
      <c r="BA164" s="1763"/>
      <c r="BB164" s="1778"/>
      <c r="BC164" s="1763"/>
      <c r="BD164" s="1763"/>
      <c r="BE164" s="1763"/>
      <c r="BF164" s="1763"/>
      <c r="BG164" s="1763"/>
      <c r="BH164" s="1763"/>
      <c r="BI164" s="1763"/>
      <c r="BJ164" s="1755"/>
      <c r="BK164" s="1778"/>
      <c r="BL164" s="1763"/>
      <c r="BM164" s="1763"/>
      <c r="BN164" s="1763"/>
      <c r="BO164" s="1763"/>
      <c r="BP164" s="1763"/>
      <c r="BQ164" s="1763"/>
      <c r="BR164" s="1738"/>
      <c r="BS164" s="1738"/>
      <c r="BT164" s="1738"/>
    </row>
    <row r="165" spans="1:72" s="1752" customFormat="1" ht="22.5" customHeight="1">
      <c r="B165" s="1739"/>
      <c r="H165" s="1739"/>
      <c r="J165" s="1790"/>
      <c r="K165" s="1789"/>
      <c r="L165" s="1789"/>
      <c r="M165" s="1789"/>
      <c r="N165" s="1789"/>
      <c r="O165" s="1789"/>
      <c r="P165" s="1789"/>
      <c r="Q165" s="1789"/>
      <c r="R165" s="1775"/>
      <c r="S165" s="1789"/>
      <c r="T165" s="1789"/>
      <c r="U165" s="1789"/>
      <c r="V165" s="1789"/>
      <c r="W165" s="1791"/>
      <c r="X165" s="1789"/>
      <c r="Y165" s="1789"/>
      <c r="Z165" s="1790"/>
      <c r="AA165" s="1789"/>
      <c r="AB165" s="1789"/>
      <c r="AC165" s="1789"/>
      <c r="AD165" s="1789"/>
      <c r="AE165" s="1789"/>
      <c r="AF165" s="1789"/>
      <c r="AG165" s="1789"/>
      <c r="AH165" s="1789"/>
      <c r="AI165" s="1789"/>
      <c r="AJ165" s="1789"/>
      <c r="AK165" s="1790"/>
      <c r="AL165" s="1789"/>
      <c r="AM165" s="1789"/>
      <c r="AN165" s="1789"/>
      <c r="AO165" s="1789"/>
      <c r="AP165" s="1789"/>
      <c r="AQ165" s="1789"/>
      <c r="AR165" s="1789"/>
      <c r="AS165" s="1790"/>
      <c r="AT165" s="1755"/>
      <c r="AU165" s="1755"/>
      <c r="AV165" s="1755"/>
      <c r="AW165" s="1755"/>
      <c r="AX165" s="1755"/>
      <c r="AY165" s="1755"/>
      <c r="AZ165" s="1755"/>
      <c r="BA165" s="1763"/>
      <c r="BB165" s="1776"/>
      <c r="BC165" s="1763"/>
      <c r="BD165" s="1763"/>
      <c r="BE165" s="1763"/>
      <c r="BF165" s="1763"/>
      <c r="BG165" s="1763"/>
      <c r="BH165" s="1763"/>
      <c r="BI165" s="1763"/>
      <c r="BJ165" s="1755"/>
      <c r="BK165" s="1778"/>
      <c r="BL165" s="1797"/>
      <c r="BM165" s="1797"/>
      <c r="BN165" s="1797"/>
      <c r="BO165" s="1797"/>
      <c r="BP165" s="1797"/>
      <c r="BQ165" s="1797"/>
      <c r="BR165" s="1738"/>
      <c r="BS165" s="1738"/>
      <c r="BT165" s="1738"/>
    </row>
    <row r="166" spans="1:72" s="1742" customFormat="1" ht="22.5" customHeight="1">
      <c r="B166" s="1738"/>
      <c r="H166" s="1738"/>
      <c r="J166" s="1788"/>
      <c r="K166" s="1787"/>
      <c r="L166" s="1787"/>
      <c r="M166" s="1787"/>
      <c r="N166" s="1787"/>
      <c r="O166" s="1787"/>
      <c r="P166" s="1787"/>
      <c r="Q166" s="1787"/>
      <c r="R166" s="1776"/>
      <c r="S166" s="1787"/>
      <c r="T166" s="1787"/>
      <c r="U166" s="1787"/>
      <c r="V166" s="1787"/>
      <c r="W166" s="1777"/>
      <c r="X166" s="1787"/>
      <c r="Y166" s="1787"/>
      <c r="Z166" s="1788"/>
      <c r="AA166" s="1787"/>
      <c r="AB166" s="1787"/>
      <c r="AC166" s="1787"/>
      <c r="AD166" s="1787"/>
      <c r="AE166" s="1787"/>
      <c r="AF166" s="1787"/>
      <c r="AG166" s="1787"/>
      <c r="AH166" s="1787"/>
      <c r="AI166" s="1787"/>
      <c r="AJ166" s="1787"/>
      <c r="AK166" s="1788"/>
      <c r="AL166" s="1787"/>
      <c r="AM166" s="1787"/>
      <c r="AN166" s="1787"/>
      <c r="AO166" s="1787"/>
      <c r="AP166" s="1787"/>
      <c r="AQ166" s="1787"/>
      <c r="AR166" s="1787"/>
      <c r="AS166" s="1788"/>
      <c r="AT166" s="1763"/>
      <c r="AU166" s="1763"/>
      <c r="AV166" s="1763"/>
      <c r="AW166" s="1763"/>
      <c r="AX166" s="1763"/>
      <c r="AY166" s="1763"/>
      <c r="AZ166" s="1763"/>
      <c r="BA166" s="1763"/>
      <c r="BB166" s="1776"/>
      <c r="BC166" s="1763"/>
      <c r="BD166" s="1763"/>
      <c r="BE166" s="1763"/>
      <c r="BF166" s="1763"/>
      <c r="BG166" s="1763"/>
      <c r="BH166" s="1763"/>
      <c r="BI166" s="1763"/>
      <c r="BJ166" s="1755"/>
      <c r="BK166" s="1778"/>
      <c r="BL166" s="1797"/>
      <c r="BM166" s="1797"/>
      <c r="BN166" s="1797"/>
      <c r="BO166" s="1797"/>
      <c r="BP166" s="1797"/>
      <c r="BQ166" s="1797"/>
      <c r="BR166" s="1738"/>
      <c r="BS166" s="1738"/>
      <c r="BT166" s="1738"/>
    </row>
    <row r="167" spans="1:72" s="1742" customFormat="1" ht="22.5" customHeight="1">
      <c r="B167" s="1738"/>
      <c r="D167" s="1737"/>
      <c r="E167" s="1737"/>
      <c r="H167" s="1738"/>
      <c r="J167" s="1788"/>
      <c r="K167" s="1787"/>
      <c r="L167" s="1787"/>
      <c r="M167" s="1787"/>
      <c r="N167" s="1787"/>
      <c r="O167" s="1787"/>
      <c r="P167" s="1787"/>
      <c r="Q167" s="1787"/>
      <c r="R167" s="1776"/>
      <c r="S167" s="1787"/>
      <c r="T167" s="1787"/>
      <c r="U167" s="1787"/>
      <c r="V167" s="1787"/>
      <c r="W167" s="1777"/>
      <c r="X167" s="1787"/>
      <c r="Y167" s="1787"/>
      <c r="Z167" s="1788"/>
      <c r="AA167" s="1787"/>
      <c r="AB167" s="1787"/>
      <c r="AC167" s="1787"/>
      <c r="AD167" s="1787"/>
      <c r="AE167" s="1787"/>
      <c r="AF167" s="1787"/>
      <c r="AG167" s="1787"/>
      <c r="AH167" s="1787"/>
      <c r="AI167" s="1787"/>
      <c r="AJ167" s="1787"/>
      <c r="AK167" s="1788"/>
      <c r="AL167" s="1787"/>
      <c r="AM167" s="1787"/>
      <c r="AN167" s="1787"/>
      <c r="AO167" s="1787"/>
      <c r="AP167" s="1787"/>
      <c r="AQ167" s="1787"/>
      <c r="AR167" s="1787"/>
      <c r="AS167" s="1788"/>
      <c r="AT167" s="1763"/>
      <c r="AU167" s="1763"/>
      <c r="AV167" s="1763"/>
      <c r="AW167" s="1763"/>
      <c r="AX167" s="1763"/>
      <c r="AY167" s="1763"/>
      <c r="AZ167" s="1763"/>
      <c r="BA167" s="1763"/>
      <c r="BB167" s="1776"/>
      <c r="BC167" s="1763"/>
      <c r="BD167" s="1763"/>
      <c r="BE167" s="1763"/>
      <c r="BF167" s="1763"/>
      <c r="BG167" s="1763"/>
      <c r="BH167" s="1763"/>
      <c r="BI167" s="1763"/>
      <c r="BJ167" s="1763"/>
      <c r="BK167" s="1778"/>
      <c r="BL167" s="1797"/>
      <c r="BM167" s="1797"/>
      <c r="BN167" s="1797"/>
      <c r="BO167" s="1797"/>
      <c r="BP167" s="1797"/>
      <c r="BQ167" s="1797"/>
      <c r="BR167" s="1738"/>
      <c r="BS167" s="1738"/>
      <c r="BT167" s="1738"/>
    </row>
    <row r="168" spans="1:72" s="1742" customFormat="1" ht="22.5" customHeight="1">
      <c r="A168" s="1752"/>
      <c r="B168" s="1738"/>
      <c r="H168" s="1738"/>
      <c r="J168" s="1788"/>
      <c r="K168" s="1787"/>
      <c r="L168" s="1787"/>
      <c r="M168" s="1787"/>
      <c r="N168" s="1787"/>
      <c r="O168" s="1787"/>
      <c r="P168" s="1787"/>
      <c r="Q168" s="1787"/>
      <c r="R168" s="1776"/>
      <c r="S168" s="1787"/>
      <c r="T168" s="1787"/>
      <c r="U168" s="1787"/>
      <c r="V168" s="1787"/>
      <c r="W168" s="1777"/>
      <c r="X168" s="1787"/>
      <c r="Y168" s="1787"/>
      <c r="Z168" s="1788"/>
      <c r="AA168" s="1787"/>
      <c r="AB168" s="1787"/>
      <c r="AC168" s="1787"/>
      <c r="AD168" s="1787"/>
      <c r="AE168" s="1787"/>
      <c r="AF168" s="1787"/>
      <c r="AG168" s="1787"/>
      <c r="AH168" s="1787"/>
      <c r="AI168" s="1787"/>
      <c r="AJ168" s="1787"/>
      <c r="AK168" s="1788"/>
      <c r="AL168" s="1787"/>
      <c r="AM168" s="1787"/>
      <c r="AN168" s="1787"/>
      <c r="AO168" s="1787"/>
      <c r="AP168" s="1787"/>
      <c r="AQ168" s="1787"/>
      <c r="AR168" s="1787"/>
      <c r="AS168" s="1788"/>
      <c r="AT168" s="1763"/>
      <c r="AU168" s="1763"/>
      <c r="AV168" s="1763"/>
      <c r="AW168" s="1763"/>
      <c r="AX168" s="1763"/>
      <c r="AY168" s="1763"/>
      <c r="AZ168" s="1763"/>
      <c r="BA168" s="1763"/>
      <c r="BB168" s="1776"/>
      <c r="BC168" s="1763"/>
      <c r="BD168" s="1763"/>
      <c r="BE168" s="1763"/>
      <c r="BF168" s="1763"/>
      <c r="BG168" s="1763"/>
      <c r="BH168" s="1763"/>
      <c r="BI168" s="1763"/>
      <c r="BJ168" s="1763"/>
      <c r="BK168" s="1776"/>
      <c r="BL168" s="1777"/>
      <c r="BM168" s="1777"/>
      <c r="BN168" s="1777"/>
      <c r="BO168" s="1777"/>
      <c r="BP168" s="1777"/>
      <c r="BQ168" s="1777"/>
      <c r="BR168" s="1738"/>
      <c r="BS168" s="1738"/>
      <c r="BT168" s="1738"/>
    </row>
    <row r="169" spans="1:72" s="1742" customFormat="1" ht="22.5" customHeight="1">
      <c r="B169" s="1738"/>
      <c r="H169" s="1738"/>
      <c r="J169" s="1788"/>
      <c r="K169" s="1787"/>
      <c r="L169" s="1787"/>
      <c r="M169" s="1787"/>
      <c r="N169" s="1787"/>
      <c r="O169" s="1787"/>
      <c r="P169" s="1787"/>
      <c r="Q169" s="1787"/>
      <c r="R169" s="1776"/>
      <c r="S169" s="1787"/>
      <c r="T169" s="1787"/>
      <c r="U169" s="1787"/>
      <c r="V169" s="1787"/>
      <c r="W169" s="1777"/>
      <c r="X169" s="1787"/>
      <c r="Y169" s="1787"/>
      <c r="Z169" s="1788"/>
      <c r="AA169" s="1787"/>
      <c r="AB169" s="1787"/>
      <c r="AC169" s="1787"/>
      <c r="AD169" s="1787"/>
      <c r="AE169" s="1787"/>
      <c r="AF169" s="1787"/>
      <c r="AG169" s="1787"/>
      <c r="AH169" s="1787"/>
      <c r="AI169" s="1787"/>
      <c r="AJ169" s="1787"/>
      <c r="AK169" s="1788"/>
      <c r="AL169" s="1787"/>
      <c r="AM169" s="1787"/>
      <c r="AN169" s="1787"/>
      <c r="AO169" s="1787"/>
      <c r="AP169" s="1787"/>
      <c r="AQ169" s="1787"/>
      <c r="AR169" s="1787"/>
      <c r="AS169" s="1788"/>
      <c r="AT169" s="1763"/>
      <c r="AU169" s="1763"/>
      <c r="AV169" s="1763"/>
      <c r="AW169" s="1763"/>
      <c r="AX169" s="1763"/>
      <c r="AY169" s="1763"/>
      <c r="AZ169" s="1763"/>
      <c r="BA169" s="1763"/>
      <c r="BB169" s="1776"/>
      <c r="BC169" s="1763"/>
      <c r="BD169" s="1763"/>
      <c r="BE169" s="1763"/>
      <c r="BF169" s="1763"/>
      <c r="BG169" s="1763"/>
      <c r="BH169" s="1763"/>
      <c r="BI169" s="1763"/>
      <c r="BJ169" s="1763"/>
      <c r="BK169" s="1776"/>
      <c r="BL169" s="1777"/>
      <c r="BM169" s="1777"/>
      <c r="BN169" s="1777"/>
      <c r="BO169" s="1777"/>
      <c r="BP169" s="1777"/>
      <c r="BQ169" s="1777"/>
      <c r="BR169" s="1738"/>
      <c r="BS169" s="1738"/>
      <c r="BT169" s="1738"/>
    </row>
    <row r="170" spans="1:72" ht="22.5" customHeight="1">
      <c r="AT170" s="1763"/>
      <c r="AU170" s="1763"/>
      <c r="AV170" s="1763"/>
      <c r="AW170" s="1763"/>
      <c r="AX170" s="1763"/>
      <c r="AY170" s="1763"/>
      <c r="AZ170" s="1763"/>
      <c r="BA170" s="1763"/>
      <c r="BB170" s="1776"/>
      <c r="BC170" s="1763"/>
      <c r="BD170" s="1763"/>
      <c r="BE170" s="1763"/>
      <c r="BF170" s="1763"/>
      <c r="BG170" s="1763"/>
      <c r="BH170" s="1763"/>
      <c r="BI170" s="1763"/>
      <c r="BJ170" s="1763"/>
      <c r="BK170" s="1776"/>
      <c r="BL170" s="1777"/>
      <c r="BM170" s="1777"/>
      <c r="BN170" s="1777"/>
      <c r="BO170" s="1777"/>
      <c r="BP170" s="1777"/>
      <c r="BQ170" s="1777"/>
      <c r="BR170" s="1738"/>
      <c r="BS170" s="1738"/>
      <c r="BT170" s="1738"/>
    </row>
    <row r="171" spans="1:72" ht="22.5" customHeight="1">
      <c r="AT171" s="1763"/>
      <c r="AU171" s="1763"/>
      <c r="AV171" s="1763"/>
      <c r="AW171" s="1763"/>
      <c r="AX171" s="1763"/>
      <c r="AY171" s="1763"/>
      <c r="AZ171" s="1763"/>
      <c r="BA171" s="1763"/>
      <c r="BB171" s="1776"/>
      <c r="BC171" s="1763"/>
      <c r="BD171" s="1763"/>
      <c r="BE171" s="1763"/>
      <c r="BF171" s="1763"/>
      <c r="BG171" s="1763"/>
      <c r="BH171" s="1763"/>
      <c r="BI171" s="1763"/>
      <c r="BJ171" s="1763"/>
      <c r="BK171" s="1776"/>
      <c r="BL171" s="1777"/>
      <c r="BM171" s="1777"/>
      <c r="BN171" s="1777"/>
      <c r="BO171" s="1777"/>
      <c r="BP171" s="1777"/>
      <c r="BQ171" s="1777"/>
      <c r="BR171" s="1738"/>
      <c r="BS171" s="1738"/>
      <c r="BT171" s="1738"/>
    </row>
    <row r="172" spans="1:72" ht="22.5" customHeight="1">
      <c r="AT172" s="1763"/>
      <c r="AU172" s="1763"/>
      <c r="AV172" s="1763"/>
      <c r="AW172" s="1763"/>
      <c r="AX172" s="1763"/>
      <c r="AY172" s="1763"/>
      <c r="AZ172" s="1763"/>
      <c r="BA172" s="1763"/>
      <c r="BB172" s="1776"/>
      <c r="BC172" s="1763"/>
      <c r="BD172" s="1763"/>
      <c r="BE172" s="1763"/>
      <c r="BF172" s="1763"/>
      <c r="BG172" s="1763"/>
      <c r="BH172" s="1763"/>
      <c r="BI172" s="1763"/>
      <c r="BJ172" s="1763"/>
      <c r="BK172" s="1776"/>
      <c r="BL172" s="1777"/>
      <c r="BM172" s="1777"/>
      <c r="BN172" s="1777"/>
      <c r="BO172" s="1777"/>
      <c r="BP172" s="1777"/>
      <c r="BQ172" s="1777"/>
      <c r="BR172" s="1738"/>
      <c r="BS172" s="1738"/>
      <c r="BT172" s="1738"/>
    </row>
    <row r="173" spans="1:72" ht="22.5" customHeight="1">
      <c r="Q173" s="1766"/>
      <c r="R173" s="1792"/>
      <c r="S173" s="1831"/>
      <c r="AT173" s="1763"/>
      <c r="AU173" s="1763"/>
      <c r="AV173" s="1763"/>
      <c r="AW173" s="1763"/>
      <c r="AX173" s="1763"/>
      <c r="AY173" s="1763"/>
      <c r="AZ173" s="1763"/>
      <c r="BA173" s="1763"/>
      <c r="BB173" s="1776"/>
      <c r="BC173" s="1763"/>
      <c r="BD173" s="1763"/>
      <c r="BE173" s="1763"/>
      <c r="BF173" s="1763"/>
      <c r="BG173" s="1763"/>
      <c r="BH173" s="1763"/>
      <c r="BI173" s="1763"/>
      <c r="BJ173" s="1763"/>
      <c r="BK173" s="1776"/>
      <c r="BL173" s="1777"/>
      <c r="BM173" s="1777"/>
      <c r="BN173" s="1777"/>
      <c r="BO173" s="1777"/>
      <c r="BP173" s="1777"/>
      <c r="BQ173" s="1777"/>
      <c r="BR173" s="1738"/>
      <c r="BS173" s="1738"/>
      <c r="BT173" s="1738"/>
    </row>
    <row r="174" spans="1:72" s="1736" customFormat="1" ht="22.5" customHeight="1">
      <c r="B174" s="1738"/>
      <c r="H174" s="1738"/>
      <c r="J174" s="1776"/>
      <c r="K174" s="1763"/>
      <c r="L174" s="1763"/>
      <c r="M174" s="1763"/>
      <c r="N174" s="1763"/>
      <c r="O174" s="1763"/>
      <c r="P174" s="1763"/>
      <c r="Q174" s="1774"/>
      <c r="R174" s="1776"/>
      <c r="S174" s="1763"/>
      <c r="T174" s="1763"/>
      <c r="U174" s="1763"/>
      <c r="V174" s="1763"/>
      <c r="W174" s="1777"/>
      <c r="X174" s="1763"/>
      <c r="Y174" s="1763"/>
      <c r="Z174" s="1776"/>
      <c r="AA174" s="1763"/>
      <c r="AB174" s="1763"/>
      <c r="AC174" s="1763"/>
      <c r="AD174" s="1763"/>
      <c r="AE174" s="1763"/>
      <c r="AF174" s="1763"/>
      <c r="AG174" s="1763"/>
      <c r="AH174" s="1763"/>
      <c r="AI174" s="1763"/>
      <c r="AJ174" s="1763"/>
      <c r="AK174" s="1776"/>
      <c r="AL174" s="1763"/>
      <c r="AM174" s="1763"/>
      <c r="AN174" s="1763"/>
      <c r="AO174" s="1763"/>
      <c r="AP174" s="1763"/>
      <c r="AQ174" s="1763"/>
      <c r="AR174" s="1763"/>
      <c r="AS174" s="1776"/>
      <c r="AT174" s="1763"/>
      <c r="AU174" s="1763"/>
      <c r="AV174" s="1763"/>
      <c r="AW174" s="1763"/>
      <c r="AX174" s="1763"/>
      <c r="AY174" s="1763"/>
      <c r="AZ174" s="1763"/>
      <c r="BA174" s="1763"/>
      <c r="BB174" s="1776"/>
      <c r="BC174" s="1763"/>
      <c r="BD174" s="1763"/>
      <c r="BE174" s="1763"/>
      <c r="BF174" s="1763"/>
      <c r="BG174" s="1763"/>
      <c r="BH174" s="1763"/>
      <c r="BI174" s="1763"/>
      <c r="BJ174" s="1763"/>
      <c r="BK174" s="1776"/>
      <c r="BL174" s="1777"/>
      <c r="BM174" s="1777"/>
      <c r="BN174" s="1777"/>
      <c r="BO174" s="1777"/>
      <c r="BP174" s="1777"/>
      <c r="BQ174" s="1777"/>
      <c r="BR174" s="1738"/>
      <c r="BS174" s="1738"/>
      <c r="BT174" s="1738"/>
    </row>
    <row r="175" spans="1:72" s="1736" customFormat="1" ht="22.5" customHeight="1">
      <c r="B175" s="1738"/>
      <c r="H175" s="1738"/>
      <c r="J175" s="1776"/>
      <c r="K175" s="1763"/>
      <c r="L175" s="1763"/>
      <c r="M175" s="1763"/>
      <c r="N175" s="1763"/>
      <c r="O175" s="1763"/>
      <c r="P175" s="1763"/>
      <c r="Q175" s="1774"/>
      <c r="R175" s="1792"/>
      <c r="S175" s="1770"/>
      <c r="T175" s="1920"/>
      <c r="U175" s="1793"/>
      <c r="V175" s="1920"/>
      <c r="W175" s="1767"/>
      <c r="X175" s="1920"/>
      <c r="Y175" s="1756"/>
      <c r="Z175" s="1775"/>
      <c r="AA175" s="1756"/>
      <c r="AB175" s="1763"/>
      <c r="AC175" s="1763"/>
      <c r="AD175" s="1763"/>
      <c r="AE175" s="1763"/>
      <c r="AF175" s="1763"/>
      <c r="AG175" s="1763"/>
      <c r="AH175" s="1763"/>
      <c r="AI175" s="1763"/>
      <c r="AJ175" s="1763"/>
      <c r="AK175" s="1776"/>
      <c r="AL175" s="1763"/>
      <c r="AM175" s="1763"/>
      <c r="AN175" s="1763"/>
      <c r="AO175" s="1763"/>
      <c r="AP175" s="1763"/>
      <c r="AQ175" s="1763"/>
      <c r="AR175" s="1763"/>
      <c r="AS175" s="1776"/>
      <c r="AT175" s="1763"/>
      <c r="AU175" s="1763"/>
      <c r="AV175" s="1763"/>
      <c r="AW175" s="1763"/>
      <c r="AX175" s="1763"/>
      <c r="AY175" s="1763"/>
      <c r="AZ175" s="1763"/>
      <c r="BA175" s="1797"/>
      <c r="BB175" s="1776"/>
      <c r="BC175" s="1797"/>
      <c r="BD175" s="1797"/>
      <c r="BE175" s="1797"/>
      <c r="BF175" s="1797"/>
      <c r="BG175" s="1797"/>
      <c r="BH175" s="1797"/>
      <c r="BI175" s="1797"/>
      <c r="BJ175" s="1763"/>
      <c r="BK175" s="1776"/>
      <c r="BL175" s="1777"/>
      <c r="BM175" s="1777"/>
      <c r="BN175" s="1777"/>
      <c r="BO175" s="1777"/>
      <c r="BP175" s="1777"/>
      <c r="BQ175" s="1777"/>
      <c r="BR175" s="1738"/>
      <c r="BS175" s="1738"/>
      <c r="BT175" s="1738"/>
    </row>
    <row r="176" spans="1:72" s="1736" customFormat="1" ht="22.5" customHeight="1">
      <c r="B176" s="1738"/>
      <c r="H176" s="1738"/>
      <c r="J176" s="1776"/>
      <c r="K176" s="1763"/>
      <c r="L176" s="1763"/>
      <c r="M176" s="1763"/>
      <c r="N176" s="1763"/>
      <c r="O176" s="1763"/>
      <c r="P176" s="1763"/>
      <c r="Q176" s="1774"/>
      <c r="R176" s="1794"/>
      <c r="S176" s="1770"/>
      <c r="T176" s="1756"/>
      <c r="U176" s="1756"/>
      <c r="V176" s="1756"/>
      <c r="W176" s="1791"/>
      <c r="X176" s="1756"/>
      <c r="Y176" s="1756"/>
      <c r="Z176" s="1775"/>
      <c r="AA176" s="1756"/>
      <c r="AB176" s="1763"/>
      <c r="AC176" s="1763"/>
      <c r="AD176" s="1763"/>
      <c r="AE176" s="1763"/>
      <c r="AF176" s="1763"/>
      <c r="AG176" s="1763"/>
      <c r="AH176" s="1763"/>
      <c r="AI176" s="1763"/>
      <c r="AJ176" s="1763"/>
      <c r="AK176" s="1776"/>
      <c r="AL176" s="1763"/>
      <c r="AM176" s="1763"/>
      <c r="AN176" s="1763"/>
      <c r="AO176" s="1763"/>
      <c r="AP176" s="1763"/>
      <c r="AQ176" s="1763"/>
      <c r="AR176" s="1763"/>
      <c r="AS176" s="1776"/>
      <c r="AT176" s="1763"/>
      <c r="AU176" s="1763"/>
      <c r="AV176" s="1763"/>
      <c r="AW176" s="1763"/>
      <c r="AX176" s="1763"/>
      <c r="AY176" s="1763"/>
      <c r="AZ176" s="1763"/>
      <c r="BA176" s="1797"/>
      <c r="BB176" s="1798"/>
      <c r="BC176" s="1797"/>
      <c r="BD176" s="1797"/>
      <c r="BE176" s="1797"/>
      <c r="BF176" s="1797"/>
      <c r="BG176" s="1797"/>
      <c r="BH176" s="1797"/>
      <c r="BI176" s="1797"/>
      <c r="BJ176" s="1763"/>
      <c r="BK176" s="1776"/>
      <c r="BL176" s="1777"/>
      <c r="BM176" s="1777"/>
      <c r="BN176" s="1777"/>
      <c r="BO176" s="1777"/>
      <c r="BP176" s="1777"/>
      <c r="BQ176" s="1777"/>
      <c r="BR176" s="1738"/>
      <c r="BS176" s="1738"/>
      <c r="BT176" s="1738"/>
    </row>
    <row r="177" spans="2:72" s="1736" customFormat="1" ht="22.5" customHeight="1">
      <c r="B177" s="1738"/>
      <c r="H177" s="1738"/>
      <c r="J177" s="1776"/>
      <c r="K177" s="1763"/>
      <c r="L177" s="1763"/>
      <c r="M177" s="1763"/>
      <c r="N177" s="1763"/>
      <c r="O177" s="1763"/>
      <c r="P177" s="1763"/>
      <c r="Q177" s="1774"/>
      <c r="R177" s="1792"/>
      <c r="S177" s="1770"/>
      <c r="T177" s="1920"/>
      <c r="U177" s="1793"/>
      <c r="V177" s="1920"/>
      <c r="W177" s="1767"/>
      <c r="X177" s="1920"/>
      <c r="Y177" s="1756"/>
      <c r="Z177" s="1775"/>
      <c r="AA177" s="1756"/>
      <c r="AB177" s="1763"/>
      <c r="AC177" s="1763"/>
      <c r="AD177" s="1763"/>
      <c r="AE177" s="1763"/>
      <c r="AF177" s="1763"/>
      <c r="AG177" s="1763"/>
      <c r="AH177" s="1763"/>
      <c r="AI177" s="1763"/>
      <c r="AJ177" s="1763"/>
      <c r="AK177" s="1776"/>
      <c r="AL177" s="1763"/>
      <c r="AM177" s="1763"/>
      <c r="AN177" s="1763"/>
      <c r="AO177" s="1763"/>
      <c r="AP177" s="1763"/>
      <c r="AQ177" s="1763"/>
      <c r="AR177" s="1763"/>
      <c r="AS177" s="1776"/>
      <c r="AT177" s="1797"/>
      <c r="AU177" s="1797"/>
      <c r="AV177" s="1797"/>
      <c r="AW177" s="1797"/>
      <c r="AX177" s="1797"/>
      <c r="AY177" s="1797"/>
      <c r="AZ177" s="1797"/>
      <c r="BA177" s="1797"/>
      <c r="BB177" s="1798"/>
      <c r="BC177" s="1797"/>
      <c r="BD177" s="1797"/>
      <c r="BE177" s="1797"/>
      <c r="BF177" s="1797"/>
      <c r="BG177" s="1797"/>
      <c r="BH177" s="1797"/>
      <c r="BI177" s="1797"/>
      <c r="BJ177" s="1763"/>
      <c r="BK177" s="1776"/>
      <c r="BL177" s="1777"/>
      <c r="BM177" s="1777"/>
      <c r="BN177" s="1777"/>
      <c r="BO177" s="1777"/>
      <c r="BP177" s="1777"/>
      <c r="BQ177" s="1777"/>
      <c r="BR177" s="1732"/>
      <c r="BS177" s="1732"/>
      <c r="BT177" s="1732"/>
    </row>
    <row r="178" spans="2:72" s="1736" customFormat="1" ht="22.5" customHeight="1">
      <c r="B178" s="1738"/>
      <c r="H178" s="1738"/>
      <c r="J178" s="1776"/>
      <c r="K178" s="1763"/>
      <c r="L178" s="1763"/>
      <c r="M178" s="1763"/>
      <c r="N178" s="1763"/>
      <c r="O178" s="1763"/>
      <c r="P178" s="1763"/>
      <c r="Q178" s="1756"/>
      <c r="R178" s="1775"/>
      <c r="S178" s="1756"/>
      <c r="T178" s="1756"/>
      <c r="U178" s="1756"/>
      <c r="V178" s="1756"/>
      <c r="W178" s="1791"/>
      <c r="X178" s="1756"/>
      <c r="Y178" s="1756"/>
      <c r="Z178" s="1775"/>
      <c r="AA178" s="1756"/>
      <c r="AB178" s="1763"/>
      <c r="AC178" s="1763"/>
      <c r="AD178" s="1763"/>
      <c r="AE178" s="1763"/>
      <c r="AF178" s="1763"/>
      <c r="AG178" s="1763"/>
      <c r="AH178" s="1763"/>
      <c r="AI178" s="1763"/>
      <c r="AJ178" s="1763"/>
      <c r="AK178" s="1776"/>
      <c r="AL178" s="1763"/>
      <c r="AM178" s="1763"/>
      <c r="AN178" s="1763"/>
      <c r="AO178" s="1763"/>
      <c r="AP178" s="1763"/>
      <c r="AQ178" s="1763"/>
      <c r="AR178" s="1763"/>
      <c r="AS178" s="1776"/>
      <c r="AT178" s="1797"/>
      <c r="AU178" s="1797"/>
      <c r="AV178" s="1797"/>
      <c r="AW178" s="1797"/>
      <c r="AX178" s="1797"/>
      <c r="AY178" s="1797"/>
      <c r="AZ178" s="1797"/>
      <c r="BA178" s="1777"/>
      <c r="BB178" s="1798"/>
      <c r="BC178" s="1777"/>
      <c r="BD178" s="1777"/>
      <c r="BE178" s="1777"/>
      <c r="BF178" s="1777"/>
      <c r="BG178" s="1777"/>
      <c r="BH178" s="1777"/>
      <c r="BI178" s="1777"/>
      <c r="BJ178" s="1797"/>
      <c r="BK178" s="1776"/>
      <c r="BL178" s="1777"/>
      <c r="BM178" s="1777"/>
      <c r="BN178" s="1777"/>
      <c r="BO178" s="1777"/>
      <c r="BP178" s="1777"/>
      <c r="BQ178" s="1777"/>
      <c r="BR178" s="1732"/>
      <c r="BS178" s="1732"/>
      <c r="BT178" s="1732"/>
    </row>
    <row r="179" spans="2:72" s="1736" customFormat="1" ht="22.5" customHeight="1">
      <c r="B179" s="1738"/>
      <c r="H179" s="1738"/>
      <c r="J179" s="1776"/>
      <c r="K179" s="1763"/>
      <c r="L179" s="1763"/>
      <c r="M179" s="1763"/>
      <c r="N179" s="1763"/>
      <c r="O179" s="1763"/>
      <c r="P179" s="1763"/>
      <c r="Q179" s="1763"/>
      <c r="R179" s="1776"/>
      <c r="S179" s="1763"/>
      <c r="T179" s="1763"/>
      <c r="U179" s="1763"/>
      <c r="V179" s="1763"/>
      <c r="W179" s="1777"/>
      <c r="X179" s="1763"/>
      <c r="Y179" s="1763"/>
      <c r="Z179" s="1776"/>
      <c r="AA179" s="1763"/>
      <c r="AB179" s="1763"/>
      <c r="AC179" s="1763"/>
      <c r="AD179" s="1763"/>
      <c r="AE179" s="1763"/>
      <c r="AF179" s="1763"/>
      <c r="AG179" s="1763"/>
      <c r="AH179" s="1763"/>
      <c r="AI179" s="1763"/>
      <c r="AJ179" s="1763"/>
      <c r="AK179" s="1776"/>
      <c r="AL179" s="1763"/>
      <c r="AM179" s="1763"/>
      <c r="AN179" s="1763"/>
      <c r="AO179" s="1763"/>
      <c r="AP179" s="1763"/>
      <c r="AQ179" s="1763"/>
      <c r="AR179" s="1763"/>
      <c r="AS179" s="1776"/>
      <c r="AT179" s="1797"/>
      <c r="AU179" s="1797"/>
      <c r="AV179" s="1797"/>
      <c r="AW179" s="1797"/>
      <c r="AX179" s="1797"/>
      <c r="AY179" s="1797"/>
      <c r="AZ179" s="1797"/>
      <c r="BA179" s="1777"/>
      <c r="BB179" s="1782"/>
      <c r="BC179" s="1777"/>
      <c r="BD179" s="1777"/>
      <c r="BE179" s="1777"/>
      <c r="BF179" s="1777"/>
      <c r="BG179" s="1777"/>
      <c r="BH179" s="1777"/>
      <c r="BI179" s="1777"/>
      <c r="BJ179" s="1797"/>
      <c r="BK179" s="1798"/>
      <c r="BL179" s="1777"/>
      <c r="BM179" s="1777"/>
      <c r="BN179" s="1777"/>
      <c r="BO179" s="1777"/>
      <c r="BP179" s="1777"/>
      <c r="BQ179" s="1777"/>
      <c r="BR179" s="1732"/>
      <c r="BS179" s="1732"/>
      <c r="BT179" s="1732"/>
    </row>
    <row r="180" spans="2:72" s="1736" customFormat="1" ht="22.5" customHeight="1">
      <c r="B180" s="1738"/>
      <c r="H180" s="1738"/>
      <c r="J180" s="1776"/>
      <c r="K180" s="1763"/>
      <c r="L180" s="1763"/>
      <c r="M180" s="1763"/>
      <c r="N180" s="1763"/>
      <c r="O180" s="1763"/>
      <c r="P180" s="1763"/>
      <c r="Q180" s="1763"/>
      <c r="R180" s="1776"/>
      <c r="S180" s="1763"/>
      <c r="T180" s="1763"/>
      <c r="U180" s="1763"/>
      <c r="V180" s="1763"/>
      <c r="W180" s="1777"/>
      <c r="X180" s="1763"/>
      <c r="Y180" s="1763"/>
      <c r="Z180" s="1776"/>
      <c r="AA180" s="1763"/>
      <c r="AB180" s="1763"/>
      <c r="AC180" s="1763"/>
      <c r="AD180" s="1763"/>
      <c r="AE180" s="1763"/>
      <c r="AF180" s="1763"/>
      <c r="AG180" s="1763"/>
      <c r="AH180" s="1763"/>
      <c r="AI180" s="1763"/>
      <c r="AJ180" s="1763"/>
      <c r="AK180" s="1776"/>
      <c r="AL180" s="1763"/>
      <c r="AM180" s="1763"/>
      <c r="AN180" s="1763"/>
      <c r="AO180" s="1763"/>
      <c r="AP180" s="1763"/>
      <c r="AQ180" s="1763"/>
      <c r="AR180" s="1763"/>
      <c r="AS180" s="1776"/>
      <c r="AT180" s="1777"/>
      <c r="AU180" s="1777"/>
      <c r="AV180" s="1777"/>
      <c r="AW180" s="1777"/>
      <c r="AX180" s="1777"/>
      <c r="AY180" s="1777"/>
      <c r="AZ180" s="1777"/>
      <c r="BA180" s="1777"/>
      <c r="BB180" s="1782"/>
      <c r="BC180" s="1777"/>
      <c r="BD180" s="1777"/>
      <c r="BE180" s="1777"/>
      <c r="BF180" s="1777"/>
      <c r="BG180" s="1777"/>
      <c r="BH180" s="1777"/>
      <c r="BI180" s="1777"/>
      <c r="BJ180" s="1797"/>
      <c r="BK180" s="1798"/>
      <c r="BL180" s="1777"/>
      <c r="BM180" s="1777"/>
      <c r="BN180" s="1777"/>
      <c r="BO180" s="1777"/>
      <c r="BP180" s="1777"/>
      <c r="BQ180" s="1777"/>
      <c r="BR180" s="1732"/>
      <c r="BS180" s="1732"/>
      <c r="BT180" s="1732"/>
    </row>
    <row r="181" spans="2:72" s="1736" customFormat="1" ht="22.5" customHeight="1">
      <c r="B181" s="1738"/>
      <c r="H181" s="1738"/>
      <c r="J181" s="1776"/>
      <c r="K181" s="1763"/>
      <c r="L181" s="1763"/>
      <c r="M181" s="1763"/>
      <c r="N181" s="1763"/>
      <c r="O181" s="1763"/>
      <c r="P181" s="1763"/>
      <c r="Q181" s="1763"/>
      <c r="R181" s="1776"/>
      <c r="S181" s="1763"/>
      <c r="T181" s="1763"/>
      <c r="U181" s="1763"/>
      <c r="V181" s="1763"/>
      <c r="W181" s="1777"/>
      <c r="X181" s="1763"/>
      <c r="Y181" s="1763"/>
      <c r="Z181" s="1776"/>
      <c r="AA181" s="1763"/>
      <c r="AB181" s="1763"/>
      <c r="AC181" s="1763"/>
      <c r="AD181" s="1763"/>
      <c r="AE181" s="1763"/>
      <c r="AF181" s="1763"/>
      <c r="AG181" s="1763"/>
      <c r="AH181" s="1763"/>
      <c r="AI181" s="1763"/>
      <c r="AJ181" s="1763"/>
      <c r="AK181" s="1776"/>
      <c r="AL181" s="1763"/>
      <c r="AM181" s="1763"/>
      <c r="AN181" s="1763"/>
      <c r="AO181" s="1763"/>
      <c r="AP181" s="1763"/>
      <c r="AQ181" s="1763"/>
      <c r="AR181" s="1763"/>
      <c r="AS181" s="1776"/>
      <c r="AT181" s="1777"/>
      <c r="AU181" s="1777"/>
      <c r="AV181" s="1777"/>
      <c r="AW181" s="1777"/>
      <c r="AX181" s="1777"/>
      <c r="AY181" s="1777"/>
      <c r="AZ181" s="1777"/>
      <c r="BA181" s="1777"/>
      <c r="BB181" s="1782"/>
      <c r="BC181" s="1777"/>
      <c r="BD181" s="1777"/>
      <c r="BE181" s="1777"/>
      <c r="BF181" s="1777"/>
      <c r="BG181" s="1777"/>
      <c r="BH181" s="1777"/>
      <c r="BI181" s="1777"/>
      <c r="BJ181" s="1777"/>
      <c r="BK181" s="1798"/>
      <c r="BL181" s="1755"/>
      <c r="BM181" s="1755"/>
      <c r="BN181" s="1755"/>
      <c r="BO181" s="1755"/>
      <c r="BP181" s="1755"/>
      <c r="BQ181" s="1755"/>
      <c r="BR181" s="1732"/>
      <c r="BS181" s="1732"/>
      <c r="BT181" s="1732"/>
    </row>
    <row r="182" spans="2:72" s="1736" customFormat="1" ht="22.5" customHeight="1">
      <c r="B182" s="1738"/>
      <c r="H182" s="1738"/>
      <c r="J182" s="1776"/>
      <c r="K182" s="1763"/>
      <c r="L182" s="1763"/>
      <c r="M182" s="1763"/>
      <c r="N182" s="1763"/>
      <c r="O182" s="1763"/>
      <c r="P182" s="1763"/>
      <c r="Q182" s="1763"/>
      <c r="R182" s="1776"/>
      <c r="S182" s="1763"/>
      <c r="T182" s="1763"/>
      <c r="U182" s="1763"/>
      <c r="V182" s="1763"/>
      <c r="W182" s="1777"/>
      <c r="X182" s="1763"/>
      <c r="Y182" s="1763"/>
      <c r="Z182" s="1776"/>
      <c r="AA182" s="1763"/>
      <c r="AB182" s="1763"/>
      <c r="AC182" s="1763"/>
      <c r="AD182" s="1763"/>
      <c r="AE182" s="1763"/>
      <c r="AF182" s="1763"/>
      <c r="AG182" s="1763"/>
      <c r="AH182" s="1763"/>
      <c r="AI182" s="1763"/>
      <c r="AJ182" s="1763"/>
      <c r="AK182" s="1776"/>
      <c r="AL182" s="1763"/>
      <c r="AM182" s="1763"/>
      <c r="AN182" s="1763"/>
      <c r="AO182" s="1763"/>
      <c r="AP182" s="1763"/>
      <c r="AQ182" s="1763"/>
      <c r="AR182" s="1763"/>
      <c r="AS182" s="1776"/>
      <c r="AT182" s="1777"/>
      <c r="AU182" s="1777"/>
      <c r="AV182" s="1777"/>
      <c r="AW182" s="1777"/>
      <c r="AX182" s="1777"/>
      <c r="AY182" s="1777"/>
      <c r="AZ182" s="1777"/>
      <c r="BA182" s="1777"/>
      <c r="BB182" s="1782"/>
      <c r="BC182" s="1777"/>
      <c r="BD182" s="1777"/>
      <c r="BE182" s="1777"/>
      <c r="BF182" s="1777"/>
      <c r="BG182" s="1777"/>
      <c r="BH182" s="1777"/>
      <c r="BI182" s="1777"/>
      <c r="BJ182" s="1777"/>
      <c r="BK182" s="1782"/>
      <c r="BL182" s="1755"/>
      <c r="BM182" s="1755"/>
      <c r="BN182" s="1755"/>
      <c r="BO182" s="1755"/>
      <c r="BP182" s="1755"/>
      <c r="BQ182" s="1755"/>
      <c r="BR182" s="1732"/>
      <c r="BS182" s="1732"/>
      <c r="BT182" s="1732"/>
    </row>
    <row r="183" spans="2:72" s="1736" customFormat="1" ht="22.5" customHeight="1">
      <c r="B183" s="1738"/>
      <c r="H183" s="1738"/>
      <c r="J183" s="1776"/>
      <c r="K183" s="1763"/>
      <c r="L183" s="1763"/>
      <c r="M183" s="1763"/>
      <c r="N183" s="1763"/>
      <c r="O183" s="1763"/>
      <c r="P183" s="1763"/>
      <c r="Q183" s="1763"/>
      <c r="R183" s="1776"/>
      <c r="S183" s="1763"/>
      <c r="T183" s="1763"/>
      <c r="U183" s="1763"/>
      <c r="V183" s="1763"/>
      <c r="W183" s="1777"/>
      <c r="X183" s="1763"/>
      <c r="Y183" s="1763"/>
      <c r="Z183" s="1776"/>
      <c r="AA183" s="1763"/>
      <c r="AB183" s="1763"/>
      <c r="AC183" s="1763"/>
      <c r="AD183" s="1763"/>
      <c r="AE183" s="1763"/>
      <c r="AF183" s="1763"/>
      <c r="AG183" s="1763"/>
      <c r="AH183" s="1763"/>
      <c r="AI183" s="1763"/>
      <c r="AJ183" s="1763"/>
      <c r="AK183" s="1776"/>
      <c r="AL183" s="1763"/>
      <c r="AM183" s="1763"/>
      <c r="AN183" s="1763"/>
      <c r="AO183" s="1763"/>
      <c r="AP183" s="1763"/>
      <c r="AQ183" s="1763"/>
      <c r="AR183" s="1763"/>
      <c r="AS183" s="1776"/>
      <c r="AT183" s="1777"/>
      <c r="AU183" s="1777"/>
      <c r="AV183" s="1777"/>
      <c r="AW183" s="1777"/>
      <c r="AX183" s="1777"/>
      <c r="AY183" s="1777"/>
      <c r="AZ183" s="1777"/>
      <c r="BA183" s="1777"/>
      <c r="BB183" s="1782"/>
      <c r="BC183" s="1777"/>
      <c r="BD183" s="1777"/>
      <c r="BE183" s="1777"/>
      <c r="BF183" s="1777"/>
      <c r="BG183" s="1777"/>
      <c r="BH183" s="1777"/>
      <c r="BI183" s="1777"/>
      <c r="BJ183" s="1777"/>
      <c r="BK183" s="1782"/>
      <c r="BL183" s="1755"/>
      <c r="BM183" s="1755"/>
      <c r="BN183" s="1755"/>
      <c r="BO183" s="1755"/>
      <c r="BP183" s="1755"/>
      <c r="BQ183" s="1755"/>
      <c r="BR183" s="1732"/>
      <c r="BS183" s="1732"/>
      <c r="BT183" s="1732"/>
    </row>
    <row r="184" spans="2:72" s="1736" customFormat="1" ht="22.5" customHeight="1">
      <c r="B184" s="1738"/>
      <c r="H184" s="1738"/>
      <c r="J184" s="1776"/>
      <c r="K184" s="1763"/>
      <c r="L184" s="1763"/>
      <c r="M184" s="1763"/>
      <c r="N184" s="1763"/>
      <c r="O184" s="1763"/>
      <c r="P184" s="1763"/>
      <c r="Q184" s="1756"/>
      <c r="R184" s="1776"/>
      <c r="S184" s="1770"/>
      <c r="T184" s="1795"/>
      <c r="U184" s="1796"/>
      <c r="V184" s="1795"/>
      <c r="W184" s="1767"/>
      <c r="X184" s="1920"/>
      <c r="Y184" s="1763"/>
      <c r="Z184" s="1776"/>
      <c r="AA184" s="1763"/>
      <c r="AB184" s="1763"/>
      <c r="AC184" s="1763"/>
      <c r="AD184" s="1763"/>
      <c r="AE184" s="1763"/>
      <c r="AF184" s="1763"/>
      <c r="AG184" s="1763"/>
      <c r="AH184" s="1763"/>
      <c r="AI184" s="1763"/>
      <c r="AJ184" s="1763"/>
      <c r="AK184" s="1776"/>
      <c r="AL184" s="1763"/>
      <c r="AM184" s="1763"/>
      <c r="AN184" s="1763"/>
      <c r="AO184" s="1763"/>
      <c r="AP184" s="1763"/>
      <c r="AQ184" s="1763"/>
      <c r="AR184" s="1763"/>
      <c r="AS184" s="1776"/>
      <c r="AT184" s="1777"/>
      <c r="AU184" s="1777"/>
      <c r="AV184" s="1777"/>
      <c r="AW184" s="1777"/>
      <c r="AX184" s="1777"/>
      <c r="AY184" s="1777"/>
      <c r="AZ184" s="1777"/>
      <c r="BA184" s="1777"/>
      <c r="BB184" s="1782"/>
      <c r="BC184" s="1777"/>
      <c r="BD184" s="1777"/>
      <c r="BE184" s="1777"/>
      <c r="BF184" s="1777"/>
      <c r="BG184" s="1777"/>
      <c r="BH184" s="1777"/>
      <c r="BI184" s="1777"/>
      <c r="BJ184" s="1777"/>
      <c r="BK184" s="1782"/>
      <c r="BL184" s="1755"/>
      <c r="BM184" s="1755"/>
      <c r="BN184" s="1755"/>
      <c r="BO184" s="1755"/>
      <c r="BP184" s="1755"/>
      <c r="BQ184" s="1755"/>
      <c r="BR184" s="1732"/>
      <c r="BS184" s="1732"/>
      <c r="BT184" s="1732"/>
    </row>
    <row r="185" spans="2:72" s="1734" customFormat="1" ht="22.5" customHeight="1">
      <c r="B185" s="1738"/>
      <c r="H185" s="1738"/>
      <c r="J185" s="1798"/>
      <c r="K185" s="1797"/>
      <c r="L185" s="1797"/>
      <c r="M185" s="1797"/>
      <c r="N185" s="1797"/>
      <c r="O185" s="1797"/>
      <c r="P185" s="1797"/>
      <c r="Q185" s="1797"/>
      <c r="R185" s="1776"/>
      <c r="S185" s="1797"/>
      <c r="T185" s="1797"/>
      <c r="U185" s="1797"/>
      <c r="V185" s="1797"/>
      <c r="W185" s="1777"/>
      <c r="X185" s="1797"/>
      <c r="Y185" s="1797"/>
      <c r="Z185" s="1798"/>
      <c r="AA185" s="1797"/>
      <c r="AB185" s="1797"/>
      <c r="AC185" s="1797"/>
      <c r="AD185" s="1797"/>
      <c r="AE185" s="1797"/>
      <c r="AF185" s="1797"/>
      <c r="AG185" s="1797"/>
      <c r="AH185" s="1797"/>
      <c r="AI185" s="1797"/>
      <c r="AJ185" s="1797"/>
      <c r="AK185" s="1798"/>
      <c r="AL185" s="1797"/>
      <c r="AM185" s="1797"/>
      <c r="AN185" s="1797"/>
      <c r="AO185" s="1797"/>
      <c r="AP185" s="1797"/>
      <c r="AQ185" s="1797"/>
      <c r="AR185" s="1797"/>
      <c r="AS185" s="1798"/>
      <c r="AT185" s="1777"/>
      <c r="AU185" s="1777"/>
      <c r="AV185" s="1777"/>
      <c r="AW185" s="1777"/>
      <c r="AX185" s="1777"/>
      <c r="AY185" s="1777"/>
      <c r="AZ185" s="1777"/>
      <c r="BA185" s="1777"/>
      <c r="BB185" s="1782"/>
      <c r="BC185" s="1777"/>
      <c r="BD185" s="1777"/>
      <c r="BE185" s="1777"/>
      <c r="BF185" s="1777"/>
      <c r="BG185" s="1777"/>
      <c r="BH185" s="1777"/>
      <c r="BI185" s="1777"/>
      <c r="BJ185" s="1777"/>
      <c r="BK185" s="1782"/>
      <c r="BL185" s="1755"/>
      <c r="BM185" s="1755"/>
      <c r="BN185" s="1755"/>
      <c r="BO185" s="1755"/>
      <c r="BP185" s="1755"/>
      <c r="BQ185" s="1755"/>
      <c r="BR185" s="1732"/>
      <c r="BS185" s="1732"/>
      <c r="BT185" s="1732"/>
    </row>
    <row r="186" spans="2:72" s="1734" customFormat="1" ht="22.5" customHeight="1">
      <c r="B186" s="1738"/>
      <c r="H186" s="1738"/>
      <c r="J186" s="1798"/>
      <c r="K186" s="1797"/>
      <c r="L186" s="1797"/>
      <c r="M186" s="1797"/>
      <c r="N186" s="1797"/>
      <c r="O186" s="1797"/>
      <c r="P186" s="1797"/>
      <c r="Q186" s="1797"/>
      <c r="R186" s="1776"/>
      <c r="S186" s="1797"/>
      <c r="T186" s="1797"/>
      <c r="U186" s="1797"/>
      <c r="V186" s="1797"/>
      <c r="W186" s="1777"/>
      <c r="X186" s="1797"/>
      <c r="Y186" s="1797"/>
      <c r="Z186" s="1798"/>
      <c r="AA186" s="1797"/>
      <c r="AB186" s="1797"/>
      <c r="AC186" s="1797"/>
      <c r="AD186" s="1797"/>
      <c r="AE186" s="1797"/>
      <c r="AF186" s="1797"/>
      <c r="AG186" s="1797"/>
      <c r="AH186" s="1797"/>
      <c r="AI186" s="1797"/>
      <c r="AJ186" s="1797"/>
      <c r="AK186" s="1798"/>
      <c r="AL186" s="1797"/>
      <c r="AM186" s="1797"/>
      <c r="AN186" s="1797"/>
      <c r="AO186" s="1797"/>
      <c r="AP186" s="1797"/>
      <c r="AQ186" s="1797"/>
      <c r="AR186" s="1797"/>
      <c r="AS186" s="1798"/>
      <c r="AT186" s="1777"/>
      <c r="AU186" s="1777"/>
      <c r="AV186" s="1777"/>
      <c r="AW186" s="1777"/>
      <c r="AX186" s="1777"/>
      <c r="AY186" s="1777"/>
      <c r="AZ186" s="1777"/>
      <c r="BA186" s="1777"/>
      <c r="BB186" s="1782"/>
      <c r="BC186" s="1777"/>
      <c r="BD186" s="1777"/>
      <c r="BE186" s="1777"/>
      <c r="BF186" s="1777"/>
      <c r="BG186" s="1777"/>
      <c r="BH186" s="1777"/>
      <c r="BI186" s="1777"/>
      <c r="BJ186" s="1777"/>
      <c r="BK186" s="1782"/>
      <c r="BL186" s="1755"/>
      <c r="BM186" s="1755"/>
      <c r="BN186" s="1755"/>
      <c r="BO186" s="1755"/>
      <c r="BP186" s="1755"/>
      <c r="BQ186" s="1755"/>
      <c r="BR186" s="1732"/>
      <c r="BS186" s="1732"/>
      <c r="BT186" s="1732"/>
    </row>
    <row r="187" spans="2:72" s="1734" customFormat="1" ht="22.5" customHeight="1">
      <c r="B187" s="1738"/>
      <c r="H187" s="1738"/>
      <c r="J187" s="1798"/>
      <c r="K187" s="1797"/>
      <c r="L187" s="1797"/>
      <c r="M187" s="1797"/>
      <c r="N187" s="1797"/>
      <c r="O187" s="1797"/>
      <c r="P187" s="1797"/>
      <c r="Q187" s="1797"/>
      <c r="R187" s="1776"/>
      <c r="S187" s="1797"/>
      <c r="T187" s="1797"/>
      <c r="U187" s="1797"/>
      <c r="V187" s="1797"/>
      <c r="W187" s="1777"/>
      <c r="X187" s="1797"/>
      <c r="Y187" s="1797"/>
      <c r="Z187" s="1798"/>
      <c r="AA187" s="1797"/>
      <c r="AB187" s="1797"/>
      <c r="AC187" s="1797"/>
      <c r="AD187" s="1797"/>
      <c r="AE187" s="1797"/>
      <c r="AF187" s="1797"/>
      <c r="AG187" s="1797"/>
      <c r="AH187" s="1797"/>
      <c r="AI187" s="1797"/>
      <c r="AJ187" s="1797"/>
      <c r="AK187" s="1798"/>
      <c r="AL187" s="1797"/>
      <c r="AM187" s="1797"/>
      <c r="AN187" s="1797"/>
      <c r="AO187" s="1797"/>
      <c r="AP187" s="1797"/>
      <c r="AQ187" s="1797"/>
      <c r="AR187" s="1797"/>
      <c r="AS187" s="1798"/>
      <c r="AT187" s="1777"/>
      <c r="AU187" s="1777"/>
      <c r="AV187" s="1777"/>
      <c r="AW187" s="1777"/>
      <c r="AX187" s="1777"/>
      <c r="AY187" s="1777"/>
      <c r="AZ187" s="1777"/>
      <c r="BA187" s="1777"/>
      <c r="BB187" s="1782"/>
      <c r="BC187" s="1777"/>
      <c r="BD187" s="1777"/>
      <c r="BE187" s="1777"/>
      <c r="BF187" s="1777"/>
      <c r="BG187" s="1777"/>
      <c r="BH187" s="1777"/>
      <c r="BI187" s="1777"/>
      <c r="BJ187" s="1777"/>
      <c r="BK187" s="1782"/>
      <c r="BL187" s="1755"/>
      <c r="BM187" s="1755"/>
      <c r="BN187" s="1755"/>
      <c r="BO187" s="1755"/>
      <c r="BP187" s="1755"/>
      <c r="BQ187" s="1755"/>
      <c r="BR187" s="1732"/>
      <c r="BS187" s="1732"/>
      <c r="BT187" s="1732"/>
    </row>
    <row r="188" spans="2:72" s="1738" customFormat="1" ht="22.5" customHeight="1">
      <c r="J188" s="1782"/>
      <c r="K188" s="1777"/>
      <c r="L188" s="1777"/>
      <c r="M188" s="1777"/>
      <c r="N188" s="1777"/>
      <c r="O188" s="1777"/>
      <c r="P188" s="1777"/>
      <c r="Q188" s="1777"/>
      <c r="R188" s="1776"/>
      <c r="S188" s="1777"/>
      <c r="T188" s="1777"/>
      <c r="U188" s="1777"/>
      <c r="V188" s="1777"/>
      <c r="W188" s="1777"/>
      <c r="X188" s="1777"/>
      <c r="Y188" s="1777"/>
      <c r="Z188" s="1782"/>
      <c r="AA188" s="1777"/>
      <c r="AB188" s="1777"/>
      <c r="AC188" s="1777"/>
      <c r="AD188" s="1777"/>
      <c r="AE188" s="1777"/>
      <c r="AF188" s="1777"/>
      <c r="AG188" s="1777"/>
      <c r="AH188" s="1777"/>
      <c r="AI188" s="1777"/>
      <c r="AJ188" s="1777"/>
      <c r="AK188" s="1782"/>
      <c r="AL188" s="1777"/>
      <c r="AM188" s="1777"/>
      <c r="AN188" s="1777"/>
      <c r="AO188" s="1777"/>
      <c r="AP188" s="1777"/>
      <c r="AQ188" s="1777"/>
      <c r="AR188" s="1777"/>
      <c r="AS188" s="1782"/>
      <c r="AT188" s="1777"/>
      <c r="AU188" s="1777"/>
      <c r="AV188" s="1777"/>
      <c r="AW188" s="1777"/>
      <c r="AX188" s="1777"/>
      <c r="AY188" s="1777"/>
      <c r="AZ188" s="1777"/>
      <c r="BA188" s="1777"/>
      <c r="BB188" s="1782"/>
      <c r="BC188" s="1777"/>
      <c r="BD188" s="1777"/>
      <c r="BE188" s="1777"/>
      <c r="BF188" s="1777"/>
      <c r="BG188" s="1777"/>
      <c r="BH188" s="1777"/>
      <c r="BI188" s="1777"/>
      <c r="BJ188" s="1777"/>
      <c r="BK188" s="1782"/>
      <c r="BL188" s="1755"/>
      <c r="BM188" s="1755"/>
      <c r="BN188" s="1755"/>
      <c r="BO188" s="1755"/>
      <c r="BP188" s="1755"/>
      <c r="BQ188" s="1755"/>
      <c r="BR188" s="1732"/>
      <c r="BS188" s="1732"/>
      <c r="BT188" s="1732"/>
    </row>
    <row r="189" spans="2:72" s="1738" customFormat="1" ht="22.5" customHeight="1">
      <c r="J189" s="1782"/>
      <c r="K189" s="1777"/>
      <c r="L189" s="1777"/>
      <c r="M189" s="1777"/>
      <c r="N189" s="1777"/>
      <c r="O189" s="1777"/>
      <c r="P189" s="1777"/>
      <c r="Q189" s="1777"/>
      <c r="R189" s="1776"/>
      <c r="S189" s="1777"/>
      <c r="T189" s="1777"/>
      <c r="U189" s="1777"/>
      <c r="V189" s="1777"/>
      <c r="W189" s="1777"/>
      <c r="X189" s="1777"/>
      <c r="Y189" s="1777"/>
      <c r="Z189" s="1782"/>
      <c r="AA189" s="1777"/>
      <c r="AB189" s="1777"/>
      <c r="AC189" s="1777"/>
      <c r="AD189" s="1777"/>
      <c r="AE189" s="1777"/>
      <c r="AF189" s="1777"/>
      <c r="AG189" s="1777"/>
      <c r="AH189" s="1777"/>
      <c r="AI189" s="1777"/>
      <c r="AJ189" s="1777"/>
      <c r="AK189" s="1782"/>
      <c r="AL189" s="1777"/>
      <c r="AM189" s="1777"/>
      <c r="AN189" s="1777"/>
      <c r="AO189" s="1777"/>
      <c r="AP189" s="1777"/>
      <c r="AQ189" s="1777"/>
      <c r="AR189" s="1777"/>
      <c r="AS189" s="1782"/>
      <c r="AT189" s="1777"/>
      <c r="AU189" s="1777"/>
      <c r="AV189" s="1777"/>
      <c r="AW189" s="1777"/>
      <c r="AX189" s="1777"/>
      <c r="AY189" s="1777"/>
      <c r="AZ189" s="1777"/>
      <c r="BA189" s="1777"/>
      <c r="BB189" s="1782"/>
      <c r="BC189" s="1777"/>
      <c r="BD189" s="1777"/>
      <c r="BE189" s="1777"/>
      <c r="BF189" s="1777"/>
      <c r="BG189" s="1777"/>
      <c r="BH189" s="1777"/>
      <c r="BI189" s="1777"/>
      <c r="BJ189" s="1777"/>
      <c r="BK189" s="1782"/>
      <c r="BL189" s="1755"/>
      <c r="BM189" s="1755"/>
      <c r="BN189" s="1755"/>
      <c r="BO189" s="1755"/>
      <c r="BP189" s="1755"/>
      <c r="BQ189" s="1755"/>
      <c r="BR189" s="1732"/>
      <c r="BS189" s="1732"/>
      <c r="BT189" s="1732"/>
    </row>
    <row r="190" spans="2:72" s="1738" customFormat="1" ht="22.5" customHeight="1">
      <c r="J190" s="1782"/>
      <c r="K190" s="1777"/>
      <c r="L190" s="1777"/>
      <c r="M190" s="1777"/>
      <c r="N190" s="1777"/>
      <c r="O190" s="1777"/>
      <c r="P190" s="1777"/>
      <c r="Q190" s="1777"/>
      <c r="R190" s="1776"/>
      <c r="S190" s="1777"/>
      <c r="T190" s="1777"/>
      <c r="U190" s="1777"/>
      <c r="V190" s="1777"/>
      <c r="W190" s="1777"/>
      <c r="X190" s="1777"/>
      <c r="Y190" s="1777"/>
      <c r="Z190" s="1782"/>
      <c r="AA190" s="1777"/>
      <c r="AB190" s="1777"/>
      <c r="AC190" s="1777"/>
      <c r="AD190" s="1777"/>
      <c r="AE190" s="1777"/>
      <c r="AF190" s="1777"/>
      <c r="AG190" s="1777"/>
      <c r="AH190" s="1777"/>
      <c r="AI190" s="1777"/>
      <c r="AJ190" s="1777"/>
      <c r="AK190" s="1782"/>
      <c r="AL190" s="1777"/>
      <c r="AM190" s="1777"/>
      <c r="AN190" s="1777"/>
      <c r="AO190" s="1777"/>
      <c r="AP190" s="1777"/>
      <c r="AQ190" s="1777"/>
      <c r="AR190" s="1777"/>
      <c r="AS190" s="1782"/>
      <c r="AT190" s="1777"/>
      <c r="AU190" s="1777"/>
      <c r="AV190" s="1777"/>
      <c r="AW190" s="1777"/>
      <c r="AX190" s="1777"/>
      <c r="AY190" s="1777"/>
      <c r="AZ190" s="1777"/>
      <c r="BA190" s="1777"/>
      <c r="BB190" s="1782"/>
      <c r="BC190" s="1777"/>
      <c r="BD190" s="1777"/>
      <c r="BE190" s="1777"/>
      <c r="BF190" s="1777"/>
      <c r="BG190" s="1777"/>
      <c r="BH190" s="1777"/>
      <c r="BI190" s="1777"/>
      <c r="BJ190" s="1777"/>
      <c r="BK190" s="1782"/>
      <c r="BL190" s="1755"/>
      <c r="BM190" s="1755"/>
      <c r="BN190" s="1755"/>
      <c r="BO190" s="1755"/>
      <c r="BP190" s="1755"/>
      <c r="BQ190" s="1755"/>
      <c r="BR190" s="1732"/>
      <c r="BS190" s="1732"/>
      <c r="BT190" s="1732"/>
    </row>
    <row r="191" spans="2:72" s="1738" customFormat="1" ht="22.5" customHeight="1">
      <c r="J191" s="1782"/>
      <c r="K191" s="1777"/>
      <c r="L191" s="1777"/>
      <c r="M191" s="1777"/>
      <c r="N191" s="1777"/>
      <c r="O191" s="1777"/>
      <c r="P191" s="1777"/>
      <c r="Q191" s="1777"/>
      <c r="R191" s="1776"/>
      <c r="S191" s="1777"/>
      <c r="T191" s="1777"/>
      <c r="U191" s="1777"/>
      <c r="V191" s="1777"/>
      <c r="W191" s="1777"/>
      <c r="X191" s="1777"/>
      <c r="Y191" s="1777"/>
      <c r="Z191" s="1782"/>
      <c r="AA191" s="1777"/>
      <c r="AB191" s="1777"/>
      <c r="AC191" s="1777"/>
      <c r="AD191" s="1777"/>
      <c r="AE191" s="1777"/>
      <c r="AF191" s="1777"/>
      <c r="AG191" s="1777"/>
      <c r="AH191" s="1777"/>
      <c r="AI191" s="1777"/>
      <c r="AJ191" s="1777"/>
      <c r="AK191" s="1782"/>
      <c r="AL191" s="1777"/>
      <c r="AM191" s="1777"/>
      <c r="AN191" s="1777"/>
      <c r="AO191" s="1777"/>
      <c r="AP191" s="1777"/>
      <c r="AQ191" s="1777"/>
      <c r="AR191" s="1777"/>
      <c r="AS191" s="1782"/>
      <c r="AT191" s="1777"/>
      <c r="AU191" s="1777"/>
      <c r="AV191" s="1777"/>
      <c r="AW191" s="1777"/>
      <c r="AX191" s="1777"/>
      <c r="AY191" s="1777"/>
      <c r="AZ191" s="1777"/>
      <c r="BA191" s="1755"/>
      <c r="BB191" s="1782"/>
      <c r="BC191" s="1755"/>
      <c r="BD191" s="1755"/>
      <c r="BE191" s="1755"/>
      <c r="BF191" s="1755"/>
      <c r="BG191" s="1755"/>
      <c r="BH191" s="1755"/>
      <c r="BI191" s="1755"/>
      <c r="BJ191" s="1777"/>
      <c r="BK191" s="1782"/>
      <c r="BL191" s="1755"/>
      <c r="BM191" s="1755"/>
      <c r="BN191" s="1755"/>
      <c r="BO191" s="1755"/>
      <c r="BP191" s="1755"/>
      <c r="BQ191" s="1755"/>
      <c r="BR191" s="1732"/>
      <c r="BS191" s="1732"/>
      <c r="BT191" s="1732"/>
    </row>
    <row r="192" spans="2:72" s="1738" customFormat="1" ht="22.5" customHeight="1">
      <c r="J192" s="1782"/>
      <c r="K192" s="1777"/>
      <c r="L192" s="1777"/>
      <c r="M192" s="1777"/>
      <c r="N192" s="1777"/>
      <c r="O192" s="1777"/>
      <c r="P192" s="1777"/>
      <c r="Q192" s="1777"/>
      <c r="R192" s="1776"/>
      <c r="S192" s="1777"/>
      <c r="T192" s="1777"/>
      <c r="U192" s="1777"/>
      <c r="V192" s="1777"/>
      <c r="W192" s="1777"/>
      <c r="X192" s="1777"/>
      <c r="Y192" s="1777"/>
      <c r="Z192" s="1782"/>
      <c r="AA192" s="1777"/>
      <c r="AB192" s="1777"/>
      <c r="AC192" s="1777"/>
      <c r="AD192" s="1777"/>
      <c r="AE192" s="1777"/>
      <c r="AF192" s="1777"/>
      <c r="AG192" s="1777"/>
      <c r="AH192" s="1777"/>
      <c r="AI192" s="1777"/>
      <c r="AJ192" s="1777"/>
      <c r="AK192" s="1782"/>
      <c r="AL192" s="1777"/>
      <c r="AM192" s="1777"/>
      <c r="AN192" s="1777"/>
      <c r="AO192" s="1777"/>
      <c r="AP192" s="1777"/>
      <c r="AQ192" s="1777"/>
      <c r="AR192" s="1777"/>
      <c r="AS192" s="1782"/>
      <c r="AT192" s="1777"/>
      <c r="AU192" s="1777"/>
      <c r="AV192" s="1777"/>
      <c r="AW192" s="1777"/>
      <c r="AX192" s="1777"/>
      <c r="AY192" s="1777"/>
      <c r="AZ192" s="1777"/>
      <c r="BA192" s="1755"/>
      <c r="BB192" s="1778"/>
      <c r="BC192" s="1755"/>
      <c r="BD192" s="1755"/>
      <c r="BE192" s="1755"/>
      <c r="BF192" s="1755"/>
      <c r="BG192" s="1755"/>
      <c r="BH192" s="1755"/>
      <c r="BI192" s="1755"/>
      <c r="BJ192" s="1777"/>
      <c r="BK192" s="1782"/>
      <c r="BL192" s="1755"/>
      <c r="BM192" s="1755"/>
      <c r="BN192" s="1755"/>
      <c r="BO192" s="1755"/>
      <c r="BP192" s="1755"/>
      <c r="BQ192" s="1755"/>
      <c r="BR192" s="1732"/>
      <c r="BS192" s="1732"/>
      <c r="BT192" s="1732"/>
    </row>
    <row r="193" spans="1:72" s="1738" customFormat="1" ht="22.5" customHeight="1">
      <c r="J193" s="1782"/>
      <c r="K193" s="1777"/>
      <c r="L193" s="1777"/>
      <c r="M193" s="1777"/>
      <c r="N193" s="1777"/>
      <c r="O193" s="1777"/>
      <c r="P193" s="1777"/>
      <c r="Q193" s="1777"/>
      <c r="R193" s="1776"/>
      <c r="S193" s="1777"/>
      <c r="T193" s="1777"/>
      <c r="U193" s="1777"/>
      <c r="V193" s="1777"/>
      <c r="W193" s="1777"/>
      <c r="X193" s="1777"/>
      <c r="Y193" s="1777"/>
      <c r="Z193" s="1782"/>
      <c r="AA193" s="1777"/>
      <c r="AB193" s="1777"/>
      <c r="AC193" s="1777"/>
      <c r="AD193" s="1777"/>
      <c r="AE193" s="1777"/>
      <c r="AF193" s="1777"/>
      <c r="AG193" s="1777"/>
      <c r="AH193" s="1777"/>
      <c r="AI193" s="1777"/>
      <c r="AJ193" s="1777"/>
      <c r="AK193" s="1782"/>
      <c r="AL193" s="1777"/>
      <c r="AM193" s="1777"/>
      <c r="AN193" s="1777"/>
      <c r="AO193" s="1777"/>
      <c r="AP193" s="1777"/>
      <c r="AQ193" s="1777"/>
      <c r="AR193" s="1777"/>
      <c r="AS193" s="1782"/>
      <c r="AT193" s="1755"/>
      <c r="AU193" s="1755"/>
      <c r="AV193" s="1755"/>
      <c r="AW193" s="1755"/>
      <c r="AX193" s="1755"/>
      <c r="AY193" s="1755"/>
      <c r="AZ193" s="1755"/>
      <c r="BA193" s="1755"/>
      <c r="BB193" s="1778"/>
      <c r="BC193" s="1755"/>
      <c r="BD193" s="1755"/>
      <c r="BE193" s="1755"/>
      <c r="BF193" s="1755"/>
      <c r="BG193" s="1755"/>
      <c r="BH193" s="1755"/>
      <c r="BI193" s="1755"/>
      <c r="BJ193" s="1777"/>
      <c r="BK193" s="1782"/>
      <c r="BL193" s="1755"/>
      <c r="BM193" s="1755"/>
      <c r="BN193" s="1755"/>
      <c r="BO193" s="1755"/>
      <c r="BP193" s="1755"/>
      <c r="BQ193" s="1755"/>
      <c r="BR193" s="1732"/>
      <c r="BS193" s="1732"/>
      <c r="BT193" s="1732"/>
    </row>
    <row r="194" spans="1:72" s="1738" customFormat="1" ht="22.5" customHeight="1">
      <c r="J194" s="1782"/>
      <c r="K194" s="1777"/>
      <c r="L194" s="1777"/>
      <c r="M194" s="1777"/>
      <c r="N194" s="1777"/>
      <c r="O194" s="1777"/>
      <c r="P194" s="1777"/>
      <c r="Q194" s="1777"/>
      <c r="R194" s="1776"/>
      <c r="S194" s="1777"/>
      <c r="T194" s="1777"/>
      <c r="U194" s="1777"/>
      <c r="V194" s="1777"/>
      <c r="W194" s="1777"/>
      <c r="X194" s="1777"/>
      <c r="Y194" s="1777"/>
      <c r="Z194" s="1782"/>
      <c r="AA194" s="1777"/>
      <c r="AB194" s="1777"/>
      <c r="AC194" s="1777"/>
      <c r="AD194" s="1777"/>
      <c r="AE194" s="1777"/>
      <c r="AF194" s="1777"/>
      <c r="AG194" s="1777"/>
      <c r="AH194" s="1777"/>
      <c r="AI194" s="1777"/>
      <c r="AJ194" s="1777"/>
      <c r="AK194" s="1782"/>
      <c r="AL194" s="1777"/>
      <c r="AM194" s="1777"/>
      <c r="AN194" s="1777"/>
      <c r="AO194" s="1777"/>
      <c r="AP194" s="1777"/>
      <c r="AQ194" s="1777"/>
      <c r="AR194" s="1777"/>
      <c r="AS194" s="1782"/>
      <c r="AT194" s="1755"/>
      <c r="AU194" s="1755"/>
      <c r="AV194" s="1755"/>
      <c r="AW194" s="1755"/>
      <c r="AX194" s="1755"/>
      <c r="AY194" s="1755"/>
      <c r="AZ194" s="1755"/>
      <c r="BA194" s="1755"/>
      <c r="BB194" s="1778"/>
      <c r="BC194" s="1755"/>
      <c r="BD194" s="1755"/>
      <c r="BE194" s="1755"/>
      <c r="BF194" s="1755"/>
      <c r="BG194" s="1755"/>
      <c r="BH194" s="1755"/>
      <c r="BI194" s="1755"/>
      <c r="BJ194" s="1755"/>
      <c r="BK194" s="1782"/>
      <c r="BL194" s="1755"/>
      <c r="BM194" s="1755"/>
      <c r="BN194" s="1755"/>
      <c r="BO194" s="1755"/>
      <c r="BP194" s="1755"/>
      <c r="BQ194" s="1755"/>
      <c r="BR194" s="1732"/>
      <c r="BS194" s="1732"/>
      <c r="BT194" s="1732"/>
    </row>
    <row r="195" spans="1:72" s="1738" customFormat="1" ht="22.5" customHeight="1">
      <c r="J195" s="1782"/>
      <c r="K195" s="1777"/>
      <c r="L195" s="1777"/>
      <c r="M195" s="1777"/>
      <c r="N195" s="1777"/>
      <c r="O195" s="1777"/>
      <c r="P195" s="1777"/>
      <c r="Q195" s="1777"/>
      <c r="R195" s="1776"/>
      <c r="S195" s="1777"/>
      <c r="T195" s="1777"/>
      <c r="U195" s="1777"/>
      <c r="V195" s="1777"/>
      <c r="W195" s="1777"/>
      <c r="X195" s="1777"/>
      <c r="Y195" s="1777"/>
      <c r="Z195" s="1782"/>
      <c r="AA195" s="1777"/>
      <c r="AB195" s="1777"/>
      <c r="AC195" s="1777"/>
      <c r="AD195" s="1777"/>
      <c r="AE195" s="1777"/>
      <c r="AF195" s="1777"/>
      <c r="AG195" s="1777"/>
      <c r="AH195" s="1777"/>
      <c r="AI195" s="1777"/>
      <c r="AJ195" s="1777"/>
      <c r="AK195" s="1782"/>
      <c r="AL195" s="1777"/>
      <c r="AM195" s="1777"/>
      <c r="AN195" s="1777"/>
      <c r="AO195" s="1777"/>
      <c r="AP195" s="1777"/>
      <c r="AQ195" s="1777"/>
      <c r="AR195" s="1777"/>
      <c r="AS195" s="1782"/>
      <c r="AT195" s="1755"/>
      <c r="AU195" s="1755"/>
      <c r="AV195" s="1755"/>
      <c r="AW195" s="1755"/>
      <c r="AX195" s="1755"/>
      <c r="AY195" s="1755"/>
      <c r="AZ195" s="1755"/>
      <c r="BA195" s="1755"/>
      <c r="BB195" s="1778"/>
      <c r="BC195" s="1755"/>
      <c r="BD195" s="1755"/>
      <c r="BE195" s="1755"/>
      <c r="BF195" s="1755"/>
      <c r="BG195" s="1755"/>
      <c r="BH195" s="1755"/>
      <c r="BI195" s="1755"/>
      <c r="BJ195" s="1755"/>
      <c r="BK195" s="1778"/>
      <c r="BL195" s="1755"/>
      <c r="BM195" s="1755"/>
      <c r="BN195" s="1755"/>
      <c r="BO195" s="1755"/>
      <c r="BP195" s="1755"/>
      <c r="BQ195" s="1755"/>
      <c r="BR195" s="1732"/>
      <c r="BS195" s="1732"/>
      <c r="BT195" s="1732"/>
    </row>
    <row r="196" spans="1:72" s="1738" customFormat="1" ht="22.5" customHeight="1">
      <c r="A196" s="1746"/>
      <c r="J196" s="1782"/>
      <c r="K196" s="1777"/>
      <c r="L196" s="1777"/>
      <c r="M196" s="1777"/>
      <c r="N196" s="1777"/>
      <c r="O196" s="1777"/>
      <c r="P196" s="1777"/>
      <c r="Q196" s="1791"/>
      <c r="R196" s="1776"/>
      <c r="S196" s="1919"/>
      <c r="T196" s="1799"/>
      <c r="U196" s="1800"/>
      <c r="V196" s="1799"/>
      <c r="W196" s="1767"/>
      <c r="X196" s="1767"/>
      <c r="Y196" s="1777"/>
      <c r="Z196" s="1782"/>
      <c r="AA196" s="1777"/>
      <c r="AB196" s="1777"/>
      <c r="AC196" s="1777"/>
      <c r="AD196" s="1777"/>
      <c r="AE196" s="1777"/>
      <c r="AF196" s="1777"/>
      <c r="AG196" s="1777"/>
      <c r="AH196" s="1777"/>
      <c r="AI196" s="1777"/>
      <c r="AJ196" s="1777"/>
      <c r="AK196" s="1782"/>
      <c r="AL196" s="1777"/>
      <c r="AM196" s="1777"/>
      <c r="AN196" s="1777"/>
      <c r="AO196" s="1777"/>
      <c r="AP196" s="1777"/>
      <c r="AQ196" s="1777"/>
      <c r="AR196" s="1777"/>
      <c r="AS196" s="1782"/>
      <c r="AT196" s="1755"/>
      <c r="AU196" s="1755"/>
      <c r="AV196" s="1755"/>
      <c r="AW196" s="1755"/>
      <c r="AX196" s="1755"/>
      <c r="AY196" s="1755"/>
      <c r="AZ196" s="1755"/>
      <c r="BA196" s="1755"/>
      <c r="BB196" s="1778"/>
      <c r="BC196" s="1755"/>
      <c r="BD196" s="1755"/>
      <c r="BE196" s="1755"/>
      <c r="BF196" s="1755"/>
      <c r="BG196" s="1755"/>
      <c r="BH196" s="1755"/>
      <c r="BI196" s="1755"/>
      <c r="BJ196" s="1755"/>
      <c r="BK196" s="1778"/>
      <c r="BL196" s="1755"/>
      <c r="BM196" s="1755"/>
      <c r="BN196" s="1755"/>
      <c r="BO196" s="1755"/>
      <c r="BP196" s="1755"/>
      <c r="BQ196" s="1755"/>
      <c r="BR196" s="1732"/>
      <c r="BS196" s="1732"/>
      <c r="BT196" s="1732"/>
    </row>
    <row r="197" spans="1:72" s="1738" customFormat="1" ht="22.5" customHeight="1">
      <c r="A197" s="1746"/>
      <c r="J197" s="1782"/>
      <c r="K197" s="1777"/>
      <c r="L197" s="1777"/>
      <c r="M197" s="1777"/>
      <c r="N197" s="1777"/>
      <c r="O197" s="1777"/>
      <c r="P197" s="1777"/>
      <c r="Q197" s="1791"/>
      <c r="R197" s="1776"/>
      <c r="S197" s="1919"/>
      <c r="T197" s="1799"/>
      <c r="U197" s="1800"/>
      <c r="V197" s="1799"/>
      <c r="W197" s="1767"/>
      <c r="X197" s="1767"/>
      <c r="Y197" s="1777"/>
      <c r="Z197" s="1782"/>
      <c r="AA197" s="1777"/>
      <c r="AB197" s="1777"/>
      <c r="AC197" s="1777"/>
      <c r="AD197" s="1777"/>
      <c r="AE197" s="1777"/>
      <c r="AF197" s="1777"/>
      <c r="AG197" s="1777"/>
      <c r="AH197" s="1777"/>
      <c r="AI197" s="1777"/>
      <c r="AJ197" s="1777"/>
      <c r="AK197" s="1782"/>
      <c r="AL197" s="1777"/>
      <c r="AM197" s="1777"/>
      <c r="AN197" s="1777"/>
      <c r="AO197" s="1777"/>
      <c r="AP197" s="1777"/>
      <c r="AQ197" s="1777"/>
      <c r="AR197" s="1777"/>
      <c r="AS197" s="1782"/>
      <c r="AT197" s="1755"/>
      <c r="AU197" s="1755"/>
      <c r="AV197" s="1755"/>
      <c r="AW197" s="1755"/>
      <c r="AX197" s="1755"/>
      <c r="AY197" s="1755"/>
      <c r="AZ197" s="1755"/>
      <c r="BA197" s="1755"/>
      <c r="BB197" s="1778"/>
      <c r="BC197" s="1755"/>
      <c r="BD197" s="1755"/>
      <c r="BE197" s="1755"/>
      <c r="BF197" s="1755"/>
      <c r="BG197" s="1755"/>
      <c r="BH197" s="1755"/>
      <c r="BI197" s="1755"/>
      <c r="BJ197" s="1755"/>
      <c r="BK197" s="1778"/>
      <c r="BL197" s="1755"/>
      <c r="BM197" s="1755"/>
      <c r="BN197" s="1755"/>
      <c r="BO197" s="1755"/>
      <c r="BP197" s="1755"/>
      <c r="BQ197" s="1755"/>
      <c r="BR197" s="1732"/>
      <c r="BS197" s="1732"/>
      <c r="BT197" s="1732"/>
    </row>
    <row r="198" spans="1:72" s="1738" customFormat="1" ht="22.5" customHeight="1">
      <c r="A198" s="1746"/>
      <c r="B198" s="1746"/>
      <c r="C198" s="1917"/>
      <c r="D198" s="1918"/>
      <c r="E198" s="1747"/>
      <c r="F198" s="1918"/>
      <c r="G198" s="1918"/>
      <c r="H198" s="1918"/>
      <c r="I198" s="1918"/>
      <c r="J198" s="1782"/>
      <c r="K198" s="1777"/>
      <c r="L198" s="1777"/>
      <c r="M198" s="1777"/>
      <c r="N198" s="1777"/>
      <c r="O198" s="1777"/>
      <c r="P198" s="1777"/>
      <c r="Q198" s="1791"/>
      <c r="R198" s="1776"/>
      <c r="S198" s="1919"/>
      <c r="T198" s="1799"/>
      <c r="U198" s="1800"/>
      <c r="V198" s="1799"/>
      <c r="W198" s="1767"/>
      <c r="X198" s="1767"/>
      <c r="Y198" s="1777"/>
      <c r="Z198" s="1782"/>
      <c r="AA198" s="1777"/>
      <c r="AB198" s="1777"/>
      <c r="AC198" s="1777"/>
      <c r="AD198" s="1777"/>
      <c r="AE198" s="1777"/>
      <c r="AF198" s="1777"/>
      <c r="AG198" s="1777"/>
      <c r="AH198" s="1777"/>
      <c r="AI198" s="1777"/>
      <c r="AJ198" s="1777"/>
      <c r="AK198" s="1782"/>
      <c r="AL198" s="1777"/>
      <c r="AM198" s="1777"/>
      <c r="AN198" s="1777"/>
      <c r="AO198" s="1777"/>
      <c r="AP198" s="1777"/>
      <c r="AQ198" s="1777"/>
      <c r="AR198" s="1777"/>
      <c r="AS198" s="1782"/>
      <c r="AT198" s="1755"/>
      <c r="AU198" s="1755"/>
      <c r="AV198" s="1755"/>
      <c r="AW198" s="1755"/>
      <c r="AX198" s="1755"/>
      <c r="AY198" s="1755"/>
      <c r="AZ198" s="1755"/>
      <c r="BA198" s="1755"/>
      <c r="BB198" s="1778"/>
      <c r="BC198" s="1755"/>
      <c r="BD198" s="1755"/>
      <c r="BE198" s="1755"/>
      <c r="BF198" s="1755"/>
      <c r="BG198" s="1755"/>
      <c r="BH198" s="1755"/>
      <c r="BI198" s="1755"/>
      <c r="BJ198" s="1755"/>
      <c r="BK198" s="1778"/>
      <c r="BL198" s="1755"/>
      <c r="BM198" s="1755"/>
      <c r="BN198" s="1755"/>
      <c r="BO198" s="1755"/>
      <c r="BP198" s="1755"/>
      <c r="BQ198" s="1755"/>
      <c r="BR198" s="1732"/>
      <c r="BS198" s="1732"/>
      <c r="BT198" s="1732"/>
    </row>
    <row r="199" spans="1:72" s="1738" customFormat="1" ht="22.5" customHeight="1">
      <c r="A199" s="1746"/>
      <c r="B199" s="1746"/>
      <c r="C199" s="1917"/>
      <c r="D199" s="1918"/>
      <c r="E199" s="1747"/>
      <c r="F199" s="1918"/>
      <c r="G199" s="1918"/>
      <c r="H199" s="1918"/>
      <c r="I199" s="1918"/>
      <c r="J199" s="1782"/>
      <c r="K199" s="1777"/>
      <c r="L199" s="1777"/>
      <c r="M199" s="1777"/>
      <c r="N199" s="1777"/>
      <c r="O199" s="1777"/>
      <c r="P199" s="1777"/>
      <c r="Q199" s="1791"/>
      <c r="R199" s="1776"/>
      <c r="S199" s="1919"/>
      <c r="T199" s="1799"/>
      <c r="U199" s="1800"/>
      <c r="V199" s="1799"/>
      <c r="W199" s="1767"/>
      <c r="X199" s="1767"/>
      <c r="Y199" s="1777"/>
      <c r="Z199" s="1782"/>
      <c r="AA199" s="1777"/>
      <c r="AB199" s="1777"/>
      <c r="AC199" s="1777"/>
      <c r="AD199" s="1777"/>
      <c r="AE199" s="1777"/>
      <c r="AF199" s="1777"/>
      <c r="AG199" s="1777"/>
      <c r="AH199" s="1777"/>
      <c r="AI199" s="1777"/>
      <c r="AJ199" s="1777"/>
      <c r="AK199" s="1782"/>
      <c r="AL199" s="1777"/>
      <c r="AM199" s="1777"/>
      <c r="AN199" s="1777"/>
      <c r="AO199" s="1777"/>
      <c r="AP199" s="1777"/>
      <c r="AQ199" s="1777"/>
      <c r="AR199" s="1777"/>
      <c r="AS199" s="1782"/>
      <c r="AT199" s="1755"/>
      <c r="AU199" s="1755"/>
      <c r="AV199" s="1755"/>
      <c r="AW199" s="1755"/>
      <c r="AX199" s="1755"/>
      <c r="AY199" s="1755"/>
      <c r="AZ199" s="1755"/>
      <c r="BA199" s="1755"/>
      <c r="BB199" s="1778"/>
      <c r="BC199" s="1755"/>
      <c r="BD199" s="1755"/>
      <c r="BE199" s="1755"/>
      <c r="BF199" s="1755"/>
      <c r="BG199" s="1755"/>
      <c r="BH199" s="1755"/>
      <c r="BI199" s="1755"/>
      <c r="BJ199" s="1755"/>
      <c r="BK199" s="1778"/>
      <c r="BL199" s="1755"/>
      <c r="BM199" s="1755"/>
      <c r="BN199" s="1755"/>
      <c r="BO199" s="1755"/>
      <c r="BP199" s="1755"/>
      <c r="BQ199" s="1755"/>
      <c r="BR199" s="1732"/>
      <c r="BS199" s="1732"/>
      <c r="BT199" s="1732"/>
    </row>
    <row r="200" spans="1:72" s="1738" customFormat="1" ht="22.5" customHeight="1">
      <c r="A200" s="1746"/>
      <c r="B200" s="1746"/>
      <c r="C200" s="1917"/>
      <c r="D200" s="1918"/>
      <c r="E200" s="1747"/>
      <c r="F200" s="1918"/>
      <c r="G200" s="1918"/>
      <c r="H200" s="1918"/>
      <c r="I200" s="1918"/>
      <c r="J200" s="1782"/>
      <c r="K200" s="1777"/>
      <c r="L200" s="1777"/>
      <c r="M200" s="1777"/>
      <c r="N200" s="1777"/>
      <c r="O200" s="1777"/>
      <c r="P200" s="1777"/>
      <c r="Q200" s="1791"/>
      <c r="R200" s="1776"/>
      <c r="S200" s="1919"/>
      <c r="T200" s="1799"/>
      <c r="U200" s="1800"/>
      <c r="V200" s="1799"/>
      <c r="W200" s="1767"/>
      <c r="X200" s="1767"/>
      <c r="Y200" s="1777"/>
      <c r="Z200" s="1782"/>
      <c r="AA200" s="1777"/>
      <c r="AB200" s="1777"/>
      <c r="AC200" s="1777"/>
      <c r="AD200" s="1777"/>
      <c r="AE200" s="1777"/>
      <c r="AF200" s="1777"/>
      <c r="AG200" s="1777"/>
      <c r="AH200" s="1777"/>
      <c r="AI200" s="1777"/>
      <c r="AJ200" s="1777"/>
      <c r="AK200" s="1782"/>
      <c r="AL200" s="1777"/>
      <c r="AM200" s="1777"/>
      <c r="AN200" s="1777"/>
      <c r="AO200" s="1777"/>
      <c r="AP200" s="1777"/>
      <c r="AQ200" s="1777"/>
      <c r="AR200" s="1777"/>
      <c r="AS200" s="1782"/>
      <c r="AT200" s="1755"/>
      <c r="AU200" s="1755"/>
      <c r="AV200" s="1755"/>
      <c r="AW200" s="1755"/>
      <c r="AX200" s="1755"/>
      <c r="AY200" s="1755"/>
      <c r="AZ200" s="1755"/>
      <c r="BA200" s="1755"/>
      <c r="BB200" s="1778"/>
      <c r="BC200" s="1755"/>
      <c r="BD200" s="1755"/>
      <c r="BE200" s="1755"/>
      <c r="BF200" s="1755"/>
      <c r="BG200" s="1755"/>
      <c r="BH200" s="1755"/>
      <c r="BI200" s="1755"/>
      <c r="BJ200" s="1755"/>
      <c r="BK200" s="1778"/>
      <c r="BL200" s="1755"/>
      <c r="BM200" s="1755"/>
      <c r="BN200" s="1755"/>
      <c r="BO200" s="1755"/>
      <c r="BP200" s="1755"/>
      <c r="BQ200" s="1755"/>
      <c r="BR200" s="1732"/>
      <c r="BS200" s="1732"/>
      <c r="BT200" s="1732"/>
    </row>
    <row r="201" spans="1:72" ht="22.5" customHeight="1"/>
    <row r="202" spans="1:72" ht="22.5" customHeight="1"/>
    <row r="203" spans="1:72" ht="22.5" customHeight="1"/>
    <row r="204" spans="1:72" ht="22.5" customHeight="1"/>
    <row r="205" spans="1:72" ht="22.5" customHeight="1"/>
    <row r="206" spans="1:72" ht="22.5" customHeight="1"/>
    <row r="207" spans="1:72" ht="22.5" customHeight="1"/>
    <row r="208" spans="1:72" ht="22.5" customHeight="1"/>
    <row r="209" ht="22.5" customHeight="1"/>
    <row r="210" ht="22.5" customHeight="1"/>
    <row r="211" ht="22.5" customHeight="1"/>
    <row r="212" ht="22.5" customHeight="1"/>
    <row r="213" ht="22.5" customHeight="1"/>
    <row r="214" ht="22.5" customHeight="1"/>
    <row r="215" ht="22.5" customHeight="1"/>
    <row r="216" ht="22.5" customHeight="1"/>
    <row r="217" ht="22.5" customHeight="1"/>
  </sheetData>
  <customSheetViews>
    <customSheetView guid="{A374FC54-96E3-45F0-9C12-8450400C12DF}" scale="160" topLeftCell="BC1">
      <pane ySplit="4" topLeftCell="A8" activePane="bottomLeft" state="frozen"/>
      <selection pane="bottomLeft" activeCell="BJ18" sqref="BJ18"/>
      <colBreaks count="3" manualBreakCount="3">
        <brk id="9" max="1048575" man="1"/>
        <brk id="18" max="1048575" man="1"/>
        <brk id="54" max="1048575" man="1"/>
      </colBreaks>
      <pageMargins left="0.62992125984252001" right="0.511811023622047" top="0.39370078740157499" bottom="0.511811023622047" header="0.25" footer="0"/>
      <pageSetup paperSize="132" scale="99" firstPageNumber="56" orientation="portrait" useFirstPageNumber="1" r:id="rId1"/>
      <headerFooter alignWithMargins="0">
        <oddFooter>&amp;C&amp;"Times New Roman,Regular"&amp;8&amp;P</oddFooter>
      </headerFooter>
    </customSheetView>
  </customSheetViews>
  <mergeCells count="86">
    <mergeCell ref="BS2:BT2"/>
    <mergeCell ref="X3:X4"/>
    <mergeCell ref="Y3:Y4"/>
    <mergeCell ref="AG3:AG4"/>
    <mergeCell ref="AP3:AP4"/>
    <mergeCell ref="AF3:AF4"/>
    <mergeCell ref="AV3:AV4"/>
    <mergeCell ref="AY3:AY4"/>
    <mergeCell ref="AQ3:AQ4"/>
    <mergeCell ref="AH3:AH4"/>
    <mergeCell ref="AI3:AI4"/>
    <mergeCell ref="AJ3:AJ4"/>
    <mergeCell ref="BT3:BT4"/>
    <mergeCell ref="BQ3:BQ4"/>
    <mergeCell ref="BP3:BP4"/>
    <mergeCell ref="BR3:BR4"/>
    <mergeCell ref="AE3:AE4"/>
    <mergeCell ref="O3:O4"/>
    <mergeCell ref="P3:P4"/>
    <mergeCell ref="Q3:Q4"/>
    <mergeCell ref="L3:L4"/>
    <mergeCell ref="M3:M4"/>
    <mergeCell ref="N3:N4"/>
    <mergeCell ref="R3:R4"/>
    <mergeCell ref="S3:S4"/>
    <mergeCell ref="W3:W4"/>
    <mergeCell ref="K3:K4"/>
    <mergeCell ref="W1:AA1"/>
    <mergeCell ref="U3:U4"/>
    <mergeCell ref="V3:V4"/>
    <mergeCell ref="T3:T4"/>
    <mergeCell ref="H3:H4"/>
    <mergeCell ref="I3:I4"/>
    <mergeCell ref="G3:G4"/>
    <mergeCell ref="J3:J4"/>
    <mergeCell ref="F3:F4"/>
    <mergeCell ref="A3:A4"/>
    <mergeCell ref="B3:B4"/>
    <mergeCell ref="C3:C4"/>
    <mergeCell ref="D3:D4"/>
    <mergeCell ref="E3:E4"/>
    <mergeCell ref="BS3:BS4"/>
    <mergeCell ref="BO3:BO4"/>
    <mergeCell ref="BG3:BG4"/>
    <mergeCell ref="A5:E5"/>
    <mergeCell ref="BL3:BL4"/>
    <mergeCell ref="AS3:AS4"/>
    <mergeCell ref="AT3:AT4"/>
    <mergeCell ref="AU3:AU4"/>
    <mergeCell ref="AX3:AX4"/>
    <mergeCell ref="AW3:AW4"/>
    <mergeCell ref="Z3:Z4"/>
    <mergeCell ref="AA3:AA4"/>
    <mergeCell ref="AB3:AB4"/>
    <mergeCell ref="AC3:AC4"/>
    <mergeCell ref="AD3:AD4"/>
    <mergeCell ref="AZ3:AZ4"/>
    <mergeCell ref="A1:I1"/>
    <mergeCell ref="J1:N1"/>
    <mergeCell ref="P1:R1"/>
    <mergeCell ref="BR1:BT1"/>
    <mergeCell ref="AP1:AS1"/>
    <mergeCell ref="AT1:AX1"/>
    <mergeCell ref="BL1:BP1"/>
    <mergeCell ref="BG1:BJ1"/>
    <mergeCell ref="AY1:BB1"/>
    <mergeCell ref="AI1:AJ1"/>
    <mergeCell ref="AB1:AF1"/>
    <mergeCell ref="AM3:AM4"/>
    <mergeCell ref="AK3:AK4"/>
    <mergeCell ref="AO3:AO4"/>
    <mergeCell ref="AN3:AN4"/>
    <mergeCell ref="AL3:AL4"/>
    <mergeCell ref="BM3:BM4"/>
    <mergeCell ref="BN3:BN4"/>
    <mergeCell ref="BD3:BD4"/>
    <mergeCell ref="BC3:BC4"/>
    <mergeCell ref="AR3:AR4"/>
    <mergeCell ref="BA3:BA4"/>
    <mergeCell ref="BJ3:BJ4"/>
    <mergeCell ref="BK3:BK4"/>
    <mergeCell ref="BE3:BE4"/>
    <mergeCell ref="BF3:BF4"/>
    <mergeCell ref="BH3:BH4"/>
    <mergeCell ref="BI3:BI4"/>
    <mergeCell ref="BB3:BB4"/>
  </mergeCells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  <colBreaks count="7" manualBreakCount="7">
    <brk id="9" max="1048575" man="1"/>
    <brk id="18" max="1048575" man="1"/>
    <brk id="27" max="1048575" man="1"/>
    <brk id="36" max="1048575" man="1"/>
    <brk id="45" max="1048575" man="1"/>
    <brk id="54" max="1048575" man="1"/>
    <brk id="63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>
  <sheetPr codeName="Sheet26"/>
  <dimension ref="A1:W57"/>
  <sheetViews>
    <sheetView zoomScaleSheetLayoutView="100" workbookViewId="0">
      <pane xSplit="4" ySplit="3" topLeftCell="E16" activePane="bottomRight" state="frozen"/>
      <selection activeCell="X47" sqref="X47:X50"/>
      <selection pane="topRight" activeCell="X47" sqref="X47:X50"/>
      <selection pane="bottomLeft" activeCell="X47" sqref="X47:X50"/>
      <selection pane="bottomRight" activeCell="O52" sqref="O52"/>
    </sheetView>
  </sheetViews>
  <sheetFormatPr defaultColWidth="9.140625" defaultRowHeight="12.75"/>
  <cols>
    <col min="1" max="1" width="2.28515625" style="378" customWidth="1"/>
    <col min="2" max="2" width="3" style="8" customWidth="1"/>
    <col min="3" max="3" width="2.85546875" style="805" customWidth="1"/>
    <col min="4" max="4" width="33.42578125" style="8" customWidth="1"/>
    <col min="5" max="5" width="7.28515625" style="8" customWidth="1"/>
    <col min="6" max="6" width="7.140625" style="8" customWidth="1"/>
    <col min="7" max="7" width="7" style="8" customWidth="1"/>
    <col min="8" max="8" width="7.28515625" style="8" customWidth="1"/>
    <col min="9" max="9" width="7.5703125" style="8" customWidth="1"/>
    <col min="10" max="10" width="6.85546875" style="8" customWidth="1"/>
    <col min="11" max="12" width="6.7109375" style="8" customWidth="1"/>
    <col min="13" max="13" width="6.85546875" style="8" customWidth="1"/>
    <col min="14" max="14" width="6.7109375" style="8" customWidth="1"/>
    <col min="15" max="15" width="7.28515625" style="8" customWidth="1"/>
    <col min="16" max="16" width="6.85546875" style="8" customWidth="1"/>
    <col min="17" max="17" width="6.7109375" style="8" customWidth="1"/>
    <col min="18" max="18" width="6.140625" style="8" customWidth="1"/>
    <col min="19" max="21" width="7.85546875" style="8" customWidth="1"/>
    <col min="22" max="22" width="6.85546875" style="8" customWidth="1"/>
    <col min="23" max="16384" width="9.140625" style="8"/>
  </cols>
  <sheetData>
    <row r="1" spans="1:23" s="304" customFormat="1" ht="14.25" customHeight="1">
      <c r="A1" s="2523" t="s">
        <v>1526</v>
      </c>
      <c r="B1" s="2523"/>
      <c r="C1" s="2523"/>
      <c r="D1" s="2523"/>
      <c r="E1" s="2523"/>
      <c r="F1" s="2523"/>
      <c r="G1" s="2523"/>
      <c r="H1" s="2523"/>
      <c r="I1" s="2523"/>
      <c r="J1" s="2522" t="s">
        <v>1525</v>
      </c>
      <c r="K1" s="2522"/>
      <c r="L1" s="2522"/>
      <c r="M1" s="2522"/>
      <c r="N1" s="2522"/>
      <c r="O1" s="2522"/>
      <c r="P1" s="2522"/>
      <c r="Q1" s="2522"/>
      <c r="R1" s="2522"/>
      <c r="S1" s="947"/>
      <c r="T1" s="2524" t="s">
        <v>1528</v>
      </c>
      <c r="U1" s="2524"/>
      <c r="V1" s="2524"/>
    </row>
    <row r="2" spans="1:23" s="77" customFormat="1" ht="48" customHeight="1">
      <c r="A2" s="2525" t="s">
        <v>25</v>
      </c>
      <c r="B2" s="2526"/>
      <c r="C2" s="2526"/>
      <c r="D2" s="2527"/>
      <c r="E2" s="803" t="s">
        <v>866</v>
      </c>
      <c r="F2" s="803" t="s">
        <v>867</v>
      </c>
      <c r="G2" s="803" t="s">
        <v>1772</v>
      </c>
      <c r="H2" s="803" t="s">
        <v>1771</v>
      </c>
      <c r="I2" s="803" t="s">
        <v>868</v>
      </c>
      <c r="J2" s="803" t="s">
        <v>869</v>
      </c>
      <c r="K2" s="803" t="s">
        <v>859</v>
      </c>
      <c r="L2" s="803" t="s">
        <v>870</v>
      </c>
      <c r="M2" s="803" t="s">
        <v>871</v>
      </c>
      <c r="N2" s="803" t="s">
        <v>872</v>
      </c>
      <c r="O2" s="946" t="s">
        <v>873</v>
      </c>
      <c r="P2" s="803" t="s">
        <v>1113</v>
      </c>
      <c r="Q2" s="734" t="s">
        <v>1523</v>
      </c>
      <c r="R2" s="803" t="s">
        <v>1524</v>
      </c>
      <c r="S2" s="946" t="s">
        <v>1540</v>
      </c>
      <c r="T2" s="803" t="s">
        <v>2002</v>
      </c>
      <c r="U2" s="1383" t="s">
        <v>2670</v>
      </c>
      <c r="V2" s="1180" t="s">
        <v>2247</v>
      </c>
    </row>
    <row r="3" spans="1:23" s="77" customFormat="1" ht="10.5" customHeight="1">
      <c r="A3" s="2528"/>
      <c r="B3" s="2529"/>
      <c r="C3" s="2529"/>
      <c r="D3" s="2530"/>
      <c r="E3" s="803">
        <v>1</v>
      </c>
      <c r="F3" s="803">
        <v>2</v>
      </c>
      <c r="G3" s="803">
        <v>3</v>
      </c>
      <c r="H3" s="803">
        <v>4</v>
      </c>
      <c r="I3" s="803">
        <v>5</v>
      </c>
      <c r="J3" s="803">
        <v>6</v>
      </c>
      <c r="K3" s="803">
        <v>7</v>
      </c>
      <c r="L3" s="803">
        <v>8</v>
      </c>
      <c r="M3" s="803">
        <v>9</v>
      </c>
      <c r="N3" s="803">
        <v>10</v>
      </c>
      <c r="O3" s="803">
        <v>11</v>
      </c>
      <c r="P3" s="803">
        <v>12</v>
      </c>
      <c r="Q3" s="803">
        <v>13</v>
      </c>
      <c r="R3" s="803">
        <v>14</v>
      </c>
      <c r="S3" s="946">
        <v>15</v>
      </c>
      <c r="T3" s="803">
        <v>16</v>
      </c>
      <c r="U3" s="803">
        <v>17</v>
      </c>
      <c r="V3" s="803">
        <v>18</v>
      </c>
      <c r="W3" s="66"/>
    </row>
    <row r="4" spans="1:23" s="47" customFormat="1" ht="13.5" customHeight="1">
      <c r="A4" s="371" t="s">
        <v>82</v>
      </c>
      <c r="B4" s="2497" t="s">
        <v>83</v>
      </c>
      <c r="C4" s="2497"/>
      <c r="D4" s="2497"/>
      <c r="E4" s="431">
        <v>6</v>
      </c>
      <c r="F4" s="431">
        <v>6</v>
      </c>
      <c r="G4" s="431">
        <v>6</v>
      </c>
      <c r="H4" s="431">
        <v>5</v>
      </c>
      <c r="I4" s="431">
        <v>5</v>
      </c>
      <c r="J4" s="431">
        <v>5</v>
      </c>
      <c r="K4" s="431">
        <v>5</v>
      </c>
      <c r="L4" s="431">
        <v>5</v>
      </c>
      <c r="M4" s="431">
        <v>5</v>
      </c>
      <c r="N4" s="431">
        <v>5</v>
      </c>
      <c r="O4" s="431">
        <v>5</v>
      </c>
      <c r="P4" s="431">
        <v>5</v>
      </c>
      <c r="Q4" s="431">
        <v>5</v>
      </c>
      <c r="R4" s="431">
        <v>5</v>
      </c>
      <c r="S4" s="431">
        <v>5</v>
      </c>
      <c r="T4" s="431">
        <v>4</v>
      </c>
      <c r="U4" s="431">
        <v>4</v>
      </c>
      <c r="V4" s="431">
        <v>4</v>
      </c>
    </row>
    <row r="5" spans="1:23" s="341" customFormat="1" ht="13.5" customHeight="1">
      <c r="A5" s="372" t="s">
        <v>506</v>
      </c>
      <c r="B5" s="2512" t="s">
        <v>860</v>
      </c>
      <c r="C5" s="2512"/>
      <c r="D5" s="2512"/>
      <c r="E5" s="432"/>
      <c r="F5" s="432"/>
      <c r="G5" s="432"/>
      <c r="H5" s="432"/>
      <c r="I5" s="432"/>
      <c r="J5" s="432"/>
      <c r="K5" s="432"/>
      <c r="L5" s="432"/>
      <c r="M5" s="432"/>
      <c r="N5" s="432"/>
      <c r="O5" s="432"/>
      <c r="P5" s="432"/>
      <c r="Q5" s="432"/>
      <c r="R5" s="432"/>
      <c r="S5" s="432"/>
      <c r="T5" s="432"/>
      <c r="U5" s="432"/>
      <c r="V5" s="432"/>
    </row>
    <row r="6" spans="1:23" s="341" customFormat="1" ht="12">
      <c r="A6" s="2497" t="s">
        <v>928</v>
      </c>
      <c r="B6" s="2497"/>
      <c r="C6" s="2497"/>
      <c r="D6" s="2497"/>
      <c r="E6" s="431"/>
      <c r="F6" s="431"/>
      <c r="G6" s="431"/>
      <c r="H6" s="431"/>
      <c r="I6" s="431"/>
      <c r="J6" s="431"/>
      <c r="K6" s="431"/>
      <c r="L6" s="431"/>
      <c r="M6" s="431"/>
      <c r="N6" s="431"/>
      <c r="O6" s="431"/>
      <c r="P6" s="431"/>
      <c r="Q6" s="431"/>
      <c r="R6" s="431"/>
      <c r="S6" s="431"/>
      <c r="T6" s="431"/>
      <c r="U6" s="431"/>
      <c r="V6" s="431"/>
    </row>
    <row r="7" spans="1:23" s="341" customFormat="1" ht="12" customHeight="1">
      <c r="A7" s="374"/>
      <c r="B7" s="2503" t="s">
        <v>846</v>
      </c>
      <c r="C7" s="2503"/>
      <c r="D7" s="2503"/>
      <c r="E7" s="228">
        <v>8.5</v>
      </c>
      <c r="F7" s="228">
        <v>8.5</v>
      </c>
      <c r="G7" s="228">
        <v>8.5</v>
      </c>
      <c r="H7" s="228">
        <v>8.5</v>
      </c>
      <c r="I7" s="228">
        <v>7.5</v>
      </c>
      <c r="J7" s="228">
        <v>7.5</v>
      </c>
      <c r="K7" s="228">
        <v>7.5</v>
      </c>
      <c r="L7" s="228">
        <v>7.5</v>
      </c>
      <c r="M7" s="228">
        <v>7.5</v>
      </c>
      <c r="N7" s="228">
        <v>7.5</v>
      </c>
      <c r="O7" s="228">
        <v>7.5</v>
      </c>
      <c r="P7" s="228">
        <v>7.5</v>
      </c>
      <c r="Q7" s="228">
        <v>7.5</v>
      </c>
      <c r="R7" s="228">
        <v>5</v>
      </c>
      <c r="S7" s="228">
        <v>7.5</v>
      </c>
      <c r="T7" s="228">
        <v>7.5</v>
      </c>
      <c r="U7" s="228">
        <v>7.5</v>
      </c>
      <c r="V7" s="228">
        <v>7.5</v>
      </c>
    </row>
    <row r="8" spans="1:23" s="342" customFormat="1" ht="13.5" customHeight="1">
      <c r="A8" s="382"/>
      <c r="B8" s="2515" t="s">
        <v>856</v>
      </c>
      <c r="C8" s="2515"/>
      <c r="D8" s="2515"/>
      <c r="E8" s="433"/>
      <c r="F8" s="433"/>
      <c r="G8" s="433"/>
      <c r="H8" s="433"/>
      <c r="I8" s="433"/>
      <c r="J8" s="433"/>
      <c r="K8" s="433"/>
      <c r="L8" s="433"/>
      <c r="M8" s="433"/>
      <c r="N8" s="433"/>
      <c r="O8" s="433"/>
      <c r="P8" s="433"/>
      <c r="Q8" s="433"/>
      <c r="R8" s="433"/>
      <c r="S8" s="433"/>
      <c r="T8" s="433"/>
      <c r="U8" s="433"/>
      <c r="V8" s="433"/>
    </row>
    <row r="9" spans="1:23" s="341" customFormat="1" ht="12.75" customHeight="1">
      <c r="A9" s="374"/>
      <c r="B9" s="344"/>
      <c r="C9" s="2507" t="s">
        <v>855</v>
      </c>
      <c r="D9" s="2507"/>
      <c r="E9" s="228">
        <v>10.5</v>
      </c>
      <c r="F9" s="228">
        <v>10.5</v>
      </c>
      <c r="G9" s="228">
        <v>10.5</v>
      </c>
      <c r="H9" s="228">
        <v>10.5</v>
      </c>
      <c r="I9" s="228">
        <v>9.5</v>
      </c>
      <c r="J9" s="228">
        <v>9.5</v>
      </c>
      <c r="K9" s="228">
        <v>9.5</v>
      </c>
      <c r="L9" s="228">
        <v>9.5</v>
      </c>
      <c r="M9" s="228">
        <v>9.5</v>
      </c>
      <c r="N9" s="228">
        <v>9.5</v>
      </c>
      <c r="O9" s="228">
        <v>10.4</v>
      </c>
      <c r="P9" s="228">
        <v>10.4</v>
      </c>
      <c r="Q9" s="228">
        <v>10.4</v>
      </c>
      <c r="R9" s="228">
        <v>5</v>
      </c>
      <c r="S9" s="228">
        <v>10.199999999999999</v>
      </c>
      <c r="T9" s="228">
        <v>10.199999999999999</v>
      </c>
      <c r="U9" s="228">
        <v>10.199999999999999</v>
      </c>
      <c r="V9" s="228">
        <v>10.199999999999999</v>
      </c>
    </row>
    <row r="10" spans="1:23" s="341" customFormat="1" ht="12.75" customHeight="1">
      <c r="A10" s="373"/>
      <c r="B10" s="349"/>
      <c r="C10" s="2508" t="s">
        <v>854</v>
      </c>
      <c r="D10" s="2508"/>
      <c r="E10" s="278">
        <v>11.5</v>
      </c>
      <c r="F10" s="278">
        <v>11.5</v>
      </c>
      <c r="G10" s="278">
        <v>11.5</v>
      </c>
      <c r="H10" s="278">
        <v>11.5</v>
      </c>
      <c r="I10" s="278">
        <v>10.5</v>
      </c>
      <c r="J10" s="278">
        <v>10.5</v>
      </c>
      <c r="K10" s="278">
        <v>10.5</v>
      </c>
      <c r="L10" s="278">
        <v>10.5</v>
      </c>
      <c r="M10" s="278">
        <v>10.5</v>
      </c>
      <c r="N10" s="278">
        <v>10.5</v>
      </c>
      <c r="O10" s="278">
        <v>11.4</v>
      </c>
      <c r="P10" s="278">
        <v>11.4</v>
      </c>
      <c r="Q10" s="278">
        <v>11.4</v>
      </c>
      <c r="R10" s="278">
        <v>5.5</v>
      </c>
      <c r="S10" s="278">
        <v>10.7</v>
      </c>
      <c r="T10" s="278">
        <v>10.7</v>
      </c>
      <c r="U10" s="278">
        <v>10.7</v>
      </c>
      <c r="V10" s="278">
        <v>10.7</v>
      </c>
    </row>
    <row r="11" spans="1:23" s="341" customFormat="1" ht="12.75" customHeight="1">
      <c r="A11" s="374"/>
      <c r="B11" s="344"/>
      <c r="C11" s="2507" t="s">
        <v>853</v>
      </c>
      <c r="D11" s="2507"/>
      <c r="E11" s="228">
        <v>12.5</v>
      </c>
      <c r="F11" s="228">
        <v>12.5</v>
      </c>
      <c r="G11" s="228">
        <v>12.5</v>
      </c>
      <c r="H11" s="228">
        <v>12.5</v>
      </c>
      <c r="I11" s="228">
        <v>11.5</v>
      </c>
      <c r="J11" s="228">
        <v>11.5</v>
      </c>
      <c r="K11" s="228">
        <v>11.5</v>
      </c>
      <c r="L11" s="228">
        <v>11.5</v>
      </c>
      <c r="M11" s="228">
        <v>11.5</v>
      </c>
      <c r="N11" s="228">
        <v>11.5</v>
      </c>
      <c r="O11" s="228" t="s">
        <v>2003</v>
      </c>
      <c r="P11" s="228" t="s">
        <v>2003</v>
      </c>
      <c r="Q11" s="228" t="s">
        <v>2013</v>
      </c>
      <c r="R11" s="228" t="s">
        <v>2014</v>
      </c>
      <c r="S11" s="228" t="s">
        <v>2013</v>
      </c>
      <c r="T11" s="228" t="s">
        <v>2013</v>
      </c>
      <c r="U11" s="228" t="s">
        <v>2013</v>
      </c>
      <c r="V11" s="228" t="s">
        <v>2013</v>
      </c>
    </row>
    <row r="12" spans="1:23" s="342" customFormat="1" ht="12.75" customHeight="1">
      <c r="A12" s="382"/>
      <c r="B12" s="2515" t="s">
        <v>849</v>
      </c>
      <c r="C12" s="2515"/>
      <c r="D12" s="2515"/>
      <c r="E12" s="433"/>
      <c r="F12" s="433"/>
      <c r="G12" s="433"/>
      <c r="H12" s="433"/>
      <c r="I12" s="433"/>
      <c r="J12" s="433"/>
      <c r="K12" s="433"/>
      <c r="L12" s="433"/>
      <c r="M12" s="433"/>
      <c r="N12" s="433"/>
      <c r="O12" s="433"/>
      <c r="P12" s="433"/>
      <c r="Q12" s="433"/>
      <c r="R12" s="433"/>
      <c r="S12" s="433"/>
      <c r="T12" s="433"/>
      <c r="U12" s="433"/>
      <c r="V12" s="433"/>
    </row>
    <row r="13" spans="1:23" s="341" customFormat="1" ht="12.75" customHeight="1">
      <c r="A13" s="374"/>
      <c r="B13" s="344"/>
      <c r="C13" s="2503" t="s">
        <v>855</v>
      </c>
      <c r="D13" s="2503"/>
      <c r="E13" s="228">
        <v>9.5</v>
      </c>
      <c r="F13" s="228">
        <v>9.5</v>
      </c>
      <c r="G13" s="228">
        <v>9.5</v>
      </c>
      <c r="H13" s="228">
        <v>9.5</v>
      </c>
      <c r="I13" s="228">
        <v>8.5</v>
      </c>
      <c r="J13" s="228">
        <v>8.5</v>
      </c>
      <c r="K13" s="228">
        <v>8.5</v>
      </c>
      <c r="L13" s="228">
        <v>8.5</v>
      </c>
      <c r="M13" s="228">
        <v>8.5</v>
      </c>
      <c r="N13" s="228">
        <v>8.5</v>
      </c>
      <c r="O13" s="228">
        <v>10</v>
      </c>
      <c r="P13" s="228">
        <v>10</v>
      </c>
      <c r="Q13" s="228">
        <v>10</v>
      </c>
      <c r="R13" s="228">
        <v>4</v>
      </c>
      <c r="S13" s="228">
        <v>9</v>
      </c>
      <c r="T13" s="228">
        <v>9</v>
      </c>
      <c r="U13" s="228">
        <v>9</v>
      </c>
      <c r="V13" s="228">
        <v>9</v>
      </c>
    </row>
    <row r="14" spans="1:23" s="341" customFormat="1" ht="12.75" customHeight="1">
      <c r="A14" s="373"/>
      <c r="B14" s="349"/>
      <c r="C14" s="2513" t="s">
        <v>854</v>
      </c>
      <c r="D14" s="2513"/>
      <c r="E14" s="278">
        <v>10</v>
      </c>
      <c r="F14" s="278">
        <v>10</v>
      </c>
      <c r="G14" s="278">
        <v>10</v>
      </c>
      <c r="H14" s="278">
        <v>10</v>
      </c>
      <c r="I14" s="278">
        <v>9</v>
      </c>
      <c r="J14" s="278">
        <v>9</v>
      </c>
      <c r="K14" s="278">
        <v>9</v>
      </c>
      <c r="L14" s="278">
        <v>9</v>
      </c>
      <c r="M14" s="278">
        <v>9</v>
      </c>
      <c r="N14" s="278">
        <v>9</v>
      </c>
      <c r="O14" s="278">
        <v>10.5</v>
      </c>
      <c r="P14" s="278">
        <v>10.5</v>
      </c>
      <c r="Q14" s="278">
        <v>10.5</v>
      </c>
      <c r="R14" s="278">
        <v>4.5</v>
      </c>
      <c r="S14" s="278">
        <v>9.5</v>
      </c>
      <c r="T14" s="278">
        <v>9.5</v>
      </c>
      <c r="U14" s="278">
        <v>9.5</v>
      </c>
      <c r="V14" s="278">
        <v>9.5</v>
      </c>
    </row>
    <row r="15" spans="1:23" s="341" customFormat="1" ht="12.75" customHeight="1">
      <c r="A15" s="374"/>
      <c r="B15" s="344"/>
      <c r="C15" s="2503" t="s">
        <v>853</v>
      </c>
      <c r="D15" s="2503"/>
      <c r="E15" s="228">
        <v>10.5</v>
      </c>
      <c r="F15" s="228">
        <v>10.5</v>
      </c>
      <c r="G15" s="228">
        <v>10.5</v>
      </c>
      <c r="H15" s="228">
        <v>10.5</v>
      </c>
      <c r="I15" s="228">
        <v>9.5</v>
      </c>
      <c r="J15" s="228">
        <v>9.5</v>
      </c>
      <c r="K15" s="228">
        <v>9.5</v>
      </c>
      <c r="L15" s="228">
        <v>9.5</v>
      </c>
      <c r="M15" s="228">
        <v>9.5</v>
      </c>
      <c r="N15" s="228">
        <v>9.5</v>
      </c>
      <c r="O15" s="228">
        <v>11</v>
      </c>
      <c r="P15" s="228">
        <v>11</v>
      </c>
      <c r="Q15" s="228">
        <v>11</v>
      </c>
      <c r="R15" s="228">
        <v>5</v>
      </c>
      <c r="S15" s="228">
        <v>10</v>
      </c>
      <c r="T15" s="228">
        <v>10</v>
      </c>
      <c r="U15" s="228">
        <v>10</v>
      </c>
      <c r="V15" s="228">
        <v>10</v>
      </c>
    </row>
    <row r="16" spans="1:23" s="341" customFormat="1" ht="13.5" customHeight="1">
      <c r="A16" s="2532" t="s">
        <v>929</v>
      </c>
      <c r="B16" s="2532"/>
      <c r="C16" s="2532"/>
      <c r="D16" s="2532"/>
      <c r="E16" s="251"/>
      <c r="F16" s="251"/>
      <c r="G16" s="251"/>
      <c r="H16" s="251"/>
      <c r="I16" s="251"/>
      <c r="J16" s="251"/>
      <c r="K16" s="251"/>
      <c r="L16" s="256"/>
      <c r="M16" s="256"/>
      <c r="N16" s="256"/>
      <c r="O16" s="256"/>
      <c r="P16" s="256"/>
      <c r="Q16" s="256"/>
      <c r="R16" s="256"/>
      <c r="S16" s="256"/>
      <c r="T16" s="256"/>
      <c r="U16" s="256"/>
      <c r="V16" s="256"/>
    </row>
    <row r="17" spans="1:22" s="341" customFormat="1" ht="12" customHeight="1">
      <c r="A17" s="376"/>
      <c r="B17" s="2511" t="s">
        <v>861</v>
      </c>
      <c r="C17" s="2511"/>
      <c r="D17" s="2511"/>
      <c r="E17" s="212">
        <v>13.5</v>
      </c>
      <c r="F17" s="212">
        <v>12</v>
      </c>
      <c r="G17" s="212">
        <v>12</v>
      </c>
      <c r="H17" s="212">
        <v>12</v>
      </c>
      <c r="I17" s="212">
        <v>12</v>
      </c>
      <c r="J17" s="212">
        <v>11.5</v>
      </c>
      <c r="K17" s="212">
        <v>11.5</v>
      </c>
      <c r="L17" s="212">
        <v>10</v>
      </c>
      <c r="M17" s="231">
        <v>10</v>
      </c>
      <c r="N17" s="231">
        <v>10</v>
      </c>
      <c r="O17" s="231" t="s">
        <v>2004</v>
      </c>
      <c r="P17" s="231" t="s">
        <v>2004</v>
      </c>
      <c r="Q17" s="231" t="s">
        <v>2015</v>
      </c>
      <c r="R17" s="231" t="s">
        <v>2015</v>
      </c>
      <c r="S17" s="231" t="s">
        <v>2015</v>
      </c>
      <c r="T17" s="231" t="s">
        <v>2015</v>
      </c>
      <c r="U17" s="231" t="s">
        <v>2015</v>
      </c>
      <c r="V17" s="231" t="s">
        <v>2015</v>
      </c>
    </row>
    <row r="18" spans="1:22" s="341" customFormat="1" ht="12" customHeight="1">
      <c r="A18" s="375"/>
      <c r="B18" s="2509" t="s">
        <v>862</v>
      </c>
      <c r="C18" s="2509"/>
      <c r="D18" s="2509"/>
      <c r="E18" s="251">
        <v>14.5</v>
      </c>
      <c r="F18" s="251">
        <v>12.5</v>
      </c>
      <c r="G18" s="251">
        <v>12.5</v>
      </c>
      <c r="H18" s="251">
        <v>12.5</v>
      </c>
      <c r="I18" s="251">
        <v>12.5</v>
      </c>
      <c r="J18" s="251">
        <v>12</v>
      </c>
      <c r="K18" s="251">
        <v>12</v>
      </c>
      <c r="L18" s="251">
        <v>10.5</v>
      </c>
      <c r="M18" s="256">
        <v>10.5</v>
      </c>
      <c r="N18" s="256">
        <v>10.5</v>
      </c>
      <c r="O18" s="256" t="s">
        <v>2005</v>
      </c>
      <c r="P18" s="251" t="s">
        <v>2005</v>
      </c>
      <c r="Q18" s="251" t="s">
        <v>2016</v>
      </c>
      <c r="R18" s="251" t="s">
        <v>2016</v>
      </c>
      <c r="S18" s="251" t="s">
        <v>2016</v>
      </c>
      <c r="T18" s="251" t="s">
        <v>2016</v>
      </c>
      <c r="U18" s="251" t="s">
        <v>2016</v>
      </c>
      <c r="V18" s="251" t="s">
        <v>2016</v>
      </c>
    </row>
    <row r="19" spans="1:22" s="341" customFormat="1" ht="12" customHeight="1">
      <c r="A19" s="376"/>
      <c r="B19" s="2531" t="s">
        <v>863</v>
      </c>
      <c r="C19" s="2531"/>
      <c r="D19" s="2531"/>
      <c r="E19" s="434" t="s">
        <v>584</v>
      </c>
      <c r="F19" s="434" t="s">
        <v>584</v>
      </c>
      <c r="G19" s="434" t="s">
        <v>584</v>
      </c>
      <c r="H19" s="434" t="s">
        <v>584</v>
      </c>
      <c r="I19" s="434" t="s">
        <v>584</v>
      </c>
      <c r="J19" s="434">
        <v>12.5</v>
      </c>
      <c r="K19" s="320">
        <v>12.5</v>
      </c>
      <c r="L19" s="212">
        <v>12.5</v>
      </c>
      <c r="M19" s="212">
        <v>11</v>
      </c>
      <c r="N19" s="231">
        <v>11</v>
      </c>
      <c r="O19" s="231" t="s">
        <v>2005</v>
      </c>
      <c r="P19" s="231" t="s">
        <v>2005</v>
      </c>
      <c r="Q19" s="231" t="s">
        <v>2017</v>
      </c>
      <c r="R19" s="231" t="s">
        <v>2017</v>
      </c>
      <c r="S19" s="231" t="s">
        <v>2017</v>
      </c>
      <c r="T19" s="231" t="s">
        <v>2017</v>
      </c>
      <c r="U19" s="231" t="s">
        <v>2017</v>
      </c>
      <c r="V19" s="231" t="s">
        <v>2017</v>
      </c>
    </row>
    <row r="20" spans="1:22" s="341" customFormat="1" ht="12.75" customHeight="1">
      <c r="A20" s="375"/>
      <c r="B20" s="2534" t="s">
        <v>864</v>
      </c>
      <c r="C20" s="2534"/>
      <c r="D20" s="2534"/>
      <c r="E20" s="435" t="s">
        <v>584</v>
      </c>
      <c r="F20" s="435" t="s">
        <v>584</v>
      </c>
      <c r="G20" s="435" t="s">
        <v>584</v>
      </c>
      <c r="H20" s="435" t="s">
        <v>584</v>
      </c>
      <c r="I20" s="435" t="s">
        <v>584</v>
      </c>
      <c r="J20" s="435" t="s">
        <v>584</v>
      </c>
      <c r="K20" s="435" t="s">
        <v>584</v>
      </c>
      <c r="L20" s="435" t="s">
        <v>584</v>
      </c>
      <c r="M20" s="435">
        <v>11.04</v>
      </c>
      <c r="N20" s="256">
        <v>11.04</v>
      </c>
      <c r="O20" s="256" t="s">
        <v>2006</v>
      </c>
      <c r="P20" s="255" t="s">
        <v>2006</v>
      </c>
      <c r="Q20" s="255" t="s">
        <v>2018</v>
      </c>
      <c r="R20" s="255" t="s">
        <v>2018</v>
      </c>
      <c r="S20" s="255" t="s">
        <v>2018</v>
      </c>
      <c r="T20" s="255" t="s">
        <v>2018</v>
      </c>
      <c r="U20" s="255" t="s">
        <v>2018</v>
      </c>
      <c r="V20" s="255" t="s">
        <v>2018</v>
      </c>
    </row>
    <row r="21" spans="1:22" s="341" customFormat="1" ht="12.75" customHeight="1">
      <c r="A21" s="2533" t="s">
        <v>1326</v>
      </c>
      <c r="B21" s="2533"/>
      <c r="C21" s="2533"/>
      <c r="D21" s="2533"/>
      <c r="E21" s="158"/>
      <c r="F21" s="158"/>
      <c r="G21" s="158"/>
      <c r="H21" s="379"/>
      <c r="I21" s="379"/>
      <c r="J21" s="379"/>
      <c r="K21" s="379"/>
      <c r="L21" s="379"/>
      <c r="M21" s="379"/>
      <c r="N21" s="379"/>
      <c r="O21" s="379"/>
      <c r="P21" s="379"/>
      <c r="Q21" s="379"/>
      <c r="R21" s="379"/>
      <c r="S21" s="379"/>
      <c r="T21" s="379"/>
      <c r="U21" s="379"/>
      <c r="V21" s="379"/>
    </row>
    <row r="22" spans="1:22" s="341" customFormat="1" ht="12.75" customHeight="1">
      <c r="A22" s="375"/>
      <c r="B22" s="351"/>
      <c r="C22" s="2499" t="s">
        <v>840</v>
      </c>
      <c r="D22" s="2499"/>
      <c r="E22" s="370" t="s">
        <v>839</v>
      </c>
      <c r="F22" s="370" t="s">
        <v>839</v>
      </c>
      <c r="G22" s="370" t="s">
        <v>839</v>
      </c>
      <c r="H22" s="370" t="s">
        <v>839</v>
      </c>
      <c r="I22" s="370" t="s">
        <v>839</v>
      </c>
      <c r="J22" s="370" t="s">
        <v>839</v>
      </c>
      <c r="K22" s="370" t="s">
        <v>839</v>
      </c>
      <c r="L22" s="370" t="s">
        <v>839</v>
      </c>
      <c r="M22" s="370" t="s">
        <v>839</v>
      </c>
      <c r="N22" s="370" t="s">
        <v>839</v>
      </c>
      <c r="O22" s="370" t="s">
        <v>839</v>
      </c>
      <c r="P22" s="370" t="s">
        <v>839</v>
      </c>
      <c r="Q22" s="370" t="s">
        <v>839</v>
      </c>
      <c r="R22" s="370" t="s">
        <v>839</v>
      </c>
      <c r="S22" s="370" t="s">
        <v>839</v>
      </c>
      <c r="T22" s="370" t="s">
        <v>839</v>
      </c>
      <c r="U22" s="370" t="s">
        <v>839</v>
      </c>
      <c r="V22" s="370" t="s">
        <v>839</v>
      </c>
    </row>
    <row r="23" spans="1:22" s="341" customFormat="1" ht="12.75" customHeight="1">
      <c r="A23" s="376"/>
      <c r="B23" s="158"/>
      <c r="C23" s="2500" t="s">
        <v>841</v>
      </c>
      <c r="D23" s="2500"/>
      <c r="E23" s="392">
        <v>9</v>
      </c>
      <c r="F23" s="392">
        <v>9</v>
      </c>
      <c r="G23" s="392">
        <v>9</v>
      </c>
      <c r="H23" s="392">
        <v>9</v>
      </c>
      <c r="I23" s="392">
        <v>9</v>
      </c>
      <c r="J23" s="392">
        <v>9</v>
      </c>
      <c r="K23" s="392">
        <v>9</v>
      </c>
      <c r="L23" s="392">
        <v>9</v>
      </c>
      <c r="M23" s="392">
        <v>7.5</v>
      </c>
      <c r="N23" s="392">
        <v>8.5</v>
      </c>
      <c r="O23" s="392">
        <v>8.5</v>
      </c>
      <c r="P23" s="392">
        <v>8.6999999999999993</v>
      </c>
      <c r="Q23" s="392">
        <v>8.6999999999999993</v>
      </c>
      <c r="R23" s="392">
        <v>8.6999999999999993</v>
      </c>
      <c r="S23" s="392">
        <v>8.6999999999999993</v>
      </c>
      <c r="T23" s="392">
        <v>8.6999999999999993</v>
      </c>
      <c r="U23" s="392">
        <v>8.6999999999999993</v>
      </c>
      <c r="V23" s="392">
        <v>8.6999999999999993</v>
      </c>
    </row>
    <row r="24" spans="1:22" s="341" customFormat="1" ht="12.75" customHeight="1">
      <c r="A24" s="375"/>
      <c r="B24" s="351"/>
      <c r="C24" s="2499" t="s">
        <v>842</v>
      </c>
      <c r="D24" s="2499"/>
      <c r="E24" s="263">
        <v>10</v>
      </c>
      <c r="F24" s="263">
        <v>10</v>
      </c>
      <c r="G24" s="263">
        <v>10</v>
      </c>
      <c r="H24" s="263">
        <v>10</v>
      </c>
      <c r="I24" s="263">
        <v>10</v>
      </c>
      <c r="J24" s="263">
        <v>10</v>
      </c>
      <c r="K24" s="263">
        <v>10</v>
      </c>
      <c r="L24" s="263">
        <v>10</v>
      </c>
      <c r="M24" s="263">
        <v>8.25</v>
      </c>
      <c r="N24" s="263">
        <v>9.25</v>
      </c>
      <c r="O24" s="263">
        <v>9.25</v>
      </c>
      <c r="P24" s="263">
        <v>9.4499999999999993</v>
      </c>
      <c r="Q24" s="263">
        <v>9.4499999999999993</v>
      </c>
      <c r="R24" s="263">
        <v>9.4499999999999993</v>
      </c>
      <c r="S24" s="263">
        <v>9.4499999999999993</v>
      </c>
      <c r="T24" s="263">
        <v>9.4499999999999993</v>
      </c>
      <c r="U24" s="263">
        <v>9.4499999999999993</v>
      </c>
      <c r="V24" s="263">
        <v>9.4499999999999993</v>
      </c>
    </row>
    <row r="25" spans="1:22" s="341" customFormat="1" ht="12.75" customHeight="1">
      <c r="A25" s="376"/>
      <c r="B25" s="158"/>
      <c r="C25" s="2500" t="s">
        <v>843</v>
      </c>
      <c r="D25" s="2500"/>
      <c r="E25" s="392">
        <v>11</v>
      </c>
      <c r="F25" s="392">
        <v>11</v>
      </c>
      <c r="G25" s="392">
        <v>11</v>
      </c>
      <c r="H25" s="392">
        <v>11</v>
      </c>
      <c r="I25" s="392">
        <v>11</v>
      </c>
      <c r="J25" s="392">
        <v>11</v>
      </c>
      <c r="K25" s="392">
        <v>11</v>
      </c>
      <c r="L25" s="392">
        <v>11</v>
      </c>
      <c r="M25" s="392">
        <v>9</v>
      </c>
      <c r="N25" s="392">
        <v>10</v>
      </c>
      <c r="O25" s="392">
        <v>10</v>
      </c>
      <c r="P25" s="392">
        <v>10.199999999999999</v>
      </c>
      <c r="Q25" s="392">
        <v>10.199999999999999</v>
      </c>
      <c r="R25" s="392">
        <v>10.199999999999999</v>
      </c>
      <c r="S25" s="392">
        <v>10.199999999999999</v>
      </c>
      <c r="T25" s="392">
        <v>10.199999999999999</v>
      </c>
      <c r="U25" s="392">
        <v>10.199999999999999</v>
      </c>
      <c r="V25" s="392">
        <v>10.199999999999999</v>
      </c>
    </row>
    <row r="26" spans="1:22" s="341" customFormat="1" ht="12.75" customHeight="1">
      <c r="A26" s="375"/>
      <c r="B26" s="351"/>
      <c r="C26" s="2501" t="s">
        <v>844</v>
      </c>
      <c r="D26" s="2501"/>
      <c r="E26" s="261">
        <v>12</v>
      </c>
      <c r="F26" s="261">
        <v>12</v>
      </c>
      <c r="G26" s="261">
        <v>12</v>
      </c>
      <c r="H26" s="261">
        <v>12</v>
      </c>
      <c r="I26" s="261">
        <v>12</v>
      </c>
      <c r="J26" s="261">
        <v>12</v>
      </c>
      <c r="K26" s="261">
        <v>12</v>
      </c>
      <c r="L26" s="261">
        <v>12</v>
      </c>
      <c r="M26" s="261">
        <v>10.5</v>
      </c>
      <c r="N26" s="261">
        <v>11</v>
      </c>
      <c r="O26" s="261">
        <v>11</v>
      </c>
      <c r="P26" s="261">
        <v>11.2</v>
      </c>
      <c r="Q26" s="261">
        <v>11.2</v>
      </c>
      <c r="R26" s="261">
        <v>11.2</v>
      </c>
      <c r="S26" s="261">
        <v>11.2</v>
      </c>
      <c r="T26" s="261">
        <v>11.2</v>
      </c>
      <c r="U26" s="261">
        <v>11.2</v>
      </c>
      <c r="V26" s="261">
        <v>11.2</v>
      </c>
    </row>
    <row r="27" spans="1:22" s="347" customFormat="1" ht="12.75" customHeight="1">
      <c r="A27" s="376"/>
      <c r="B27" s="159"/>
      <c r="C27" s="2502" t="s">
        <v>845</v>
      </c>
      <c r="D27" s="2502"/>
      <c r="E27" s="26">
        <v>12</v>
      </c>
      <c r="F27" s="26">
        <v>12</v>
      </c>
      <c r="G27" s="26">
        <v>12</v>
      </c>
      <c r="H27" s="26">
        <v>12</v>
      </c>
      <c r="I27" s="26">
        <v>12</v>
      </c>
      <c r="J27" s="26">
        <v>12</v>
      </c>
      <c r="K27" s="26">
        <v>12</v>
      </c>
      <c r="L27" s="26">
        <v>12</v>
      </c>
      <c r="M27" s="26">
        <v>10.5</v>
      </c>
      <c r="N27" s="26" t="s">
        <v>2007</v>
      </c>
      <c r="O27" s="26" t="s">
        <v>2007</v>
      </c>
      <c r="P27" s="26" t="s">
        <v>2019</v>
      </c>
      <c r="Q27" s="26" t="s">
        <v>2019</v>
      </c>
      <c r="R27" s="26" t="s">
        <v>2019</v>
      </c>
      <c r="S27" s="26" t="s">
        <v>2019</v>
      </c>
      <c r="T27" s="26" t="s">
        <v>2019</v>
      </c>
      <c r="U27" s="26" t="s">
        <v>2019</v>
      </c>
      <c r="V27" s="26" t="s">
        <v>2019</v>
      </c>
    </row>
    <row r="28" spans="1:22" s="341" customFormat="1">
      <c r="A28" s="2514" t="s">
        <v>1327</v>
      </c>
      <c r="B28" s="2514"/>
      <c r="C28" s="2514"/>
      <c r="D28" s="2514"/>
      <c r="E28" s="348"/>
      <c r="F28" s="348"/>
      <c r="G28" s="348"/>
      <c r="H28" s="348"/>
      <c r="I28" s="348"/>
      <c r="J28" s="348"/>
      <c r="K28" s="348"/>
      <c r="L28" s="350"/>
      <c r="M28" s="350"/>
      <c r="N28" s="350"/>
      <c r="O28" s="350"/>
      <c r="P28" s="350"/>
      <c r="Q28" s="350"/>
      <c r="R28" s="350"/>
      <c r="S28" s="350"/>
      <c r="T28" s="350"/>
      <c r="U28" s="350"/>
      <c r="V28" s="350"/>
    </row>
    <row r="29" spans="1:22" s="341" customFormat="1" ht="12.75" customHeight="1">
      <c r="A29" s="374"/>
      <c r="B29" s="344"/>
      <c r="C29" s="2517" t="s">
        <v>850</v>
      </c>
      <c r="D29" s="2517"/>
      <c r="E29" s="228" t="s">
        <v>584</v>
      </c>
      <c r="F29" s="228" t="s">
        <v>584</v>
      </c>
      <c r="G29" s="997" t="s">
        <v>837</v>
      </c>
      <c r="H29" s="380" t="s">
        <v>837</v>
      </c>
      <c r="I29" s="380" t="s">
        <v>837</v>
      </c>
      <c r="J29" s="380" t="s">
        <v>837</v>
      </c>
      <c r="K29" s="380" t="s">
        <v>837</v>
      </c>
      <c r="L29" s="380" t="s">
        <v>837</v>
      </c>
      <c r="M29" s="380" t="s">
        <v>837</v>
      </c>
      <c r="N29" s="380" t="s">
        <v>837</v>
      </c>
      <c r="O29" s="380" t="s">
        <v>837</v>
      </c>
      <c r="P29" s="380" t="s">
        <v>837</v>
      </c>
      <c r="Q29" s="380" t="s">
        <v>837</v>
      </c>
      <c r="R29" s="380" t="s">
        <v>837</v>
      </c>
      <c r="S29" s="380" t="s">
        <v>837</v>
      </c>
      <c r="T29" s="380" t="s">
        <v>837</v>
      </c>
      <c r="U29" s="380" t="s">
        <v>837</v>
      </c>
      <c r="V29" s="380" t="s">
        <v>837</v>
      </c>
    </row>
    <row r="30" spans="1:22" s="341" customFormat="1" ht="12.75" customHeight="1">
      <c r="A30" s="373"/>
      <c r="B30" s="349"/>
      <c r="C30" s="2499" t="s">
        <v>851</v>
      </c>
      <c r="D30" s="2499"/>
      <c r="E30" s="278" t="s">
        <v>584</v>
      </c>
      <c r="F30" s="278" t="s">
        <v>584</v>
      </c>
      <c r="G30" s="278">
        <v>6.5</v>
      </c>
      <c r="H30" s="263">
        <v>6.5</v>
      </c>
      <c r="I30" s="263">
        <v>6.5</v>
      </c>
      <c r="J30" s="263">
        <v>6.5</v>
      </c>
      <c r="K30" s="263">
        <v>6.5</v>
      </c>
      <c r="L30" s="263">
        <v>6.5</v>
      </c>
      <c r="M30" s="263">
        <v>6.5</v>
      </c>
      <c r="N30" s="263">
        <v>6.5</v>
      </c>
      <c r="O30" s="263">
        <v>6.5</v>
      </c>
      <c r="P30" s="263">
        <v>6.5</v>
      </c>
      <c r="Q30" s="263">
        <v>6.5</v>
      </c>
      <c r="R30" s="263">
        <v>6.5</v>
      </c>
      <c r="S30" s="263">
        <v>6.5</v>
      </c>
      <c r="T30" s="263">
        <v>6.5</v>
      </c>
      <c r="U30" s="263">
        <v>4.5</v>
      </c>
      <c r="V30" s="263">
        <v>6.5</v>
      </c>
    </row>
    <row r="31" spans="1:22" s="341" customFormat="1" ht="12.75" customHeight="1">
      <c r="A31" s="374"/>
      <c r="B31" s="344"/>
      <c r="C31" s="2500" t="s">
        <v>852</v>
      </c>
      <c r="D31" s="2500"/>
      <c r="E31" s="228" t="s">
        <v>584</v>
      </c>
      <c r="F31" s="228" t="s">
        <v>584</v>
      </c>
      <c r="G31" s="228">
        <v>7</v>
      </c>
      <c r="H31" s="392">
        <v>7</v>
      </c>
      <c r="I31" s="392">
        <v>7</v>
      </c>
      <c r="J31" s="392">
        <v>7</v>
      </c>
      <c r="K31" s="392">
        <v>7</v>
      </c>
      <c r="L31" s="392">
        <v>7</v>
      </c>
      <c r="M31" s="392">
        <v>7</v>
      </c>
      <c r="N31" s="392">
        <v>7</v>
      </c>
      <c r="O31" s="392">
        <v>7</v>
      </c>
      <c r="P31" s="392">
        <v>7</v>
      </c>
      <c r="Q31" s="392">
        <v>7</v>
      </c>
      <c r="R31" s="392">
        <v>7</v>
      </c>
      <c r="S31" s="392">
        <v>7</v>
      </c>
      <c r="T31" s="392">
        <v>7</v>
      </c>
      <c r="U31" s="392">
        <v>5</v>
      </c>
      <c r="V31" s="392">
        <v>7</v>
      </c>
    </row>
    <row r="32" spans="1:22" s="341" customFormat="1" ht="12" customHeight="1">
      <c r="A32" s="373"/>
      <c r="B32" s="349"/>
      <c r="C32" s="2510" t="s">
        <v>865</v>
      </c>
      <c r="D32" s="2510"/>
      <c r="E32" s="278" t="s">
        <v>584</v>
      </c>
      <c r="F32" s="278" t="s">
        <v>584</v>
      </c>
      <c r="G32" s="278">
        <v>7.5</v>
      </c>
      <c r="H32" s="263">
        <v>7.5</v>
      </c>
      <c r="I32" s="263">
        <v>7.5</v>
      </c>
      <c r="J32" s="263">
        <v>7.5</v>
      </c>
      <c r="K32" s="263">
        <v>7.5</v>
      </c>
      <c r="L32" s="263">
        <v>7.5</v>
      </c>
      <c r="M32" s="263">
        <v>7.5</v>
      </c>
      <c r="N32" s="263">
        <v>7.5</v>
      </c>
      <c r="O32" s="263">
        <v>7.5</v>
      </c>
      <c r="P32" s="263">
        <v>7.5</v>
      </c>
      <c r="Q32" s="263">
        <v>7.5</v>
      </c>
      <c r="R32" s="263">
        <v>7.5</v>
      </c>
      <c r="S32" s="263">
        <v>7.5</v>
      </c>
      <c r="T32" s="263">
        <v>7.5</v>
      </c>
      <c r="U32" s="263">
        <v>5.5</v>
      </c>
      <c r="V32" s="263">
        <v>7.5</v>
      </c>
    </row>
    <row r="33" spans="1:22" s="158" customFormat="1" ht="12.75" customHeight="1">
      <c r="A33" s="2521" t="s">
        <v>1328</v>
      </c>
      <c r="B33" s="2521"/>
      <c r="C33" s="2521"/>
      <c r="D33" s="2521"/>
      <c r="H33" s="379"/>
      <c r="I33" s="379"/>
      <c r="J33" s="379"/>
      <c r="K33" s="379"/>
      <c r="L33" s="379"/>
      <c r="M33" s="379"/>
      <c r="N33" s="379"/>
      <c r="O33" s="379"/>
      <c r="P33" s="379"/>
      <c r="Q33" s="379"/>
      <c r="R33" s="379"/>
      <c r="S33" s="379"/>
      <c r="T33" s="379"/>
      <c r="U33" s="379"/>
      <c r="V33" s="379"/>
    </row>
    <row r="34" spans="1:22" s="158" customFormat="1" ht="12.75" customHeight="1">
      <c r="A34" s="377"/>
      <c r="B34" s="351"/>
      <c r="C34" s="2510" t="s">
        <v>850</v>
      </c>
      <c r="D34" s="2510"/>
      <c r="E34" s="278" t="s">
        <v>584</v>
      </c>
      <c r="F34" s="278" t="s">
        <v>584</v>
      </c>
      <c r="G34" s="998" t="s">
        <v>838</v>
      </c>
      <c r="H34" s="369" t="s">
        <v>838</v>
      </c>
      <c r="I34" s="369" t="s">
        <v>838</v>
      </c>
      <c r="J34" s="369" t="s">
        <v>838</v>
      </c>
      <c r="K34" s="369" t="s">
        <v>838</v>
      </c>
      <c r="L34" s="369" t="s">
        <v>838</v>
      </c>
      <c r="M34" s="369" t="s">
        <v>838</v>
      </c>
      <c r="N34" s="369" t="s">
        <v>838</v>
      </c>
      <c r="O34" s="369" t="s">
        <v>838</v>
      </c>
      <c r="P34" s="369" t="s">
        <v>838</v>
      </c>
      <c r="Q34" s="369" t="s">
        <v>838</v>
      </c>
      <c r="R34" s="369" t="s">
        <v>838</v>
      </c>
      <c r="S34" s="369" t="s">
        <v>838</v>
      </c>
      <c r="T34" s="369" t="s">
        <v>838</v>
      </c>
      <c r="U34" s="369" t="s">
        <v>838</v>
      </c>
      <c r="V34" s="369" t="s">
        <v>838</v>
      </c>
    </row>
    <row r="35" spans="1:22" s="158" customFormat="1" ht="12.75" customHeight="1">
      <c r="A35" s="381"/>
      <c r="C35" s="2500" t="s">
        <v>851</v>
      </c>
      <c r="D35" s="2500"/>
      <c r="E35" s="228" t="s">
        <v>584</v>
      </c>
      <c r="F35" s="228" t="s">
        <v>584</v>
      </c>
      <c r="G35" s="228">
        <v>5.5</v>
      </c>
      <c r="H35" s="392">
        <v>5.5</v>
      </c>
      <c r="I35" s="392">
        <v>5.5</v>
      </c>
      <c r="J35" s="392">
        <v>5.5</v>
      </c>
      <c r="K35" s="392">
        <v>5.5</v>
      </c>
      <c r="L35" s="392">
        <v>5.5</v>
      </c>
      <c r="M35" s="392">
        <v>5.5</v>
      </c>
      <c r="N35" s="392">
        <v>5.5</v>
      </c>
      <c r="O35" s="392">
        <v>5.5</v>
      </c>
      <c r="P35" s="392">
        <v>5.5</v>
      </c>
      <c r="Q35" s="392">
        <v>5.5</v>
      </c>
      <c r="R35" s="392">
        <v>5.5</v>
      </c>
      <c r="S35" s="392">
        <v>5.5</v>
      </c>
      <c r="T35" s="392">
        <v>5.5</v>
      </c>
      <c r="U35" s="392">
        <v>4</v>
      </c>
      <c r="V35" s="392">
        <v>5.5</v>
      </c>
    </row>
    <row r="36" spans="1:22" s="158" customFormat="1" ht="12.75" customHeight="1">
      <c r="A36" s="377"/>
      <c r="B36" s="351"/>
      <c r="C36" s="2499" t="s">
        <v>852</v>
      </c>
      <c r="D36" s="2499"/>
      <c r="E36" s="278" t="s">
        <v>584</v>
      </c>
      <c r="F36" s="278" t="s">
        <v>584</v>
      </c>
      <c r="G36" s="278">
        <v>6</v>
      </c>
      <c r="H36" s="263">
        <v>6</v>
      </c>
      <c r="I36" s="263">
        <v>6</v>
      </c>
      <c r="J36" s="263">
        <v>6</v>
      </c>
      <c r="K36" s="263">
        <v>6</v>
      </c>
      <c r="L36" s="263">
        <v>6</v>
      </c>
      <c r="M36" s="263">
        <v>6</v>
      </c>
      <c r="N36" s="263">
        <v>6</v>
      </c>
      <c r="O36" s="263">
        <v>6</v>
      </c>
      <c r="P36" s="263">
        <v>6</v>
      </c>
      <c r="Q36" s="263">
        <v>6</v>
      </c>
      <c r="R36" s="263">
        <v>6</v>
      </c>
      <c r="S36" s="263">
        <v>6</v>
      </c>
      <c r="T36" s="263">
        <v>6</v>
      </c>
      <c r="U36" s="263">
        <v>4.5</v>
      </c>
      <c r="V36" s="263">
        <v>6</v>
      </c>
    </row>
    <row r="37" spans="1:22" s="158" customFormat="1" ht="12.75" customHeight="1">
      <c r="A37" s="381"/>
      <c r="C37" s="2506" t="s">
        <v>865</v>
      </c>
      <c r="D37" s="2506"/>
      <c r="E37" s="228" t="s">
        <v>584</v>
      </c>
      <c r="F37" s="228" t="s">
        <v>584</v>
      </c>
      <c r="G37" s="228">
        <v>6.5</v>
      </c>
      <c r="H37" s="392">
        <v>6.5</v>
      </c>
      <c r="I37" s="392">
        <v>6.5</v>
      </c>
      <c r="J37" s="392">
        <v>6.5</v>
      </c>
      <c r="K37" s="392">
        <v>6.5</v>
      </c>
      <c r="L37" s="392">
        <v>6.5</v>
      </c>
      <c r="M37" s="392">
        <v>6.5</v>
      </c>
      <c r="N37" s="392">
        <v>6.5</v>
      </c>
      <c r="O37" s="392">
        <v>6.5</v>
      </c>
      <c r="P37" s="392">
        <v>6.5</v>
      </c>
      <c r="Q37" s="392">
        <v>6.5</v>
      </c>
      <c r="R37" s="392">
        <v>6.5</v>
      </c>
      <c r="S37" s="392">
        <v>6.5</v>
      </c>
      <c r="T37" s="392">
        <v>6.5</v>
      </c>
      <c r="U37" s="392">
        <v>5</v>
      </c>
      <c r="V37" s="392">
        <v>6.5</v>
      </c>
    </row>
    <row r="38" spans="1:22" s="158" customFormat="1" ht="22.5" customHeight="1">
      <c r="A38" s="384" t="s">
        <v>84</v>
      </c>
      <c r="B38" s="2519" t="s">
        <v>874</v>
      </c>
      <c r="C38" s="2519"/>
      <c r="D38" s="2519"/>
      <c r="E38" s="383"/>
      <c r="F38" s="383"/>
      <c r="G38" s="383"/>
      <c r="H38" s="383"/>
      <c r="I38" s="383"/>
      <c r="J38" s="383"/>
      <c r="K38" s="383"/>
      <c r="L38" s="385"/>
      <c r="M38" s="385"/>
      <c r="N38" s="385"/>
      <c r="O38" s="385"/>
      <c r="P38" s="385"/>
      <c r="Q38" s="385"/>
      <c r="R38" s="385"/>
      <c r="S38" s="385"/>
      <c r="T38" s="385"/>
      <c r="U38" s="385"/>
      <c r="V38" s="385"/>
    </row>
    <row r="39" spans="1:22" s="158" customFormat="1" ht="13.5" customHeight="1">
      <c r="A39" s="374"/>
      <c r="B39" s="2505" t="s">
        <v>847</v>
      </c>
      <c r="C39" s="2505"/>
      <c r="D39" s="2505"/>
      <c r="E39" s="343"/>
      <c r="F39" s="343"/>
      <c r="G39" s="343"/>
      <c r="H39" s="343"/>
      <c r="I39" s="343"/>
      <c r="J39" s="343"/>
      <c r="K39" s="343"/>
      <c r="L39" s="345"/>
      <c r="M39" s="345"/>
      <c r="N39" s="345"/>
      <c r="O39" s="345"/>
      <c r="P39" s="345"/>
      <c r="Q39" s="345"/>
      <c r="R39" s="345"/>
      <c r="S39" s="345"/>
      <c r="T39" s="345"/>
      <c r="U39" s="345"/>
      <c r="V39" s="345"/>
    </row>
    <row r="40" spans="1:22" s="158" customFormat="1" ht="13.5" customHeight="1">
      <c r="A40" s="373"/>
      <c r="B40" s="349"/>
      <c r="C40" s="2520" t="s">
        <v>284</v>
      </c>
      <c r="D40" s="2520"/>
      <c r="E40" s="278">
        <v>13</v>
      </c>
      <c r="F40" s="278">
        <v>13</v>
      </c>
      <c r="G40" s="278">
        <v>13</v>
      </c>
      <c r="H40" s="278">
        <v>13</v>
      </c>
      <c r="I40" s="278">
        <v>13</v>
      </c>
      <c r="J40" s="278">
        <v>13</v>
      </c>
      <c r="K40" s="278">
        <v>12</v>
      </c>
      <c r="L40" s="253">
        <v>12</v>
      </c>
      <c r="M40" s="253">
        <v>12</v>
      </c>
      <c r="N40" s="253">
        <v>12</v>
      </c>
      <c r="O40" s="253">
        <v>12</v>
      </c>
      <c r="P40" s="253">
        <v>12</v>
      </c>
      <c r="Q40" s="253">
        <v>12</v>
      </c>
      <c r="R40" s="253">
        <v>12</v>
      </c>
      <c r="S40" s="253">
        <v>12</v>
      </c>
      <c r="T40" s="253">
        <v>12</v>
      </c>
      <c r="U40" s="253">
        <v>12</v>
      </c>
      <c r="V40" s="253">
        <v>12</v>
      </c>
    </row>
    <row r="41" spans="1:22" s="158" customFormat="1" ht="13.5" customHeight="1">
      <c r="A41" s="374"/>
      <c r="B41" s="344"/>
      <c r="C41" s="2518" t="s">
        <v>283</v>
      </c>
      <c r="D41" s="2518"/>
      <c r="E41" s="228">
        <v>15</v>
      </c>
      <c r="F41" s="228">
        <v>15</v>
      </c>
      <c r="G41" s="228">
        <v>15</v>
      </c>
      <c r="H41" s="228">
        <v>15</v>
      </c>
      <c r="I41" s="228">
        <v>15</v>
      </c>
      <c r="J41" s="228">
        <v>15</v>
      </c>
      <c r="K41" s="228">
        <v>12</v>
      </c>
      <c r="L41" s="214">
        <v>12</v>
      </c>
      <c r="M41" s="214">
        <v>12</v>
      </c>
      <c r="N41" s="214">
        <v>12</v>
      </c>
      <c r="O41" s="214">
        <v>12</v>
      </c>
      <c r="P41" s="214">
        <v>12</v>
      </c>
      <c r="Q41" s="214">
        <v>12</v>
      </c>
      <c r="R41" s="214">
        <v>12</v>
      </c>
      <c r="S41" s="214">
        <v>12</v>
      </c>
      <c r="T41" s="214">
        <v>12</v>
      </c>
      <c r="U41" s="214">
        <v>12</v>
      </c>
      <c r="V41" s="214">
        <v>12</v>
      </c>
    </row>
    <row r="42" spans="1:22" s="158" customFormat="1" ht="13.5" customHeight="1" thickBot="1">
      <c r="A42" s="386"/>
      <c r="B42" s="2516" t="s">
        <v>848</v>
      </c>
      <c r="C42" s="2516"/>
      <c r="D42" s="2516"/>
      <c r="E42" s="297">
        <v>10</v>
      </c>
      <c r="F42" s="297">
        <v>10</v>
      </c>
      <c r="G42" s="297">
        <v>10</v>
      </c>
      <c r="H42" s="297">
        <v>10</v>
      </c>
      <c r="I42" s="297">
        <v>10</v>
      </c>
      <c r="J42" s="297">
        <v>10</v>
      </c>
      <c r="K42" s="297">
        <v>10</v>
      </c>
      <c r="L42" s="429">
        <v>10</v>
      </c>
      <c r="M42" s="429">
        <v>10</v>
      </c>
      <c r="N42" s="429">
        <v>10</v>
      </c>
      <c r="O42" s="429">
        <v>10</v>
      </c>
      <c r="P42" s="429">
        <v>10</v>
      </c>
      <c r="Q42" s="429">
        <v>10</v>
      </c>
      <c r="R42" s="429">
        <v>10</v>
      </c>
      <c r="S42" s="429">
        <v>10</v>
      </c>
      <c r="T42" s="429">
        <v>10</v>
      </c>
      <c r="U42" s="429">
        <v>10</v>
      </c>
      <c r="V42" s="429">
        <v>10</v>
      </c>
    </row>
    <row r="43" spans="1:22" s="159" customFormat="1" ht="10.5" customHeight="1">
      <c r="A43" s="387" t="s">
        <v>30</v>
      </c>
      <c r="B43" s="247"/>
      <c r="C43" s="2504" t="s">
        <v>1366</v>
      </c>
      <c r="D43" s="2504"/>
      <c r="E43" s="806"/>
      <c r="F43" s="806"/>
      <c r="G43" s="806"/>
      <c r="K43" s="391" t="s">
        <v>2008</v>
      </c>
      <c r="L43" s="246"/>
      <c r="M43" s="389"/>
      <c r="N43" s="346"/>
      <c r="O43" s="346"/>
      <c r="P43" s="346"/>
      <c r="Q43" s="346"/>
      <c r="R43" s="346"/>
      <c r="S43" s="346"/>
      <c r="T43" s="346"/>
      <c r="U43" s="346"/>
      <c r="V43" s="346"/>
    </row>
    <row r="44" spans="1:22" s="246" customFormat="1" ht="9.75" customHeight="1">
      <c r="A44" s="387"/>
      <c r="B44" s="247"/>
      <c r="C44" s="2504" t="s">
        <v>1329</v>
      </c>
      <c r="D44" s="2504"/>
      <c r="E44" s="2504"/>
      <c r="F44" s="2504"/>
      <c r="G44" s="2504"/>
      <c r="K44" s="391" t="s">
        <v>2009</v>
      </c>
      <c r="L44" s="130"/>
      <c r="M44" s="130"/>
      <c r="N44" s="389"/>
    </row>
    <row r="45" spans="1:22" s="246" customFormat="1" ht="9.75" customHeight="1">
      <c r="A45" s="388"/>
      <c r="B45" s="247"/>
      <c r="C45" s="2504" t="s">
        <v>1367</v>
      </c>
      <c r="D45" s="2504"/>
      <c r="E45" s="389"/>
      <c r="F45" s="389"/>
      <c r="G45" s="389"/>
      <c r="K45" s="391" t="s">
        <v>2010</v>
      </c>
    </row>
    <row r="46" spans="1:22" s="246" customFormat="1" ht="9.75" customHeight="1">
      <c r="A46" s="388"/>
      <c r="B46" s="247"/>
      <c r="C46" s="948"/>
      <c r="D46" s="130" t="s">
        <v>457</v>
      </c>
      <c r="F46" s="389"/>
      <c r="G46" s="389"/>
      <c r="H46" s="389"/>
      <c r="K46" s="391" t="s">
        <v>2011</v>
      </c>
    </row>
    <row r="47" spans="1:22" s="12" customFormat="1" ht="9.75" customHeight="1">
      <c r="A47" s="559"/>
      <c r="D47" s="130"/>
      <c r="E47" s="246"/>
      <c r="F47" s="130"/>
      <c r="G47" s="130"/>
      <c r="H47" s="130"/>
      <c r="K47" s="391" t="s">
        <v>2012</v>
      </c>
    </row>
    <row r="48" spans="1:22" s="12" customFormat="1" ht="9.75" customHeight="1">
      <c r="A48" s="390"/>
      <c r="E48" s="130"/>
      <c r="F48" s="130"/>
      <c r="G48" s="130"/>
      <c r="H48" s="130"/>
    </row>
    <row r="54" spans="2:8">
      <c r="B54" s="360"/>
      <c r="C54" s="363"/>
      <c r="D54" s="364"/>
      <c r="E54" s="358"/>
      <c r="F54" s="359"/>
      <c r="G54" s="358"/>
      <c r="H54" s="358"/>
    </row>
    <row r="55" spans="2:8">
      <c r="B55" s="365"/>
      <c r="C55" s="363"/>
      <c r="D55" s="366"/>
      <c r="E55" s="358"/>
      <c r="F55" s="359"/>
      <c r="G55" s="367"/>
      <c r="H55" s="367"/>
    </row>
    <row r="56" spans="2:8">
      <c r="B56" s="368"/>
      <c r="C56" s="368"/>
      <c r="D56" s="362"/>
      <c r="E56" s="368"/>
      <c r="F56" s="368"/>
      <c r="G56" s="368"/>
      <c r="H56" s="368"/>
    </row>
    <row r="57" spans="2:8">
      <c r="B57" s="361"/>
      <c r="C57" s="368"/>
      <c r="D57" s="362"/>
      <c r="E57" s="368"/>
      <c r="F57" s="368"/>
      <c r="G57" s="368"/>
      <c r="H57" s="368"/>
    </row>
  </sheetData>
  <customSheetViews>
    <customSheetView guid="{A374FC54-96E3-45F0-9C12-8450400C12DF}" scale="130">
      <pane xSplit="4" ySplit="3" topLeftCell="L34" activePane="bottomRight" state="frozen"/>
      <selection pane="bottomRight" activeCell="H49" sqref="H49"/>
      <pageMargins left="0.511811023622047" right="0.511811023622047" top="0.511811023622047" bottom="0.511811023622047" header="0" footer="0.43307086614173201"/>
      <pageSetup paperSize="132" firstPageNumber="64" orientation="portrait" useFirstPageNumber="1" r:id="rId1"/>
      <headerFooter alignWithMargins="0">
        <oddFooter>&amp;C&amp;"Times New Roman,Regular"&amp;8&amp;P</oddFooter>
      </headerFooter>
    </customSheetView>
  </customSheetViews>
  <mergeCells count="46">
    <mergeCell ref="J1:R1"/>
    <mergeCell ref="A1:I1"/>
    <mergeCell ref="T1:V1"/>
    <mergeCell ref="C22:D22"/>
    <mergeCell ref="A6:D6"/>
    <mergeCell ref="A2:D3"/>
    <mergeCell ref="B19:D19"/>
    <mergeCell ref="C11:D11"/>
    <mergeCell ref="B12:D12"/>
    <mergeCell ref="A16:D16"/>
    <mergeCell ref="A21:D21"/>
    <mergeCell ref="B20:D20"/>
    <mergeCell ref="C44:G44"/>
    <mergeCell ref="B42:D42"/>
    <mergeCell ref="C29:D29"/>
    <mergeCell ref="C30:D30"/>
    <mergeCell ref="C31:D31"/>
    <mergeCell ref="C36:D36"/>
    <mergeCell ref="C34:D34"/>
    <mergeCell ref="C35:D35"/>
    <mergeCell ref="C41:D41"/>
    <mergeCell ref="B38:D38"/>
    <mergeCell ref="C43:D43"/>
    <mergeCell ref="C40:D40"/>
    <mergeCell ref="A33:D33"/>
    <mergeCell ref="C45:D45"/>
    <mergeCell ref="B39:D39"/>
    <mergeCell ref="C37:D37"/>
    <mergeCell ref="B4:D4"/>
    <mergeCell ref="C9:D9"/>
    <mergeCell ref="C10:D10"/>
    <mergeCell ref="B18:D18"/>
    <mergeCell ref="C32:D32"/>
    <mergeCell ref="B17:D17"/>
    <mergeCell ref="B5:D5"/>
    <mergeCell ref="C13:D13"/>
    <mergeCell ref="C23:D23"/>
    <mergeCell ref="C14:D14"/>
    <mergeCell ref="C15:D15"/>
    <mergeCell ref="A28:D28"/>
    <mergeCell ref="B8:D8"/>
    <mergeCell ref="C24:D24"/>
    <mergeCell ref="C25:D25"/>
    <mergeCell ref="C26:D26"/>
    <mergeCell ref="C27:D27"/>
    <mergeCell ref="B7:D7"/>
  </mergeCells>
  <phoneticPr fontId="0" type="noConversion"/>
  <pageMargins left="0.62992125984252001" right="0.511811023622047" top="0.31496062992126" bottom="2.5590551E-2" header="0" footer="6.4960630000000005E-2"/>
  <pageSetup paperSize="448" scale="87" orientation="portrait" r:id="rId2"/>
  <headerFooter differentFirst="1" alignWithMargins="0">
    <oddFooter>&amp;C&amp;"Times New Roman,Regular"&amp;8&amp;P</oddFooter>
  </headerFooter>
  <colBreaks count="1" manualBreakCount="1">
    <brk id="9" max="48" man="1"/>
  </colBreaks>
</worksheet>
</file>

<file path=xl/worksheets/sheet28.xml><?xml version="1.0" encoding="utf-8"?>
<worksheet xmlns="http://schemas.openxmlformats.org/spreadsheetml/2006/main" xmlns:r="http://schemas.openxmlformats.org/officeDocument/2006/relationships">
  <sheetPr codeName="Sheet27"/>
  <dimension ref="A1:BO50"/>
  <sheetViews>
    <sheetView topLeftCell="A25" zoomScale="120" zoomScaleNormal="120" workbookViewId="0">
      <selection activeCell="E60" sqref="E60"/>
    </sheetView>
  </sheetViews>
  <sheetFormatPr defaultColWidth="9.140625" defaultRowHeight="11.25"/>
  <cols>
    <col min="1" max="1" width="3.5703125" style="1732" customWidth="1"/>
    <col min="2" max="2" width="16.28515625" style="1734" customWidth="1"/>
    <col min="3" max="3" width="7.7109375" style="1732" customWidth="1"/>
    <col min="4" max="4" width="7.28515625" style="1732" customWidth="1"/>
    <col min="5" max="5" width="7.140625" style="1732" customWidth="1"/>
    <col min="6" max="7" width="7.42578125" style="1732" customWidth="1"/>
    <col min="8" max="8" width="6.42578125" style="1732" customWidth="1"/>
    <col min="9" max="9" width="6.5703125" style="1732" customWidth="1"/>
    <col min="10" max="10" width="8.140625" style="1732" customWidth="1"/>
    <col min="11" max="11" width="6.28515625" style="1732" customWidth="1"/>
    <col min="12" max="12" width="7.7109375" style="1732" customWidth="1"/>
    <col min="13" max="13" width="7.85546875" style="1732" customWidth="1"/>
    <col min="14" max="14" width="7.5703125" style="1732" customWidth="1"/>
    <col min="15" max="15" width="7.7109375" style="1732" customWidth="1"/>
    <col min="16" max="16" width="6.42578125" style="1732" customWidth="1"/>
    <col min="17" max="17" width="7" style="1732" customWidth="1"/>
    <col min="18" max="18" width="6.5703125" style="1732" customWidth="1"/>
    <col min="19" max="19" width="5.42578125" style="1732" customWidth="1"/>
    <col min="20" max="20" width="16.5703125" style="1734" customWidth="1"/>
    <col min="21" max="21" width="4.140625" style="1732" customWidth="1"/>
    <col min="22" max="22" width="15.85546875" style="1734" customWidth="1"/>
    <col min="23" max="23" width="10.42578125" style="1732" customWidth="1"/>
    <col min="24" max="24" width="8.42578125" style="1755" customWidth="1"/>
    <col min="25" max="25" width="10.42578125" style="1732" customWidth="1"/>
    <col min="26" max="26" width="9.85546875" style="1732" customWidth="1"/>
    <col min="27" max="28" width="9.7109375" style="1732" customWidth="1"/>
    <col min="29" max="29" width="10" style="1732" customWidth="1"/>
    <col min="30" max="30" width="8.85546875" style="1732" customWidth="1"/>
    <col min="31" max="31" width="11" style="1732" customWidth="1"/>
    <col min="32" max="32" width="9.28515625" style="1732" customWidth="1"/>
    <col min="33" max="33" width="8.42578125" style="1732" customWidth="1"/>
    <col min="34" max="34" width="9" style="1732" customWidth="1"/>
    <col min="35" max="35" width="4" style="1732" customWidth="1"/>
    <col min="36" max="36" width="18.5703125" style="1734" customWidth="1"/>
    <col min="37" max="37" width="2.85546875" style="1732" customWidth="1"/>
    <col min="38" max="38" width="16" style="1734" customWidth="1"/>
    <col min="39" max="39" width="8.42578125" style="1732" customWidth="1"/>
    <col min="40" max="40" width="8.28515625" style="1732" customWidth="1"/>
    <col min="41" max="41" width="8.85546875" style="1732" customWidth="1"/>
    <col min="42" max="42" width="9.28515625" style="1732" customWidth="1"/>
    <col min="43" max="43" width="8.5703125" style="1732" customWidth="1"/>
    <col min="44" max="44" width="8.140625" style="1732" customWidth="1"/>
    <col min="45" max="45" width="7.85546875" style="1732" customWidth="1"/>
    <col min="46" max="46" width="8.5703125" style="1732" customWidth="1"/>
    <col min="47" max="47" width="8.7109375" style="1732" customWidth="1"/>
    <col min="48" max="48" width="8.28515625" style="1732" customWidth="1"/>
    <col min="49" max="49" width="8.7109375" style="1732" customWidth="1"/>
    <col min="50" max="50" width="8.28515625" style="1732" customWidth="1"/>
    <col min="51" max="51" width="7.7109375" style="1732" customWidth="1"/>
    <col min="52" max="52" width="9.7109375" style="1732" customWidth="1"/>
    <col min="53" max="53" width="2.85546875" style="1732" customWidth="1"/>
    <col min="54" max="54" width="16.140625" style="1734" customWidth="1"/>
    <col min="55" max="55" width="3" style="1732" customWidth="1"/>
    <col min="56" max="56" width="18" style="1734" customWidth="1"/>
    <col min="57" max="57" width="13.28515625" style="1732" customWidth="1"/>
    <col min="58" max="58" width="14.28515625" style="1732" customWidth="1"/>
    <col min="59" max="59" width="14.42578125" style="1732" customWidth="1"/>
    <col min="60" max="61" width="13" style="1732" customWidth="1"/>
    <col min="62" max="62" width="12.7109375" style="1732" customWidth="1"/>
    <col min="63" max="63" width="12.85546875" style="1732" customWidth="1"/>
    <col min="64" max="64" width="10.140625" style="1732" customWidth="1"/>
    <col min="65" max="65" width="10.85546875" style="1732" customWidth="1"/>
    <col min="66" max="66" width="3" style="1732" customWidth="1"/>
    <col min="67" max="67" width="16.7109375" style="1734" customWidth="1"/>
    <col min="68" max="16384" width="9.140625" style="1732"/>
  </cols>
  <sheetData>
    <row r="1" spans="1:67" s="2" customFormat="1" ht="13.5" customHeight="1">
      <c r="A1" s="2" t="s">
        <v>1774</v>
      </c>
      <c r="B1" s="2044" t="s">
        <v>802</v>
      </c>
      <c r="C1" s="2044"/>
      <c r="D1" s="2044"/>
      <c r="E1" s="2044"/>
      <c r="F1" s="2044"/>
      <c r="G1" s="2044"/>
      <c r="H1" s="2044"/>
      <c r="I1" s="2044"/>
      <c r="J1" s="2044"/>
      <c r="K1" s="2556" t="s">
        <v>3072</v>
      </c>
      <c r="L1" s="2556"/>
      <c r="M1" s="2556"/>
      <c r="N1" s="2556"/>
      <c r="O1" s="2556"/>
      <c r="P1" s="2556"/>
      <c r="Q1" s="2556"/>
      <c r="R1" s="791"/>
      <c r="S1" s="969" t="s">
        <v>1071</v>
      </c>
      <c r="T1" s="969"/>
      <c r="U1" s="2044" t="s">
        <v>1786</v>
      </c>
      <c r="V1" s="2044"/>
      <c r="W1" s="2044"/>
      <c r="X1" s="2044"/>
      <c r="Y1" s="2044"/>
      <c r="Z1" s="2044"/>
      <c r="AA1" s="2044"/>
      <c r="AB1" s="2044"/>
      <c r="AC1" s="2556" t="s">
        <v>3072</v>
      </c>
      <c r="AD1" s="2556"/>
      <c r="AE1" s="2556"/>
      <c r="AF1" s="2556"/>
      <c r="AG1" s="2556"/>
      <c r="AH1" s="2556"/>
      <c r="AI1" s="2557" t="s">
        <v>1071</v>
      </c>
      <c r="AJ1" s="2557"/>
      <c r="AK1" s="2558" t="s">
        <v>802</v>
      </c>
      <c r="AL1" s="2558"/>
      <c r="AM1" s="2558"/>
      <c r="AN1" s="2558"/>
      <c r="AO1" s="2558"/>
      <c r="AP1" s="2558"/>
      <c r="AQ1" s="2558"/>
      <c r="AR1" s="2558"/>
      <c r="AS1" s="2558"/>
      <c r="AT1" s="2560" t="s">
        <v>3072</v>
      </c>
      <c r="AU1" s="2560"/>
      <c r="AV1" s="2560"/>
      <c r="AW1" s="2560"/>
      <c r="AX1" s="2560"/>
      <c r="AY1" s="2560"/>
      <c r="AZ1" s="1908"/>
      <c r="BA1" s="2559" t="s">
        <v>1071</v>
      </c>
      <c r="BB1" s="2559"/>
      <c r="BD1" s="699"/>
      <c r="BE1" s="2044" t="s">
        <v>802</v>
      </c>
      <c r="BF1" s="2044"/>
      <c r="BG1" s="2044"/>
      <c r="BH1" s="2044"/>
      <c r="BI1" s="2560" t="s">
        <v>3072</v>
      </c>
      <c r="BJ1" s="2560"/>
      <c r="BK1" s="2560"/>
      <c r="BL1" s="2560"/>
      <c r="BM1" s="1908"/>
      <c r="BN1" s="2557" t="s">
        <v>1072</v>
      </c>
      <c r="BO1" s="2557"/>
    </row>
    <row r="2" spans="1:67" ht="11.25" customHeight="1">
      <c r="C2" s="700"/>
      <c r="D2" s="700"/>
      <c r="E2" s="700"/>
      <c r="F2" s="700"/>
      <c r="G2" s="700"/>
      <c r="H2" s="700"/>
      <c r="I2" s="700"/>
      <c r="J2" s="700"/>
      <c r="K2" s="700"/>
      <c r="L2" s="2550"/>
      <c r="M2" s="2550"/>
      <c r="N2" s="701"/>
      <c r="O2" s="701"/>
      <c r="P2" s="701"/>
      <c r="Q2" s="701"/>
      <c r="S2" s="1344"/>
      <c r="T2" s="1540" t="s">
        <v>507</v>
      </c>
      <c r="Y2" s="2554"/>
      <c r="Z2" s="2554"/>
      <c r="AA2" s="1907"/>
      <c r="AB2" s="1907"/>
      <c r="AC2" s="1907"/>
      <c r="AD2" s="1907"/>
      <c r="AE2" s="1907"/>
      <c r="AF2" s="1907"/>
      <c r="AG2" s="701"/>
      <c r="AI2" s="1344"/>
      <c r="AJ2" s="1540" t="s">
        <v>507</v>
      </c>
      <c r="AK2" s="1344"/>
      <c r="AL2" s="1540"/>
      <c r="AM2" s="700"/>
      <c r="AN2" s="700"/>
      <c r="AO2" s="1909"/>
      <c r="AP2" s="1907"/>
      <c r="AQ2" s="1907"/>
      <c r="AR2" s="1907"/>
      <c r="AS2" s="1907"/>
      <c r="AT2" s="1907"/>
      <c r="AU2" s="1907"/>
      <c r="AV2" s="1907"/>
      <c r="AW2" s="701"/>
      <c r="AX2" s="701"/>
      <c r="AY2" s="701"/>
      <c r="AZ2" s="701"/>
      <c r="BA2" s="1344"/>
      <c r="BB2" s="1540" t="s">
        <v>507</v>
      </c>
      <c r="BE2" s="700"/>
      <c r="BF2" s="700"/>
      <c r="BG2" s="2561"/>
      <c r="BH2" s="2561"/>
      <c r="BI2" s="2550"/>
      <c r="BJ2" s="2550"/>
      <c r="BK2" s="2550"/>
      <c r="BL2" s="701"/>
      <c r="BM2" s="701"/>
      <c r="BN2" s="1344"/>
      <c r="BO2" s="1540" t="s">
        <v>507</v>
      </c>
    </row>
    <row r="3" spans="1:67" s="702" customFormat="1" ht="13.5" customHeight="1">
      <c r="A3" s="2544" t="s">
        <v>141</v>
      </c>
      <c r="B3" s="2545"/>
      <c r="C3" s="2551" t="s">
        <v>97</v>
      </c>
      <c r="D3" s="2552"/>
      <c r="E3" s="2552"/>
      <c r="F3" s="2552"/>
      <c r="G3" s="2552"/>
      <c r="H3" s="2553"/>
      <c r="I3" s="2541" t="s">
        <v>1978</v>
      </c>
      <c r="J3" s="2542"/>
      <c r="K3" s="2543"/>
      <c r="L3" s="2551" t="s">
        <v>143</v>
      </c>
      <c r="M3" s="2552"/>
      <c r="N3" s="2552"/>
      <c r="O3" s="2552"/>
      <c r="P3" s="2552"/>
      <c r="Q3" s="2552"/>
      <c r="R3" s="2553"/>
      <c r="S3" s="2544" t="s">
        <v>141</v>
      </c>
      <c r="T3" s="2545"/>
      <c r="U3" s="2544" t="s">
        <v>141</v>
      </c>
      <c r="V3" s="2545"/>
      <c r="W3" s="2551" t="s">
        <v>601</v>
      </c>
      <c r="X3" s="2552"/>
      <c r="Y3" s="2552"/>
      <c r="Z3" s="2552"/>
      <c r="AA3" s="2552"/>
      <c r="AB3" s="2552"/>
      <c r="AC3" s="2552"/>
      <c r="AD3" s="2552"/>
      <c r="AE3" s="2552"/>
      <c r="AF3" s="2552"/>
      <c r="AG3" s="2552"/>
      <c r="AH3" s="2553"/>
      <c r="AI3" s="2544" t="s">
        <v>141</v>
      </c>
      <c r="AJ3" s="2545"/>
      <c r="AK3" s="2563" t="s">
        <v>141</v>
      </c>
      <c r="AL3" s="2564"/>
      <c r="AM3" s="2551" t="s">
        <v>601</v>
      </c>
      <c r="AN3" s="2552"/>
      <c r="AO3" s="2552"/>
      <c r="AP3" s="2552"/>
      <c r="AQ3" s="2552"/>
      <c r="AR3" s="2552"/>
      <c r="AS3" s="2552"/>
      <c r="AT3" s="2552"/>
      <c r="AU3" s="2552"/>
      <c r="AV3" s="2552"/>
      <c r="AW3" s="2552"/>
      <c r="AX3" s="2552"/>
      <c r="AY3" s="2552"/>
      <c r="AZ3" s="2553"/>
      <c r="BA3" s="2562" t="s">
        <v>141</v>
      </c>
      <c r="BB3" s="2545"/>
      <c r="BC3" s="2544" t="s">
        <v>141</v>
      </c>
      <c r="BD3" s="2545"/>
      <c r="BE3" s="2551" t="s">
        <v>602</v>
      </c>
      <c r="BF3" s="2552"/>
      <c r="BG3" s="2552"/>
      <c r="BH3" s="2552"/>
      <c r="BI3" s="2552"/>
      <c r="BJ3" s="2552"/>
      <c r="BK3" s="2552"/>
      <c r="BL3" s="2552"/>
      <c r="BM3" s="2553"/>
      <c r="BN3" s="2544" t="s">
        <v>141</v>
      </c>
      <c r="BO3" s="2545"/>
    </row>
    <row r="4" spans="1:67" s="1769" customFormat="1" ht="24" customHeight="1">
      <c r="A4" s="2546"/>
      <c r="B4" s="2547"/>
      <c r="C4" s="1900" t="s">
        <v>1434</v>
      </c>
      <c r="D4" s="1900" t="s">
        <v>1435</v>
      </c>
      <c r="E4" s="1900" t="s">
        <v>1436</v>
      </c>
      <c r="F4" s="1900" t="s">
        <v>1437</v>
      </c>
      <c r="G4" s="1900" t="s">
        <v>1438</v>
      </c>
      <c r="H4" s="1900" t="s">
        <v>461</v>
      </c>
      <c r="I4" s="1900" t="s">
        <v>1299</v>
      </c>
      <c r="J4" s="1923" t="s">
        <v>144</v>
      </c>
      <c r="K4" s="1900" t="s">
        <v>1775</v>
      </c>
      <c r="L4" s="1900" t="s">
        <v>1439</v>
      </c>
      <c r="M4" s="1900" t="s">
        <v>2333</v>
      </c>
      <c r="N4" s="1900" t="s">
        <v>1440</v>
      </c>
      <c r="O4" s="1900" t="s">
        <v>1441</v>
      </c>
      <c r="P4" s="1900" t="s">
        <v>1442</v>
      </c>
      <c r="Q4" s="1900" t="s">
        <v>1443</v>
      </c>
      <c r="R4" s="1900" t="s">
        <v>1444</v>
      </c>
      <c r="S4" s="2546"/>
      <c r="T4" s="2547"/>
      <c r="U4" s="2546"/>
      <c r="V4" s="2547"/>
      <c r="W4" s="1900" t="s">
        <v>1445</v>
      </c>
      <c r="X4" s="1900" t="s">
        <v>164</v>
      </c>
      <c r="Y4" s="1900" t="s">
        <v>1446</v>
      </c>
      <c r="Z4" s="1900" t="s">
        <v>1447</v>
      </c>
      <c r="AA4" s="1900" t="s">
        <v>165</v>
      </c>
      <c r="AB4" s="1900" t="s">
        <v>1448</v>
      </c>
      <c r="AC4" s="1900" t="s">
        <v>1449</v>
      </c>
      <c r="AD4" s="1900" t="s">
        <v>1450</v>
      </c>
      <c r="AE4" s="1900" t="s">
        <v>1451</v>
      </c>
      <c r="AF4" s="1900" t="s">
        <v>1480</v>
      </c>
      <c r="AG4" s="1900" t="s">
        <v>1452</v>
      </c>
      <c r="AH4" s="1900" t="s">
        <v>1453</v>
      </c>
      <c r="AI4" s="2546"/>
      <c r="AJ4" s="2547"/>
      <c r="AK4" s="2565"/>
      <c r="AL4" s="2566"/>
      <c r="AM4" s="1901" t="s">
        <v>1454</v>
      </c>
      <c r="AN4" s="1901" t="s">
        <v>1455</v>
      </c>
      <c r="AO4" s="1901" t="s">
        <v>1456</v>
      </c>
      <c r="AP4" s="1901" t="s">
        <v>1457</v>
      </c>
      <c r="AQ4" s="1901" t="s">
        <v>1458</v>
      </c>
      <c r="AR4" s="1901" t="s">
        <v>1459</v>
      </c>
      <c r="AS4" s="1901" t="s">
        <v>2400</v>
      </c>
      <c r="AT4" s="1901" t="s">
        <v>1460</v>
      </c>
      <c r="AU4" s="1901" t="s">
        <v>1461</v>
      </c>
      <c r="AV4" s="1901" t="s">
        <v>166</v>
      </c>
      <c r="AW4" s="1901" t="s">
        <v>1462</v>
      </c>
      <c r="AX4" s="1901" t="s">
        <v>1463</v>
      </c>
      <c r="AY4" s="1901" t="s">
        <v>1776</v>
      </c>
      <c r="AZ4" s="1901" t="s">
        <v>2044</v>
      </c>
      <c r="BA4" s="2546"/>
      <c r="BB4" s="2547"/>
      <c r="BC4" s="2546"/>
      <c r="BD4" s="2547"/>
      <c r="BE4" s="1904" t="s">
        <v>1464</v>
      </c>
      <c r="BF4" s="1900" t="s">
        <v>1465</v>
      </c>
      <c r="BG4" s="1904" t="s">
        <v>1466</v>
      </c>
      <c r="BH4" s="677" t="s">
        <v>1330</v>
      </c>
      <c r="BI4" s="1900" t="s">
        <v>1467</v>
      </c>
      <c r="BJ4" s="1900" t="s">
        <v>1468</v>
      </c>
      <c r="BK4" s="1900" t="s">
        <v>167</v>
      </c>
      <c r="BL4" s="1900" t="s">
        <v>603</v>
      </c>
      <c r="BM4" s="1900" t="s">
        <v>1979</v>
      </c>
      <c r="BN4" s="2546"/>
      <c r="BO4" s="2547"/>
    </row>
    <row r="5" spans="1:67" s="1744" customFormat="1" ht="10.5" customHeight="1">
      <c r="A5" s="2548"/>
      <c r="B5" s="2549"/>
      <c r="C5" s="1904">
        <v>1</v>
      </c>
      <c r="D5" s="1600">
        <v>2</v>
      </c>
      <c r="E5" s="1904">
        <v>3</v>
      </c>
      <c r="F5" s="1600">
        <v>4</v>
      </c>
      <c r="G5" s="1904">
        <v>5</v>
      </c>
      <c r="H5" s="1904">
        <v>6</v>
      </c>
      <c r="I5" s="790">
        <v>7</v>
      </c>
      <c r="J5" s="790">
        <v>8</v>
      </c>
      <c r="K5" s="1904">
        <v>9</v>
      </c>
      <c r="L5" s="662">
        <v>10</v>
      </c>
      <c r="M5" s="1600">
        <v>11</v>
      </c>
      <c r="N5" s="1904">
        <v>12</v>
      </c>
      <c r="O5" s="1600">
        <v>13</v>
      </c>
      <c r="P5" s="1904">
        <v>14</v>
      </c>
      <c r="Q5" s="1600">
        <v>15</v>
      </c>
      <c r="R5" s="1904">
        <v>16</v>
      </c>
      <c r="S5" s="2548"/>
      <c r="T5" s="2549"/>
      <c r="U5" s="2548"/>
      <c r="V5" s="2549"/>
      <c r="W5" s="1904">
        <v>17</v>
      </c>
      <c r="X5" s="1601">
        <v>18</v>
      </c>
      <c r="Y5" s="1904">
        <v>19</v>
      </c>
      <c r="Z5" s="1904">
        <v>20</v>
      </c>
      <c r="AA5" s="1904">
        <v>21</v>
      </c>
      <c r="AB5" s="1904">
        <v>22</v>
      </c>
      <c r="AC5" s="1600">
        <v>23</v>
      </c>
      <c r="AD5" s="1904">
        <v>24</v>
      </c>
      <c r="AE5" s="1904">
        <v>25</v>
      </c>
      <c r="AF5" s="1904">
        <v>26</v>
      </c>
      <c r="AG5" s="647">
        <v>27</v>
      </c>
      <c r="AH5" s="1904">
        <v>28</v>
      </c>
      <c r="AI5" s="2548"/>
      <c r="AJ5" s="2549"/>
      <c r="AK5" s="2567"/>
      <c r="AL5" s="2568"/>
      <c r="AM5" s="1600">
        <v>29</v>
      </c>
      <c r="AN5" s="1904">
        <v>30</v>
      </c>
      <c r="AO5" s="1600">
        <v>31</v>
      </c>
      <c r="AP5" s="1600">
        <v>32</v>
      </c>
      <c r="AQ5" s="1904">
        <v>33</v>
      </c>
      <c r="AR5" s="1600">
        <v>34</v>
      </c>
      <c r="AS5" s="1600">
        <v>35</v>
      </c>
      <c r="AT5" s="1904">
        <v>36</v>
      </c>
      <c r="AU5" s="1600">
        <v>37</v>
      </c>
      <c r="AV5" s="1904">
        <v>38</v>
      </c>
      <c r="AW5" s="1904">
        <v>39</v>
      </c>
      <c r="AX5" s="1904">
        <v>40</v>
      </c>
      <c r="AY5" s="1345">
        <v>41</v>
      </c>
      <c r="AZ5" s="1904">
        <v>42</v>
      </c>
      <c r="BA5" s="2548"/>
      <c r="BB5" s="2549"/>
      <c r="BC5" s="2548"/>
      <c r="BD5" s="2549"/>
      <c r="BE5" s="662">
        <v>43</v>
      </c>
      <c r="BF5" s="1600">
        <v>44</v>
      </c>
      <c r="BG5" s="712">
        <v>45</v>
      </c>
      <c r="BH5" s="1600">
        <v>46</v>
      </c>
      <c r="BI5" s="662">
        <v>47</v>
      </c>
      <c r="BJ5" s="1600">
        <v>48</v>
      </c>
      <c r="BK5" s="662">
        <v>49</v>
      </c>
      <c r="BL5" s="1600">
        <v>50</v>
      </c>
      <c r="BM5" s="1904">
        <v>51</v>
      </c>
      <c r="BN5" s="2548"/>
      <c r="BO5" s="2549"/>
    </row>
    <row r="6" spans="1:67" s="1903" customFormat="1" ht="11.45" customHeight="1">
      <c r="A6" s="2450" t="s">
        <v>26</v>
      </c>
      <c r="B6" s="2450"/>
      <c r="C6" s="1602" t="s">
        <v>2778</v>
      </c>
      <c r="D6" s="1514" t="s">
        <v>2779</v>
      </c>
      <c r="E6" s="1602" t="s">
        <v>2780</v>
      </c>
      <c r="F6" s="1602" t="s">
        <v>1409</v>
      </c>
      <c r="G6" s="1602" t="s">
        <v>2444</v>
      </c>
      <c r="H6" s="1602" t="s">
        <v>2781</v>
      </c>
      <c r="I6" s="1602" t="s">
        <v>2782</v>
      </c>
      <c r="J6" s="1602" t="s">
        <v>2779</v>
      </c>
      <c r="K6" s="1602" t="s">
        <v>2965</v>
      </c>
      <c r="L6" s="1602" t="s">
        <v>2966</v>
      </c>
      <c r="M6" s="1602" t="s">
        <v>2967</v>
      </c>
      <c r="N6" s="1602" t="s">
        <v>2783</v>
      </c>
      <c r="O6" s="1602" t="s">
        <v>2784</v>
      </c>
      <c r="P6" s="1602" t="s">
        <v>2784</v>
      </c>
      <c r="Q6" s="1602" t="s">
        <v>2785</v>
      </c>
      <c r="R6" s="1602" t="s">
        <v>2786</v>
      </c>
      <c r="S6" s="2450" t="s">
        <v>26</v>
      </c>
      <c r="T6" s="2450"/>
      <c r="U6" s="2536" t="s">
        <v>26</v>
      </c>
      <c r="V6" s="2536"/>
      <c r="W6" s="1602" t="s">
        <v>2516</v>
      </c>
      <c r="X6" s="1602" t="s">
        <v>2065</v>
      </c>
      <c r="Y6" s="1602" t="s">
        <v>2968</v>
      </c>
      <c r="Z6" s="1602" t="s">
        <v>2061</v>
      </c>
      <c r="AA6" s="1602" t="s">
        <v>2062</v>
      </c>
      <c r="AB6" s="1602" t="s">
        <v>2969</v>
      </c>
      <c r="AC6" s="1602" t="s">
        <v>2063</v>
      </c>
      <c r="AD6" s="1602" t="s">
        <v>2603</v>
      </c>
      <c r="AE6" s="1602" t="s">
        <v>2235</v>
      </c>
      <c r="AF6" s="1602" t="s">
        <v>2970</v>
      </c>
      <c r="AG6" s="1602" t="s">
        <v>2971</v>
      </c>
      <c r="AH6" s="1602" t="s">
        <v>2450</v>
      </c>
      <c r="AI6" s="2450" t="s">
        <v>26</v>
      </c>
      <c r="AJ6" s="2450"/>
      <c r="AK6" s="2450" t="s">
        <v>26</v>
      </c>
      <c r="AL6" s="2450"/>
      <c r="AM6" s="1602" t="s">
        <v>2875</v>
      </c>
      <c r="AN6" s="1602" t="s">
        <v>2665</v>
      </c>
      <c r="AO6" s="1602" t="s">
        <v>2717</v>
      </c>
      <c r="AP6" s="1602" t="s">
        <v>2970</v>
      </c>
      <c r="AQ6" s="1602" t="s">
        <v>2412</v>
      </c>
      <c r="AR6" s="1602" t="s">
        <v>2705</v>
      </c>
      <c r="AS6" s="1602" t="s">
        <v>2237</v>
      </c>
      <c r="AT6" s="1602" t="s">
        <v>2972</v>
      </c>
      <c r="AU6" s="1602" t="s">
        <v>2973</v>
      </c>
      <c r="AV6" s="1602" t="s">
        <v>2974</v>
      </c>
      <c r="AW6" s="1602" t="s">
        <v>2590</v>
      </c>
      <c r="AX6" s="1602" t="s">
        <v>2718</v>
      </c>
      <c r="AY6" s="1602" t="s">
        <v>2553</v>
      </c>
      <c r="AZ6" s="1602" t="s">
        <v>2613</v>
      </c>
      <c r="BA6" s="2536" t="s">
        <v>26</v>
      </c>
      <c r="BB6" s="2536"/>
      <c r="BC6" s="2536" t="s">
        <v>26</v>
      </c>
      <c r="BD6" s="2536"/>
      <c r="BE6" s="1602" t="s">
        <v>2975</v>
      </c>
      <c r="BF6" s="1602" t="s">
        <v>2976</v>
      </c>
      <c r="BG6" s="1602" t="s">
        <v>2454</v>
      </c>
      <c r="BH6" s="1602" t="s">
        <v>2810</v>
      </c>
      <c r="BI6" s="1602" t="s">
        <v>2782</v>
      </c>
      <c r="BJ6" s="1602" t="s">
        <v>2818</v>
      </c>
      <c r="BK6" s="1602" t="s">
        <v>2819</v>
      </c>
      <c r="BL6" s="1602" t="s">
        <v>2517</v>
      </c>
      <c r="BM6" s="1602" t="s">
        <v>2977</v>
      </c>
      <c r="BN6" s="2536" t="s">
        <v>26</v>
      </c>
      <c r="BO6" s="2536"/>
    </row>
    <row r="7" spans="1:67" ht="11.45" customHeight="1">
      <c r="A7" s="2537" t="s">
        <v>794</v>
      </c>
      <c r="B7" s="2555"/>
      <c r="C7" s="1515"/>
      <c r="D7" s="1515"/>
      <c r="E7" s="1515"/>
      <c r="F7" s="1515"/>
      <c r="G7" s="1515"/>
      <c r="H7" s="1515"/>
      <c r="I7" s="1515"/>
      <c r="J7" s="1515"/>
      <c r="K7" s="1515"/>
      <c r="L7" s="1515"/>
      <c r="M7" s="1515"/>
      <c r="N7" s="1515"/>
      <c r="O7" s="1515"/>
      <c r="P7" s="1515"/>
      <c r="Q7" s="1515"/>
      <c r="R7" s="1515"/>
      <c r="S7" s="2537" t="s">
        <v>794</v>
      </c>
      <c r="T7" s="2537"/>
      <c r="U7" s="2537" t="s">
        <v>794</v>
      </c>
      <c r="V7" s="2555"/>
      <c r="W7" s="1515"/>
      <c r="X7" s="1515"/>
      <c r="Y7" s="1515"/>
      <c r="Z7" s="1515"/>
      <c r="AA7" s="1515"/>
      <c r="AB7" s="1515"/>
      <c r="AC7" s="1515"/>
      <c r="AD7" s="1515"/>
      <c r="AE7" s="1515"/>
      <c r="AF7" s="1515"/>
      <c r="AG7" s="1515"/>
      <c r="AH7" s="1515"/>
      <c r="AI7" s="2537" t="s">
        <v>794</v>
      </c>
      <c r="AJ7" s="2537"/>
      <c r="AK7" s="2537" t="s">
        <v>794</v>
      </c>
      <c r="AL7" s="2537"/>
      <c r="AM7" s="1515"/>
      <c r="AN7" s="1515"/>
      <c r="AO7" s="1515"/>
      <c r="AP7" s="1515"/>
      <c r="AQ7" s="1515"/>
      <c r="AR7" s="1515"/>
      <c r="AS7" s="1515"/>
      <c r="AT7" s="1515"/>
      <c r="AU7" s="1515"/>
      <c r="AV7" s="1515"/>
      <c r="AW7" s="1515"/>
      <c r="AX7" s="1515"/>
      <c r="AY7" s="1515"/>
      <c r="AZ7" s="1515"/>
      <c r="BA7" s="2537" t="s">
        <v>794</v>
      </c>
      <c r="BB7" s="2555"/>
      <c r="BC7" s="2537" t="s">
        <v>794</v>
      </c>
      <c r="BD7" s="2555"/>
      <c r="BE7" s="1515"/>
      <c r="BF7" s="1515"/>
      <c r="BG7" s="1515"/>
      <c r="BH7" s="1515"/>
      <c r="BI7" s="1515"/>
      <c r="BJ7" s="1515"/>
      <c r="BK7" s="1515"/>
      <c r="BL7" s="1515"/>
      <c r="BM7" s="1515"/>
      <c r="BN7" s="2537" t="s">
        <v>794</v>
      </c>
      <c r="BO7" s="2555"/>
    </row>
    <row r="8" spans="1:67" ht="11.45" customHeight="1">
      <c r="A8" s="663" t="s">
        <v>303</v>
      </c>
      <c r="B8" s="1230" t="s">
        <v>785</v>
      </c>
      <c r="C8" s="1602" t="s">
        <v>2978</v>
      </c>
      <c r="D8" s="1602" t="s">
        <v>2782</v>
      </c>
      <c r="E8" s="1602" t="s">
        <v>2788</v>
      </c>
      <c r="F8" s="1602" t="s">
        <v>2793</v>
      </c>
      <c r="G8" s="1602" t="s">
        <v>2445</v>
      </c>
      <c r="H8" s="1602" t="s">
        <v>2792</v>
      </c>
      <c r="I8" s="1602" t="s">
        <v>2979</v>
      </c>
      <c r="J8" s="1602" t="s">
        <v>2782</v>
      </c>
      <c r="K8" s="1602" t="s">
        <v>2965</v>
      </c>
      <c r="L8" s="1602" t="s">
        <v>2980</v>
      </c>
      <c r="M8" s="1602" t="s">
        <v>2234</v>
      </c>
      <c r="N8" s="1602" t="s">
        <v>2796</v>
      </c>
      <c r="O8" s="1602" t="s">
        <v>2793</v>
      </c>
      <c r="P8" s="1602" t="s">
        <v>2779</v>
      </c>
      <c r="Q8" s="1602" t="s">
        <v>2797</v>
      </c>
      <c r="R8" s="1602" t="s">
        <v>2981</v>
      </c>
      <c r="S8" s="975" t="s">
        <v>303</v>
      </c>
      <c r="T8" s="1230" t="s">
        <v>2039</v>
      </c>
      <c r="U8" s="663" t="s">
        <v>303</v>
      </c>
      <c r="V8" s="1230" t="s">
        <v>785</v>
      </c>
      <c r="W8" s="1602" t="s">
        <v>2784</v>
      </c>
      <c r="X8" s="1602" t="s">
        <v>2784</v>
      </c>
      <c r="Y8" s="1602" t="s">
        <v>2779</v>
      </c>
      <c r="Z8" s="1602" t="s">
        <v>2786</v>
      </c>
      <c r="AA8" s="1602" t="s">
        <v>2779</v>
      </c>
      <c r="AB8" s="1602" t="s">
        <v>2786</v>
      </c>
      <c r="AC8" s="1602" t="s">
        <v>2798</v>
      </c>
      <c r="AD8" s="1602" t="s">
        <v>2792</v>
      </c>
      <c r="AE8" s="1602" t="s">
        <v>2064</v>
      </c>
      <c r="AF8" s="1602" t="s">
        <v>2982</v>
      </c>
      <c r="AG8" s="1602" t="s">
        <v>2791</v>
      </c>
      <c r="AH8" s="1602" t="s">
        <v>2788</v>
      </c>
      <c r="AI8" s="663" t="s">
        <v>303</v>
      </c>
      <c r="AJ8" s="1230" t="s">
        <v>785</v>
      </c>
      <c r="AK8" s="663" t="s">
        <v>303</v>
      </c>
      <c r="AL8" s="1230" t="s">
        <v>785</v>
      </c>
      <c r="AM8" s="1602" t="s">
        <v>2849</v>
      </c>
      <c r="AN8" s="1602" t="s">
        <v>2790</v>
      </c>
      <c r="AO8" s="1602" t="s">
        <v>2779</v>
      </c>
      <c r="AP8" s="1602" t="s">
        <v>1780</v>
      </c>
      <c r="AQ8" s="1602" t="s">
        <v>2785</v>
      </c>
      <c r="AR8" s="1602" t="s">
        <v>2788</v>
      </c>
      <c r="AS8" s="1602" t="s">
        <v>2781</v>
      </c>
      <c r="AT8" s="1602" t="s">
        <v>2983</v>
      </c>
      <c r="AU8" s="1602" t="s">
        <v>2786</v>
      </c>
      <c r="AV8" s="1602" t="s">
        <v>2576</v>
      </c>
      <c r="AW8" s="1602" t="s">
        <v>2792</v>
      </c>
      <c r="AX8" s="1602" t="s">
        <v>2792</v>
      </c>
      <c r="AY8" s="1602" t="s">
        <v>2779</v>
      </c>
      <c r="AZ8" s="1602" t="s">
        <v>2779</v>
      </c>
      <c r="BA8" s="663" t="s">
        <v>303</v>
      </c>
      <c r="BB8" s="1230" t="s">
        <v>785</v>
      </c>
      <c r="BC8" s="663" t="s">
        <v>303</v>
      </c>
      <c r="BD8" s="1230" t="s">
        <v>785</v>
      </c>
      <c r="BE8" s="1602" t="s">
        <v>2786</v>
      </c>
      <c r="BF8" s="1602" t="s">
        <v>2821</v>
      </c>
      <c r="BG8" s="1602" t="s">
        <v>2792</v>
      </c>
      <c r="BH8" s="1602" t="s">
        <v>2798</v>
      </c>
      <c r="BI8" s="1602" t="s">
        <v>2810</v>
      </c>
      <c r="BJ8" s="1602" t="s">
        <v>2786</v>
      </c>
      <c r="BK8" s="1602" t="s">
        <v>2809</v>
      </c>
      <c r="BL8" s="1602" t="s">
        <v>2808</v>
      </c>
      <c r="BM8" s="1602" t="s">
        <v>2984</v>
      </c>
      <c r="BN8" s="663" t="s">
        <v>303</v>
      </c>
      <c r="BO8" s="1230" t="s">
        <v>785</v>
      </c>
    </row>
    <row r="9" spans="1:67" ht="11.45" customHeight="1">
      <c r="A9" s="664" t="s">
        <v>471</v>
      </c>
      <c r="B9" s="665" t="s">
        <v>786</v>
      </c>
      <c r="C9" s="1603" t="s">
        <v>2985</v>
      </c>
      <c r="D9" s="1603" t="s">
        <v>2787</v>
      </c>
      <c r="E9" s="1603" t="s">
        <v>2780</v>
      </c>
      <c r="F9" s="1603" t="s">
        <v>2786</v>
      </c>
      <c r="G9" s="1603" t="s">
        <v>2445</v>
      </c>
      <c r="H9" s="1603" t="s">
        <v>2788</v>
      </c>
      <c r="I9" s="1603" t="s">
        <v>1852</v>
      </c>
      <c r="J9" s="1603" t="s">
        <v>2779</v>
      </c>
      <c r="K9" s="1603" t="s">
        <v>2965</v>
      </c>
      <c r="L9" s="1603" t="s">
        <v>2980</v>
      </c>
      <c r="M9" s="1603" t="s">
        <v>2230</v>
      </c>
      <c r="N9" s="1603" t="s">
        <v>2789</v>
      </c>
      <c r="O9" s="1603" t="s">
        <v>2790</v>
      </c>
      <c r="P9" s="1603" t="s">
        <v>2784</v>
      </c>
      <c r="Q9" s="1603" t="s">
        <v>2782</v>
      </c>
      <c r="R9" s="1603" t="s">
        <v>2739</v>
      </c>
      <c r="S9" s="976" t="s">
        <v>471</v>
      </c>
      <c r="T9" s="665" t="s">
        <v>2040</v>
      </c>
      <c r="U9" s="664" t="s">
        <v>471</v>
      </c>
      <c r="V9" s="665" t="s">
        <v>786</v>
      </c>
      <c r="W9" s="1603" t="s">
        <v>2808</v>
      </c>
      <c r="X9" s="1603" t="s">
        <v>2784</v>
      </c>
      <c r="Y9" s="1603" t="s">
        <v>2784</v>
      </c>
      <c r="Z9" s="1603" t="s">
        <v>2808</v>
      </c>
      <c r="AA9" s="1603" t="s">
        <v>2784</v>
      </c>
      <c r="AB9" s="1603" t="s">
        <v>2809</v>
      </c>
      <c r="AC9" s="1603" t="s">
        <v>2798</v>
      </c>
      <c r="AD9" s="1603" t="s">
        <v>2784</v>
      </c>
      <c r="AE9" s="1603" t="s">
        <v>2064</v>
      </c>
      <c r="AF9" s="1603" t="s">
        <v>2784</v>
      </c>
      <c r="AG9" s="1603" t="s">
        <v>2810</v>
      </c>
      <c r="AH9" s="1603" t="s">
        <v>2786</v>
      </c>
      <c r="AI9" s="664" t="s">
        <v>471</v>
      </c>
      <c r="AJ9" s="665" t="s">
        <v>786</v>
      </c>
      <c r="AK9" s="664" t="s">
        <v>471</v>
      </c>
      <c r="AL9" s="665" t="s">
        <v>786</v>
      </c>
      <c r="AM9" s="1603" t="s">
        <v>2779</v>
      </c>
      <c r="AN9" s="1603" t="s">
        <v>2810</v>
      </c>
      <c r="AO9" s="1603" t="s">
        <v>2823</v>
      </c>
      <c r="AP9" s="1603" t="s">
        <v>2982</v>
      </c>
      <c r="AQ9" s="1603" t="s">
        <v>2786</v>
      </c>
      <c r="AR9" s="1603" t="s">
        <v>2786</v>
      </c>
      <c r="AS9" s="1603" t="s">
        <v>2986</v>
      </c>
      <c r="AT9" s="1603" t="s">
        <v>2987</v>
      </c>
      <c r="AU9" s="1603" t="s">
        <v>2821</v>
      </c>
      <c r="AV9" s="1603" t="s">
        <v>2573</v>
      </c>
      <c r="AW9" s="1603" t="s">
        <v>2810</v>
      </c>
      <c r="AX9" s="1603" t="s">
        <v>2784</v>
      </c>
      <c r="AY9" s="1603" t="s">
        <v>2784</v>
      </c>
      <c r="AZ9" s="1603" t="s">
        <v>2786</v>
      </c>
      <c r="BA9" s="664" t="s">
        <v>471</v>
      </c>
      <c r="BB9" s="665" t="s">
        <v>786</v>
      </c>
      <c r="BC9" s="664" t="s">
        <v>471</v>
      </c>
      <c r="BD9" s="665" t="s">
        <v>786</v>
      </c>
      <c r="BE9" s="1603" t="s">
        <v>2810</v>
      </c>
      <c r="BF9" s="1603" t="s">
        <v>2820</v>
      </c>
      <c r="BG9" s="1603" t="s">
        <v>2821</v>
      </c>
      <c r="BH9" s="1603" t="s">
        <v>2788</v>
      </c>
      <c r="BI9" s="1603" t="s">
        <v>2822</v>
      </c>
      <c r="BJ9" s="1603" t="s">
        <v>2820</v>
      </c>
      <c r="BK9" s="1603" t="s">
        <v>2809</v>
      </c>
      <c r="BL9" s="1603" t="s">
        <v>2820</v>
      </c>
      <c r="BM9" s="1603" t="s">
        <v>2063</v>
      </c>
      <c r="BN9" s="664" t="s">
        <v>471</v>
      </c>
      <c r="BO9" s="665" t="s">
        <v>786</v>
      </c>
    </row>
    <row r="10" spans="1:67" ht="11.45" customHeight="1">
      <c r="A10" s="663" t="s">
        <v>295</v>
      </c>
      <c r="B10" s="1230" t="s">
        <v>787</v>
      </c>
      <c r="C10" s="1602" t="s">
        <v>2988</v>
      </c>
      <c r="D10" s="1602" t="s">
        <v>2793</v>
      </c>
      <c r="E10" s="1602" t="s">
        <v>2783</v>
      </c>
      <c r="F10" s="1602" t="s">
        <v>2783</v>
      </c>
      <c r="G10" s="1602" t="s">
        <v>2445</v>
      </c>
      <c r="H10" s="1602" t="s">
        <v>2782</v>
      </c>
      <c r="I10" s="1602" t="s">
        <v>2274</v>
      </c>
      <c r="J10" s="1602" t="s">
        <v>2782</v>
      </c>
      <c r="K10" s="1602" t="s">
        <v>2965</v>
      </c>
      <c r="L10" s="1602" t="s">
        <v>2980</v>
      </c>
      <c r="M10" s="1602" t="s">
        <v>2232</v>
      </c>
      <c r="N10" s="1602" t="s">
        <v>2791</v>
      </c>
      <c r="O10" s="1602" t="s">
        <v>2780</v>
      </c>
      <c r="P10" s="1602" t="s">
        <v>2779</v>
      </c>
      <c r="Q10" s="1602" t="s">
        <v>2794</v>
      </c>
      <c r="R10" s="1602" t="s">
        <v>2740</v>
      </c>
      <c r="S10" s="977" t="s">
        <v>295</v>
      </c>
      <c r="T10" s="1230" t="s">
        <v>2041</v>
      </c>
      <c r="U10" s="663" t="s">
        <v>295</v>
      </c>
      <c r="V10" s="1230" t="s">
        <v>787</v>
      </c>
      <c r="W10" s="1602" t="s">
        <v>2784</v>
      </c>
      <c r="X10" s="1602" t="s">
        <v>2784</v>
      </c>
      <c r="Y10" s="1602" t="s">
        <v>2786</v>
      </c>
      <c r="Z10" s="1602" t="s">
        <v>2784</v>
      </c>
      <c r="AA10" s="1602" t="s">
        <v>2779</v>
      </c>
      <c r="AB10" s="1602" t="s">
        <v>2784</v>
      </c>
      <c r="AC10" s="1602" t="s">
        <v>2989</v>
      </c>
      <c r="AD10" s="1602" t="s">
        <v>2784</v>
      </c>
      <c r="AE10" s="1602" t="s">
        <v>2471</v>
      </c>
      <c r="AF10" s="1602" t="s">
        <v>2982</v>
      </c>
      <c r="AG10" s="1602" t="s">
        <v>2786</v>
      </c>
      <c r="AH10" s="1602" t="s">
        <v>2783</v>
      </c>
      <c r="AI10" s="663" t="s">
        <v>295</v>
      </c>
      <c r="AJ10" s="1230" t="s">
        <v>787</v>
      </c>
      <c r="AK10" s="663" t="s">
        <v>295</v>
      </c>
      <c r="AL10" s="1230" t="s">
        <v>787</v>
      </c>
      <c r="AM10" s="1602" t="s">
        <v>2793</v>
      </c>
      <c r="AN10" s="1602" t="s">
        <v>2821</v>
      </c>
      <c r="AO10" s="1602" t="s">
        <v>2821</v>
      </c>
      <c r="AP10" s="1602" t="s">
        <v>2414</v>
      </c>
      <c r="AQ10" s="1602" t="s">
        <v>2783</v>
      </c>
      <c r="AR10" s="1602" t="s">
        <v>2791</v>
      </c>
      <c r="AS10" s="1602" t="s">
        <v>2788</v>
      </c>
      <c r="AT10" s="1602" t="s">
        <v>2990</v>
      </c>
      <c r="AU10" s="1602" t="s">
        <v>2811</v>
      </c>
      <c r="AV10" s="1602" t="s">
        <v>2574</v>
      </c>
      <c r="AW10" s="1602" t="s">
        <v>2779</v>
      </c>
      <c r="AX10" s="1602" t="s">
        <v>2349</v>
      </c>
      <c r="AY10" s="1602" t="s">
        <v>2786</v>
      </c>
      <c r="AZ10" s="1602" t="s">
        <v>2786</v>
      </c>
      <c r="BA10" s="663" t="s">
        <v>295</v>
      </c>
      <c r="BB10" s="1230" t="s">
        <v>787</v>
      </c>
      <c r="BC10" s="663" t="s">
        <v>295</v>
      </c>
      <c r="BD10" s="1230" t="s">
        <v>787</v>
      </c>
      <c r="BE10" s="1602" t="s">
        <v>2821</v>
      </c>
      <c r="BF10" s="1602" t="s">
        <v>2809</v>
      </c>
      <c r="BG10" s="1602" t="s">
        <v>2784</v>
      </c>
      <c r="BH10" s="1602" t="s">
        <v>2798</v>
      </c>
      <c r="BI10" s="1602" t="s">
        <v>2826</v>
      </c>
      <c r="BJ10" s="1602" t="s">
        <v>2820</v>
      </c>
      <c r="BK10" s="1602" t="s">
        <v>2809</v>
      </c>
      <c r="BL10" s="1602" t="s">
        <v>2827</v>
      </c>
      <c r="BM10" s="1602" t="s">
        <v>2991</v>
      </c>
      <c r="BN10" s="663" t="s">
        <v>295</v>
      </c>
      <c r="BO10" s="1230" t="s">
        <v>787</v>
      </c>
    </row>
    <row r="11" spans="1:67" ht="11.45" customHeight="1">
      <c r="A11" s="664" t="s">
        <v>296</v>
      </c>
      <c r="B11" s="665" t="s">
        <v>788</v>
      </c>
      <c r="C11" s="1603" t="s">
        <v>2992</v>
      </c>
      <c r="D11" s="1515" t="s">
        <v>2993</v>
      </c>
      <c r="E11" s="1603" t="s">
        <v>2791</v>
      </c>
      <c r="F11" s="1603" t="s">
        <v>2791</v>
      </c>
      <c r="G11" s="1603" t="s">
        <v>2445</v>
      </c>
      <c r="H11" s="1603" t="s">
        <v>2781</v>
      </c>
      <c r="I11" s="1603" t="s">
        <v>2792</v>
      </c>
      <c r="J11" s="1603" t="s">
        <v>2782</v>
      </c>
      <c r="K11" s="1603" t="s">
        <v>2965</v>
      </c>
      <c r="L11" s="1603" t="s">
        <v>2980</v>
      </c>
      <c r="M11" s="1603" t="s">
        <v>2233</v>
      </c>
      <c r="N11" s="1603" t="s">
        <v>2788</v>
      </c>
      <c r="O11" s="1603" t="s">
        <v>2783</v>
      </c>
      <c r="P11" s="1603" t="s">
        <v>2779</v>
      </c>
      <c r="Q11" s="1603" t="s">
        <v>2795</v>
      </c>
      <c r="R11" s="1603" t="s">
        <v>2741</v>
      </c>
      <c r="S11" s="976" t="s">
        <v>296</v>
      </c>
      <c r="T11" s="665" t="s">
        <v>788</v>
      </c>
      <c r="U11" s="664" t="s">
        <v>296</v>
      </c>
      <c r="V11" s="665" t="s">
        <v>788</v>
      </c>
      <c r="W11" s="1603" t="s">
        <v>2784</v>
      </c>
      <c r="X11" s="1603" t="s">
        <v>2784</v>
      </c>
      <c r="Y11" s="1603" t="s">
        <v>2780</v>
      </c>
      <c r="Z11" s="1603" t="s">
        <v>2790</v>
      </c>
      <c r="AA11" s="1603" t="s">
        <v>2779</v>
      </c>
      <c r="AB11" s="1603" t="s">
        <v>2784</v>
      </c>
      <c r="AC11" s="1603" t="s">
        <v>2989</v>
      </c>
      <c r="AD11" s="1603" t="s">
        <v>2784</v>
      </c>
      <c r="AE11" s="1603" t="s">
        <v>2064</v>
      </c>
      <c r="AF11" s="1603" t="s">
        <v>2982</v>
      </c>
      <c r="AG11" s="1603" t="s">
        <v>2779</v>
      </c>
      <c r="AH11" s="1603" t="s">
        <v>2791</v>
      </c>
      <c r="AI11" s="664" t="s">
        <v>296</v>
      </c>
      <c r="AJ11" s="665" t="s">
        <v>788</v>
      </c>
      <c r="AK11" s="664" t="s">
        <v>296</v>
      </c>
      <c r="AL11" s="665" t="s">
        <v>788</v>
      </c>
      <c r="AM11" s="1603" t="s">
        <v>2792</v>
      </c>
      <c r="AN11" s="1603" t="s">
        <v>2784</v>
      </c>
      <c r="AO11" s="1603" t="s">
        <v>2808</v>
      </c>
      <c r="AP11" s="1603" t="s">
        <v>2876</v>
      </c>
      <c r="AQ11" s="1603" t="s">
        <v>2788</v>
      </c>
      <c r="AR11" s="1603" t="s">
        <v>2788</v>
      </c>
      <c r="AS11" s="1603" t="s">
        <v>2781</v>
      </c>
      <c r="AT11" s="1603" t="s">
        <v>2994</v>
      </c>
      <c r="AU11" s="1603" t="s">
        <v>2784</v>
      </c>
      <c r="AV11" s="1603" t="s">
        <v>2575</v>
      </c>
      <c r="AW11" s="1603" t="s">
        <v>2788</v>
      </c>
      <c r="AX11" s="1603" t="s">
        <v>2452</v>
      </c>
      <c r="AY11" s="1603" t="s">
        <v>2780</v>
      </c>
      <c r="AZ11" s="1603" t="s">
        <v>2780</v>
      </c>
      <c r="BA11" s="664" t="s">
        <v>296</v>
      </c>
      <c r="BB11" s="665" t="s">
        <v>788</v>
      </c>
      <c r="BC11" s="664" t="s">
        <v>296</v>
      </c>
      <c r="BD11" s="665" t="s">
        <v>788</v>
      </c>
      <c r="BE11" s="1603" t="s">
        <v>2808</v>
      </c>
      <c r="BF11" s="1603" t="s">
        <v>2818</v>
      </c>
      <c r="BG11" s="1603" t="s">
        <v>2824</v>
      </c>
      <c r="BH11" s="1603" t="s">
        <v>2798</v>
      </c>
      <c r="BI11" s="1603" t="s">
        <v>2809</v>
      </c>
      <c r="BJ11" s="1603" t="s">
        <v>2821</v>
      </c>
      <c r="BK11" s="1603" t="s">
        <v>2809</v>
      </c>
      <c r="BL11" s="1603" t="s">
        <v>2828</v>
      </c>
      <c r="BM11" s="1603" t="s">
        <v>2991</v>
      </c>
      <c r="BN11" s="664" t="s">
        <v>296</v>
      </c>
      <c r="BO11" s="665" t="s">
        <v>788</v>
      </c>
    </row>
    <row r="12" spans="1:67" ht="11.45" customHeight="1">
      <c r="A12" s="663" t="s">
        <v>301</v>
      </c>
      <c r="B12" s="1230" t="s">
        <v>1254</v>
      </c>
      <c r="C12" s="1602" t="s">
        <v>2995</v>
      </c>
      <c r="D12" s="1602" t="s">
        <v>2791</v>
      </c>
      <c r="E12" s="1602" t="s">
        <v>2779</v>
      </c>
      <c r="F12" s="1602" t="s">
        <v>2982</v>
      </c>
      <c r="G12" s="1602" t="s">
        <v>2445</v>
      </c>
      <c r="H12" s="1602" t="s">
        <v>2785</v>
      </c>
      <c r="I12" s="1602" t="s">
        <v>2782</v>
      </c>
      <c r="J12" s="1602" t="s">
        <v>2788</v>
      </c>
      <c r="K12" s="1602" t="s">
        <v>2965</v>
      </c>
      <c r="L12" s="1602" t="s">
        <v>2980</v>
      </c>
      <c r="M12" s="1602" t="s">
        <v>2231</v>
      </c>
      <c r="N12" s="1602" t="s">
        <v>2780</v>
      </c>
      <c r="O12" s="1602" t="s">
        <v>2790</v>
      </c>
      <c r="P12" s="1602" t="s">
        <v>2784</v>
      </c>
      <c r="Q12" s="1602" t="s">
        <v>2792</v>
      </c>
      <c r="R12" s="1602" t="s">
        <v>2779</v>
      </c>
      <c r="S12" s="977" t="s">
        <v>301</v>
      </c>
      <c r="T12" s="1230" t="s">
        <v>1254</v>
      </c>
      <c r="U12" s="663" t="s">
        <v>301</v>
      </c>
      <c r="V12" s="1230" t="s">
        <v>1254</v>
      </c>
      <c r="W12" s="1602" t="s">
        <v>2784</v>
      </c>
      <c r="X12" s="1602" t="s">
        <v>2784</v>
      </c>
      <c r="Y12" s="1602" t="s">
        <v>2790</v>
      </c>
      <c r="Z12" s="1602" t="s">
        <v>2811</v>
      </c>
      <c r="AA12" s="1602" t="s">
        <v>2779</v>
      </c>
      <c r="AB12" s="1602" t="s">
        <v>2996</v>
      </c>
      <c r="AC12" s="1602" t="s">
        <v>2989</v>
      </c>
      <c r="AD12" s="1602" t="s">
        <v>2784</v>
      </c>
      <c r="AE12" s="1602" t="s">
        <v>2064</v>
      </c>
      <c r="AF12" s="1602" t="s">
        <v>2982</v>
      </c>
      <c r="AG12" s="1602" t="s">
        <v>2808</v>
      </c>
      <c r="AH12" s="1602" t="s">
        <v>2779</v>
      </c>
      <c r="AI12" s="663" t="s">
        <v>301</v>
      </c>
      <c r="AJ12" s="1230" t="s">
        <v>1254</v>
      </c>
      <c r="AK12" s="663" t="s">
        <v>301</v>
      </c>
      <c r="AL12" s="1230" t="s">
        <v>1254</v>
      </c>
      <c r="AM12" s="1602" t="s">
        <v>2791</v>
      </c>
      <c r="AN12" s="1602" t="s">
        <v>2850</v>
      </c>
      <c r="AO12" s="1602" t="s">
        <v>2818</v>
      </c>
      <c r="AP12" s="1602" t="s">
        <v>1409</v>
      </c>
      <c r="AQ12" s="1602" t="s">
        <v>2783</v>
      </c>
      <c r="AR12" s="1602" t="s">
        <v>2779</v>
      </c>
      <c r="AS12" s="1602" t="s">
        <v>2779</v>
      </c>
      <c r="AT12" s="1602" t="s">
        <v>2997</v>
      </c>
      <c r="AU12" s="1602" t="s">
        <v>2808</v>
      </c>
      <c r="AV12" s="1602" t="s">
        <v>2998</v>
      </c>
      <c r="AW12" s="1602" t="s">
        <v>2784</v>
      </c>
      <c r="AX12" s="1602" t="s">
        <v>2999</v>
      </c>
      <c r="AY12" s="1602" t="s">
        <v>2790</v>
      </c>
      <c r="AZ12" s="1602" t="s">
        <v>2786</v>
      </c>
      <c r="BA12" s="663" t="s">
        <v>301</v>
      </c>
      <c r="BB12" s="1230" t="s">
        <v>1254</v>
      </c>
      <c r="BC12" s="663" t="s">
        <v>301</v>
      </c>
      <c r="BD12" s="1230" t="s">
        <v>1254</v>
      </c>
      <c r="BE12" s="1602" t="s">
        <v>2810</v>
      </c>
      <c r="BF12" s="1602" t="s">
        <v>2823</v>
      </c>
      <c r="BG12" s="1602" t="s">
        <v>2811</v>
      </c>
      <c r="BH12" s="1602" t="s">
        <v>2824</v>
      </c>
      <c r="BI12" s="1602" t="s">
        <v>2825</v>
      </c>
      <c r="BJ12" s="1602" t="s">
        <v>2820</v>
      </c>
      <c r="BK12" s="1602" t="s">
        <v>2809</v>
      </c>
      <c r="BL12" s="1602" t="s">
        <v>2823</v>
      </c>
      <c r="BM12" s="1602" t="s">
        <v>3000</v>
      </c>
      <c r="BN12" s="663" t="s">
        <v>301</v>
      </c>
      <c r="BO12" s="1230" t="s">
        <v>1254</v>
      </c>
    </row>
    <row r="13" spans="1:67" ht="11.45" customHeight="1">
      <c r="A13" s="2535" t="s">
        <v>27</v>
      </c>
      <c r="B13" s="2535"/>
      <c r="C13" s="1604"/>
      <c r="D13" s="1604"/>
      <c r="E13" s="1604"/>
      <c r="F13" s="1604"/>
      <c r="G13" s="1604"/>
      <c r="H13" s="1604"/>
      <c r="I13" s="1604"/>
      <c r="J13" s="1604"/>
      <c r="K13" s="1604"/>
      <c r="L13" s="1604"/>
      <c r="M13" s="1604"/>
      <c r="N13" s="1604"/>
      <c r="O13" s="1604"/>
      <c r="P13" s="1604"/>
      <c r="Q13" s="1604"/>
      <c r="R13" s="1604"/>
      <c r="S13" s="2535" t="s">
        <v>27</v>
      </c>
      <c r="T13" s="2535"/>
      <c r="U13" s="2535" t="s">
        <v>27</v>
      </c>
      <c r="V13" s="2535"/>
      <c r="W13" s="1604"/>
      <c r="X13" s="1604"/>
      <c r="Y13" s="1604"/>
      <c r="Z13" s="1604"/>
      <c r="AA13" s="1604"/>
      <c r="AB13" s="1604"/>
      <c r="AC13" s="1604"/>
      <c r="AD13" s="1604"/>
      <c r="AE13" s="1604"/>
      <c r="AF13" s="1604"/>
      <c r="AG13" s="1604"/>
      <c r="AH13" s="1604"/>
      <c r="AI13" s="2535" t="s">
        <v>27</v>
      </c>
      <c r="AJ13" s="2535"/>
      <c r="AK13" s="2535" t="s">
        <v>27</v>
      </c>
      <c r="AL13" s="2535"/>
      <c r="AM13" s="1604"/>
      <c r="AN13" s="1604"/>
      <c r="AO13" s="1604"/>
      <c r="AP13" s="1604"/>
      <c r="AQ13" s="1604"/>
      <c r="AR13" s="1604"/>
      <c r="AS13" s="1604"/>
      <c r="AT13" s="1604"/>
      <c r="AU13" s="1604"/>
      <c r="AV13" s="1604"/>
      <c r="AW13" s="1604"/>
      <c r="AX13" s="1604"/>
      <c r="AY13" s="1604"/>
      <c r="AZ13" s="1604"/>
      <c r="BA13" s="2535" t="s">
        <v>27</v>
      </c>
      <c r="BB13" s="2535"/>
      <c r="BC13" s="2535" t="s">
        <v>27</v>
      </c>
      <c r="BD13" s="2535"/>
      <c r="BE13" s="1604"/>
      <c r="BF13" s="1604"/>
      <c r="BG13" s="1604"/>
      <c r="BH13" s="1604"/>
      <c r="BI13" s="1604"/>
      <c r="BJ13" s="1604"/>
      <c r="BK13" s="1604"/>
      <c r="BL13" s="1604"/>
      <c r="BM13" s="1516"/>
      <c r="BN13" s="2535" t="s">
        <v>27</v>
      </c>
      <c r="BO13" s="2535"/>
    </row>
    <row r="14" spans="1:67" ht="11.45" customHeight="1">
      <c r="A14" s="663" t="s">
        <v>303</v>
      </c>
      <c r="B14" s="1230" t="s">
        <v>789</v>
      </c>
      <c r="C14" s="1602" t="s">
        <v>3001</v>
      </c>
      <c r="D14" s="1602" t="s">
        <v>2807</v>
      </c>
      <c r="E14" s="1602" t="s">
        <v>2965</v>
      </c>
      <c r="F14" s="1602" t="s">
        <v>2806</v>
      </c>
      <c r="G14" s="1602" t="s">
        <v>2448</v>
      </c>
      <c r="H14" s="1602" t="s">
        <v>2965</v>
      </c>
      <c r="I14" s="1602" t="s">
        <v>3002</v>
      </c>
      <c r="J14" s="1602" t="s">
        <v>3003</v>
      </c>
      <c r="K14" s="1602" t="s">
        <v>2965</v>
      </c>
      <c r="L14" s="1602" t="s">
        <v>3004</v>
      </c>
      <c r="M14" s="1602" t="s">
        <v>2095</v>
      </c>
      <c r="N14" s="1602" t="s">
        <v>2965</v>
      </c>
      <c r="O14" s="1602" t="s">
        <v>2795</v>
      </c>
      <c r="P14" s="1602" t="s">
        <v>2766</v>
      </c>
      <c r="Q14" s="1602" t="s">
        <v>3005</v>
      </c>
      <c r="R14" s="1602" t="s">
        <v>3006</v>
      </c>
      <c r="S14" s="977" t="s">
        <v>303</v>
      </c>
      <c r="T14" s="1230" t="s">
        <v>789</v>
      </c>
      <c r="U14" s="663" t="s">
        <v>303</v>
      </c>
      <c r="V14" s="1230" t="s">
        <v>789</v>
      </c>
      <c r="W14" s="1602" t="s">
        <v>2851</v>
      </c>
      <c r="X14" s="1602" t="s">
        <v>2804</v>
      </c>
      <c r="Y14" s="1602" t="s">
        <v>2852</v>
      </c>
      <c r="Z14" s="1602" t="s">
        <v>2446</v>
      </c>
      <c r="AA14" s="1602" t="s">
        <v>2965</v>
      </c>
      <c r="AB14" s="1602" t="s">
        <v>3007</v>
      </c>
      <c r="AC14" s="1602" t="s">
        <v>2817</v>
      </c>
      <c r="AD14" s="1602" t="s">
        <v>3002</v>
      </c>
      <c r="AE14" s="1602" t="s">
        <v>2684</v>
      </c>
      <c r="AF14" s="1602" t="s">
        <v>3002</v>
      </c>
      <c r="AG14" s="1602" t="s">
        <v>3008</v>
      </c>
      <c r="AH14" s="1602" t="s">
        <v>3002</v>
      </c>
      <c r="AI14" s="663" t="s">
        <v>303</v>
      </c>
      <c r="AJ14" s="1230" t="s">
        <v>789</v>
      </c>
      <c r="AK14" s="663" t="s">
        <v>303</v>
      </c>
      <c r="AL14" s="1230" t="s">
        <v>789</v>
      </c>
      <c r="AM14" s="1602" t="s">
        <v>2236</v>
      </c>
      <c r="AN14" s="1602" t="s">
        <v>2835</v>
      </c>
      <c r="AO14" s="1602" t="s">
        <v>2719</v>
      </c>
      <c r="AP14" s="1602" t="s">
        <v>3008</v>
      </c>
      <c r="AQ14" s="1602" t="s">
        <v>3002</v>
      </c>
      <c r="AR14" s="1602" t="s">
        <v>3009</v>
      </c>
      <c r="AS14" s="1602" t="s">
        <v>2965</v>
      </c>
      <c r="AT14" s="1602" t="s">
        <v>2797</v>
      </c>
      <c r="AU14" s="1602" t="s">
        <v>2483</v>
      </c>
      <c r="AV14" s="1602" t="s">
        <v>3010</v>
      </c>
      <c r="AW14" s="1602" t="s">
        <v>3002</v>
      </c>
      <c r="AX14" s="1602" t="s">
        <v>2683</v>
      </c>
      <c r="AY14" s="1602" t="s">
        <v>3011</v>
      </c>
      <c r="AZ14" s="1602" t="s">
        <v>3012</v>
      </c>
      <c r="BA14" s="663" t="s">
        <v>303</v>
      </c>
      <c r="BB14" s="1230" t="s">
        <v>789</v>
      </c>
      <c r="BC14" s="663" t="s">
        <v>303</v>
      </c>
      <c r="BD14" s="1230" t="s">
        <v>789</v>
      </c>
      <c r="BE14" s="1602" t="s">
        <v>2830</v>
      </c>
      <c r="BF14" s="1602" t="s">
        <v>3013</v>
      </c>
      <c r="BG14" s="1602" t="s">
        <v>2853</v>
      </c>
      <c r="BH14" s="1602" t="s">
        <v>2806</v>
      </c>
      <c r="BI14" s="1602" t="s">
        <v>2849</v>
      </c>
      <c r="BJ14" s="1602" t="s">
        <v>3002</v>
      </c>
      <c r="BK14" s="1602" t="s">
        <v>1780</v>
      </c>
      <c r="BL14" s="1602" t="s">
        <v>2352</v>
      </c>
      <c r="BM14" s="1602" t="s">
        <v>2999</v>
      </c>
      <c r="BN14" s="663" t="s">
        <v>303</v>
      </c>
      <c r="BO14" s="1230" t="s">
        <v>789</v>
      </c>
    </row>
    <row r="15" spans="1:67" ht="11.45" customHeight="1">
      <c r="A15" s="664" t="s">
        <v>471</v>
      </c>
      <c r="B15" s="665" t="s">
        <v>790</v>
      </c>
      <c r="C15" s="1603" t="s">
        <v>3001</v>
      </c>
      <c r="D15" s="1603" t="s">
        <v>2795</v>
      </c>
      <c r="E15" s="1603" t="s">
        <v>2965</v>
      </c>
      <c r="F15" s="1603" t="s">
        <v>2804</v>
      </c>
      <c r="G15" s="1603" t="s">
        <v>2415</v>
      </c>
      <c r="H15" s="1603" t="s">
        <v>2965</v>
      </c>
      <c r="I15" s="1603" t="s">
        <v>3014</v>
      </c>
      <c r="J15" s="1603" t="s">
        <v>2806</v>
      </c>
      <c r="K15" s="1603" t="s">
        <v>2965</v>
      </c>
      <c r="L15" s="1603" t="s">
        <v>3015</v>
      </c>
      <c r="M15" s="1603" t="s">
        <v>2095</v>
      </c>
      <c r="N15" s="1603" t="s">
        <v>2801</v>
      </c>
      <c r="O15" s="1603" t="s">
        <v>2795</v>
      </c>
      <c r="P15" s="1603" t="s">
        <v>2766</v>
      </c>
      <c r="Q15" s="1603" t="s">
        <v>3005</v>
      </c>
      <c r="R15" s="1603" t="s">
        <v>2795</v>
      </c>
      <c r="S15" s="976" t="s">
        <v>471</v>
      </c>
      <c r="T15" s="665" t="s">
        <v>790</v>
      </c>
      <c r="U15" s="664" t="s">
        <v>471</v>
      </c>
      <c r="V15" s="665" t="s">
        <v>790</v>
      </c>
      <c r="W15" s="1603" t="s">
        <v>2851</v>
      </c>
      <c r="X15" s="1603" t="s">
        <v>2804</v>
      </c>
      <c r="Y15" s="1603" t="s">
        <v>2854</v>
      </c>
      <c r="Z15" s="1603" t="s">
        <v>2446</v>
      </c>
      <c r="AA15" s="1603" t="s">
        <v>2965</v>
      </c>
      <c r="AB15" s="1603" t="s">
        <v>3007</v>
      </c>
      <c r="AC15" s="1603" t="s">
        <v>2817</v>
      </c>
      <c r="AD15" s="1603" t="s">
        <v>3002</v>
      </c>
      <c r="AE15" s="1603" t="s">
        <v>2684</v>
      </c>
      <c r="AF15" s="1603" t="s">
        <v>2965</v>
      </c>
      <c r="AG15" s="1603" t="s">
        <v>3011</v>
      </c>
      <c r="AH15" s="1603" t="s">
        <v>3002</v>
      </c>
      <c r="AI15" s="664" t="s">
        <v>471</v>
      </c>
      <c r="AJ15" s="665" t="s">
        <v>790</v>
      </c>
      <c r="AK15" s="664" t="s">
        <v>471</v>
      </c>
      <c r="AL15" s="665" t="s">
        <v>790</v>
      </c>
      <c r="AM15" s="1603" t="s">
        <v>2236</v>
      </c>
      <c r="AN15" s="1603" t="s">
        <v>2835</v>
      </c>
      <c r="AO15" s="1603" t="s">
        <v>2877</v>
      </c>
      <c r="AP15" s="1603" t="s">
        <v>3016</v>
      </c>
      <c r="AQ15" s="1603" t="s">
        <v>3002</v>
      </c>
      <c r="AR15" s="1603" t="s">
        <v>3017</v>
      </c>
      <c r="AS15" s="1603" t="s">
        <v>2965</v>
      </c>
      <c r="AT15" s="1603" t="s">
        <v>2797</v>
      </c>
      <c r="AU15" s="1603" t="s">
        <v>2483</v>
      </c>
      <c r="AV15" s="1603" t="s">
        <v>3018</v>
      </c>
      <c r="AW15" s="1603" t="s">
        <v>3002</v>
      </c>
      <c r="AX15" s="1603" t="s">
        <v>2248</v>
      </c>
      <c r="AY15" s="1603" t="s">
        <v>3011</v>
      </c>
      <c r="AZ15" s="1603" t="s">
        <v>3012</v>
      </c>
      <c r="BA15" s="664" t="s">
        <v>471</v>
      </c>
      <c r="BB15" s="665" t="s">
        <v>790</v>
      </c>
      <c r="BC15" s="664" t="s">
        <v>471</v>
      </c>
      <c r="BD15" s="665" t="s">
        <v>790</v>
      </c>
      <c r="BE15" s="1603" t="s">
        <v>2742</v>
      </c>
      <c r="BF15" s="1603" t="s">
        <v>3019</v>
      </c>
      <c r="BG15" s="1603" t="s">
        <v>2878</v>
      </c>
      <c r="BH15" s="1603" t="s">
        <v>2798</v>
      </c>
      <c r="BI15" s="1603" t="s">
        <v>2792</v>
      </c>
      <c r="BJ15" s="1603" t="s">
        <v>3002</v>
      </c>
      <c r="BK15" s="1603" t="s">
        <v>2239</v>
      </c>
      <c r="BL15" s="1603" t="s">
        <v>2352</v>
      </c>
      <c r="BM15" s="1603" t="s">
        <v>2999</v>
      </c>
      <c r="BN15" s="664" t="s">
        <v>471</v>
      </c>
      <c r="BO15" s="665" t="s">
        <v>790</v>
      </c>
    </row>
    <row r="16" spans="1:67" ht="11.45" customHeight="1">
      <c r="A16" s="663" t="s">
        <v>295</v>
      </c>
      <c r="B16" s="1230" t="s">
        <v>791</v>
      </c>
      <c r="C16" s="1602" t="s">
        <v>3020</v>
      </c>
      <c r="D16" s="1602" t="s">
        <v>2795</v>
      </c>
      <c r="E16" s="1602" t="s">
        <v>2798</v>
      </c>
      <c r="F16" s="1602" t="s">
        <v>2799</v>
      </c>
      <c r="G16" s="1602" t="s">
        <v>2350</v>
      </c>
      <c r="H16" s="1602" t="s">
        <v>2795</v>
      </c>
      <c r="I16" s="1602" t="s">
        <v>2798</v>
      </c>
      <c r="J16" s="1602" t="s">
        <v>2799</v>
      </c>
      <c r="K16" s="1602" t="s">
        <v>3002</v>
      </c>
      <c r="L16" s="1602" t="s">
        <v>3021</v>
      </c>
      <c r="M16" s="1602" t="s">
        <v>2469</v>
      </c>
      <c r="N16" s="1602" t="s">
        <v>2801</v>
      </c>
      <c r="O16" s="1602" t="s">
        <v>2795</v>
      </c>
      <c r="P16" s="1602" t="s">
        <v>3022</v>
      </c>
      <c r="Q16" s="1602" t="s">
        <v>2743</v>
      </c>
      <c r="R16" s="1602" t="s">
        <v>2794</v>
      </c>
      <c r="S16" s="977" t="s">
        <v>295</v>
      </c>
      <c r="T16" s="1230" t="s">
        <v>791</v>
      </c>
      <c r="U16" s="663" t="s">
        <v>295</v>
      </c>
      <c r="V16" s="1230" t="s">
        <v>791</v>
      </c>
      <c r="W16" s="1602" t="s">
        <v>3023</v>
      </c>
      <c r="X16" s="1602" t="s">
        <v>2804</v>
      </c>
      <c r="Y16" s="1602" t="s">
        <v>2855</v>
      </c>
      <c r="Z16" s="1602" t="s">
        <v>2744</v>
      </c>
      <c r="AA16" s="1602" t="s">
        <v>2797</v>
      </c>
      <c r="AB16" s="1602" t="s">
        <v>2879</v>
      </c>
      <c r="AC16" s="1602" t="s">
        <v>2812</v>
      </c>
      <c r="AD16" s="1602" t="s">
        <v>2856</v>
      </c>
      <c r="AE16" s="1602" t="s">
        <v>2684</v>
      </c>
      <c r="AF16" s="1602" t="s">
        <v>2813</v>
      </c>
      <c r="AG16" s="1602" t="s">
        <v>1300</v>
      </c>
      <c r="AH16" s="1602" t="s">
        <v>2880</v>
      </c>
      <c r="AI16" s="663" t="s">
        <v>295</v>
      </c>
      <c r="AJ16" s="1230" t="s">
        <v>791</v>
      </c>
      <c r="AK16" s="663" t="s">
        <v>295</v>
      </c>
      <c r="AL16" s="1230" t="s">
        <v>791</v>
      </c>
      <c r="AM16" s="1602" t="s">
        <v>2881</v>
      </c>
      <c r="AN16" s="1602" t="s">
        <v>2716</v>
      </c>
      <c r="AO16" s="1602" t="s">
        <v>2800</v>
      </c>
      <c r="AP16" s="1602" t="s">
        <v>3024</v>
      </c>
      <c r="AQ16" s="1602" t="s">
        <v>2857</v>
      </c>
      <c r="AR16" s="1602" t="s">
        <v>2745</v>
      </c>
      <c r="AS16" s="1602" t="s">
        <v>3012</v>
      </c>
      <c r="AT16" s="1602" t="s">
        <v>3025</v>
      </c>
      <c r="AU16" s="1602" t="s">
        <v>2482</v>
      </c>
      <c r="AV16" s="1602" t="s">
        <v>3026</v>
      </c>
      <c r="AW16" s="1602" t="s">
        <v>2541</v>
      </c>
      <c r="AX16" s="1602" t="s">
        <v>2351</v>
      </c>
      <c r="AY16" s="1602" t="s">
        <v>2834</v>
      </c>
      <c r="AZ16" s="1602" t="s">
        <v>3012</v>
      </c>
      <c r="BA16" s="663" t="s">
        <v>295</v>
      </c>
      <c r="BB16" s="1230" t="s">
        <v>791</v>
      </c>
      <c r="BC16" s="663" t="s">
        <v>295</v>
      </c>
      <c r="BD16" s="1230" t="s">
        <v>791</v>
      </c>
      <c r="BE16" s="1602" t="s">
        <v>2746</v>
      </c>
      <c r="BF16" s="1602" t="s">
        <v>3027</v>
      </c>
      <c r="BG16" s="1602" t="s">
        <v>2882</v>
      </c>
      <c r="BH16" s="1602" t="s">
        <v>2798</v>
      </c>
      <c r="BI16" s="1602" t="s">
        <v>3028</v>
      </c>
      <c r="BJ16" s="1602" t="s">
        <v>3029</v>
      </c>
      <c r="BK16" s="1602" t="s">
        <v>2765</v>
      </c>
      <c r="BL16" s="1602" t="s">
        <v>3030</v>
      </c>
      <c r="BM16" s="1602" t="s">
        <v>2858</v>
      </c>
      <c r="BN16" s="663" t="s">
        <v>295</v>
      </c>
      <c r="BO16" s="1230" t="s">
        <v>791</v>
      </c>
    </row>
    <row r="17" spans="1:67" ht="11.45" customHeight="1">
      <c r="A17" s="664" t="s">
        <v>296</v>
      </c>
      <c r="B17" s="665" t="s">
        <v>792</v>
      </c>
      <c r="C17" s="1603" t="s">
        <v>3031</v>
      </c>
      <c r="D17" s="1603" t="s">
        <v>2803</v>
      </c>
      <c r="E17" s="1603" t="s">
        <v>2798</v>
      </c>
      <c r="F17" s="1603" t="s">
        <v>2795</v>
      </c>
      <c r="G17" s="1603" t="s">
        <v>2446</v>
      </c>
      <c r="H17" s="1603" t="s">
        <v>2804</v>
      </c>
      <c r="I17" s="1603" t="s">
        <v>2795</v>
      </c>
      <c r="J17" s="1603" t="s">
        <v>2795</v>
      </c>
      <c r="K17" s="1603" t="s">
        <v>2965</v>
      </c>
      <c r="L17" s="1603" t="s">
        <v>3032</v>
      </c>
      <c r="M17" s="1603" t="s">
        <v>2481</v>
      </c>
      <c r="N17" s="1603" t="s">
        <v>2801</v>
      </c>
      <c r="O17" s="1603" t="s">
        <v>2795</v>
      </c>
      <c r="P17" s="1603" t="s">
        <v>2362</v>
      </c>
      <c r="Q17" s="1603" t="s">
        <v>2666</v>
      </c>
      <c r="R17" s="1603" t="s">
        <v>2799</v>
      </c>
      <c r="S17" s="976" t="s">
        <v>296</v>
      </c>
      <c r="T17" s="665" t="s">
        <v>792</v>
      </c>
      <c r="U17" s="664" t="s">
        <v>296</v>
      </c>
      <c r="V17" s="665" t="s">
        <v>792</v>
      </c>
      <c r="W17" s="1603" t="s">
        <v>3033</v>
      </c>
      <c r="X17" s="1603" t="s">
        <v>2806</v>
      </c>
      <c r="Y17" s="1603" t="s">
        <v>2859</v>
      </c>
      <c r="Z17" s="1603" t="s">
        <v>2747</v>
      </c>
      <c r="AA17" s="1603" t="s">
        <v>3034</v>
      </c>
      <c r="AB17" s="1603" t="s">
        <v>3035</v>
      </c>
      <c r="AC17" s="1603" t="s">
        <v>2814</v>
      </c>
      <c r="AD17" s="1603" t="s">
        <v>3036</v>
      </c>
      <c r="AE17" s="1603" t="s">
        <v>2815</v>
      </c>
      <c r="AF17" s="1603" t="s">
        <v>2806</v>
      </c>
      <c r="AG17" s="1603" t="s">
        <v>2795</v>
      </c>
      <c r="AH17" s="1603" t="s">
        <v>2795</v>
      </c>
      <c r="AI17" s="664" t="s">
        <v>296</v>
      </c>
      <c r="AJ17" s="665" t="s">
        <v>792</v>
      </c>
      <c r="AK17" s="664" t="s">
        <v>296</v>
      </c>
      <c r="AL17" s="665" t="s">
        <v>792</v>
      </c>
      <c r="AM17" s="1603" t="s">
        <v>2881</v>
      </c>
      <c r="AN17" s="1603" t="s">
        <v>2835</v>
      </c>
      <c r="AO17" s="1603" t="s">
        <v>2883</v>
      </c>
      <c r="AP17" s="1603" t="s">
        <v>3037</v>
      </c>
      <c r="AQ17" s="1603" t="s">
        <v>3038</v>
      </c>
      <c r="AR17" s="1603" t="s">
        <v>2780</v>
      </c>
      <c r="AS17" s="1603" t="s">
        <v>2860</v>
      </c>
      <c r="AT17" s="1603" t="s">
        <v>3039</v>
      </c>
      <c r="AU17" s="1603" t="s">
        <v>1300</v>
      </c>
      <c r="AV17" s="1603" t="s">
        <v>3040</v>
      </c>
      <c r="AW17" s="1603" t="s">
        <v>3006</v>
      </c>
      <c r="AX17" s="1603" t="s">
        <v>2453</v>
      </c>
      <c r="AY17" s="1603" t="s">
        <v>2805</v>
      </c>
      <c r="AZ17" s="1603" t="s">
        <v>3012</v>
      </c>
      <c r="BA17" s="664" t="s">
        <v>296</v>
      </c>
      <c r="BB17" s="665" t="s">
        <v>792</v>
      </c>
      <c r="BC17" s="664" t="s">
        <v>296</v>
      </c>
      <c r="BD17" s="665" t="s">
        <v>792</v>
      </c>
      <c r="BE17" s="1603" t="s">
        <v>3041</v>
      </c>
      <c r="BF17" s="1603" t="s">
        <v>3042</v>
      </c>
      <c r="BG17" s="1603" t="s">
        <v>2472</v>
      </c>
      <c r="BH17" s="1603" t="s">
        <v>3006</v>
      </c>
      <c r="BI17" s="1603" t="s">
        <v>3028</v>
      </c>
      <c r="BJ17" s="1603" t="s">
        <v>2794</v>
      </c>
      <c r="BK17" s="1603" t="s">
        <v>2705</v>
      </c>
      <c r="BL17" s="1603" t="s">
        <v>2706</v>
      </c>
      <c r="BM17" s="1603" t="s">
        <v>2821</v>
      </c>
      <c r="BN17" s="664" t="s">
        <v>296</v>
      </c>
      <c r="BO17" s="665" t="s">
        <v>792</v>
      </c>
    </row>
    <row r="18" spans="1:67" ht="11.45" customHeight="1">
      <c r="A18" s="663" t="s">
        <v>301</v>
      </c>
      <c r="B18" s="1230" t="s">
        <v>793</v>
      </c>
      <c r="C18" s="1602" t="s">
        <v>3043</v>
      </c>
      <c r="D18" s="1602" t="s">
        <v>2795</v>
      </c>
      <c r="E18" s="1602" t="s">
        <v>2798</v>
      </c>
      <c r="F18" s="1602" t="s">
        <v>2804</v>
      </c>
      <c r="G18" s="1602" t="s">
        <v>2447</v>
      </c>
      <c r="H18" s="1602" t="s">
        <v>2806</v>
      </c>
      <c r="I18" s="1602" t="s">
        <v>2804</v>
      </c>
      <c r="J18" s="1602" t="s">
        <v>3044</v>
      </c>
      <c r="K18" s="1602" t="s">
        <v>2781</v>
      </c>
      <c r="L18" s="1602" t="s">
        <v>3045</v>
      </c>
      <c r="M18" s="1602" t="s">
        <v>2470</v>
      </c>
      <c r="N18" s="1602" t="s">
        <v>2801</v>
      </c>
      <c r="O18" s="1602" t="s">
        <v>2795</v>
      </c>
      <c r="P18" s="1602" t="s">
        <v>2766</v>
      </c>
      <c r="Q18" s="1602" t="s">
        <v>3005</v>
      </c>
      <c r="R18" s="1602" t="s">
        <v>3046</v>
      </c>
      <c r="S18" s="977" t="s">
        <v>301</v>
      </c>
      <c r="T18" s="1230" t="s">
        <v>793</v>
      </c>
      <c r="U18" s="663" t="s">
        <v>301</v>
      </c>
      <c r="V18" s="1230" t="s">
        <v>793</v>
      </c>
      <c r="W18" s="1602" t="s">
        <v>3047</v>
      </c>
      <c r="X18" s="1602" t="s">
        <v>2802</v>
      </c>
      <c r="Y18" s="1602" t="s">
        <v>2861</v>
      </c>
      <c r="Z18" s="1602" t="s">
        <v>2748</v>
      </c>
      <c r="AA18" s="1602" t="s">
        <v>2816</v>
      </c>
      <c r="AB18" s="1602" t="s">
        <v>2879</v>
      </c>
      <c r="AC18" s="1602" t="s">
        <v>2817</v>
      </c>
      <c r="AD18" s="1602" t="s">
        <v>2781</v>
      </c>
      <c r="AE18" s="1602" t="s">
        <v>2684</v>
      </c>
      <c r="AF18" s="1602" t="s">
        <v>2805</v>
      </c>
      <c r="AG18" s="1602" t="s">
        <v>2805</v>
      </c>
      <c r="AH18" s="1602" t="s">
        <v>2795</v>
      </c>
      <c r="AI18" s="663" t="s">
        <v>301</v>
      </c>
      <c r="AJ18" s="1230" t="s">
        <v>793</v>
      </c>
      <c r="AK18" s="663" t="s">
        <v>301</v>
      </c>
      <c r="AL18" s="1230" t="s">
        <v>793</v>
      </c>
      <c r="AM18" s="1602" t="s">
        <v>2884</v>
      </c>
      <c r="AN18" s="1602" t="s">
        <v>2835</v>
      </c>
      <c r="AO18" s="1602" t="s">
        <v>3048</v>
      </c>
      <c r="AP18" s="1602" t="s">
        <v>2885</v>
      </c>
      <c r="AQ18" s="1602" t="s">
        <v>3049</v>
      </c>
      <c r="AR18" s="1602" t="s">
        <v>3050</v>
      </c>
      <c r="AS18" s="1602" t="s">
        <v>2816</v>
      </c>
      <c r="AT18" s="1602" t="s">
        <v>3051</v>
      </c>
      <c r="AU18" s="1602" t="s">
        <v>2483</v>
      </c>
      <c r="AV18" s="1602" t="s">
        <v>3052</v>
      </c>
      <c r="AW18" s="1602" t="s">
        <v>3049</v>
      </c>
      <c r="AX18" s="1602" t="s">
        <v>2685</v>
      </c>
      <c r="AY18" s="1602" t="s">
        <v>2798</v>
      </c>
      <c r="AZ18" s="1602" t="s">
        <v>3012</v>
      </c>
      <c r="BA18" s="663" t="s">
        <v>301</v>
      </c>
      <c r="BB18" s="1230" t="s">
        <v>793</v>
      </c>
      <c r="BC18" s="663" t="s">
        <v>301</v>
      </c>
      <c r="BD18" s="1230" t="s">
        <v>793</v>
      </c>
      <c r="BE18" s="1602" t="s">
        <v>2749</v>
      </c>
      <c r="BF18" s="1602" t="s">
        <v>3053</v>
      </c>
      <c r="BG18" s="1602" t="s">
        <v>2878</v>
      </c>
      <c r="BH18" s="1602" t="s">
        <v>2805</v>
      </c>
      <c r="BI18" s="1602" t="s">
        <v>2455</v>
      </c>
      <c r="BJ18" s="1602" t="s">
        <v>2829</v>
      </c>
      <c r="BK18" s="1602" t="s">
        <v>2238</v>
      </c>
      <c r="BL18" s="1602" t="s">
        <v>2706</v>
      </c>
      <c r="BM18" s="1602" t="s">
        <v>2811</v>
      </c>
      <c r="BN18" s="663" t="s">
        <v>301</v>
      </c>
      <c r="BO18" s="1230" t="s">
        <v>793</v>
      </c>
    </row>
    <row r="19" spans="1:67" ht="11.45" customHeight="1">
      <c r="A19" s="2535" t="s">
        <v>146</v>
      </c>
      <c r="B19" s="2535"/>
      <c r="C19" s="1517"/>
      <c r="D19" s="1517"/>
      <c r="E19" s="1517"/>
      <c r="F19" s="1517"/>
      <c r="G19" s="1517"/>
      <c r="H19" s="1517"/>
      <c r="I19" s="1517"/>
      <c r="J19" s="1517"/>
      <c r="K19" s="1517"/>
      <c r="L19" s="1517"/>
      <c r="M19" s="1517"/>
      <c r="N19" s="1517"/>
      <c r="O19" s="1517"/>
      <c r="P19" s="1517" t="s">
        <v>132</v>
      </c>
      <c r="Q19" s="1517"/>
      <c r="R19" s="1517"/>
      <c r="S19" s="2535" t="s">
        <v>146</v>
      </c>
      <c r="T19" s="2535"/>
      <c r="U19" s="2535" t="s">
        <v>146</v>
      </c>
      <c r="V19" s="2535"/>
      <c r="W19" s="1517"/>
      <c r="X19" s="1517"/>
      <c r="Y19" s="1517"/>
      <c r="Z19" s="1517"/>
      <c r="AA19" s="1517"/>
      <c r="AB19" s="1517"/>
      <c r="AC19" s="1517"/>
      <c r="AD19" s="1517"/>
      <c r="AE19" s="1517"/>
      <c r="AF19" s="1517"/>
      <c r="AG19" s="1517"/>
      <c r="AH19" s="1517"/>
      <c r="AI19" s="2535" t="s">
        <v>146</v>
      </c>
      <c r="AJ19" s="2535"/>
      <c r="AK19" s="2535" t="s">
        <v>146</v>
      </c>
      <c r="AL19" s="2535"/>
      <c r="AM19" s="1517"/>
      <c r="AN19" s="1517"/>
      <c r="AO19" s="1517"/>
      <c r="AP19" s="1517"/>
      <c r="AQ19" s="1517"/>
      <c r="AR19" s="1517"/>
      <c r="AS19" s="1517"/>
      <c r="AT19" s="1517"/>
      <c r="AU19" s="1517"/>
      <c r="AV19" s="1517"/>
      <c r="AW19" s="1517"/>
      <c r="AX19" s="1517"/>
      <c r="AY19" s="1517"/>
      <c r="AZ19" s="1517"/>
      <c r="BA19" s="2535" t="s">
        <v>146</v>
      </c>
      <c r="BB19" s="2535"/>
      <c r="BC19" s="2535" t="s">
        <v>146</v>
      </c>
      <c r="BD19" s="2535"/>
      <c r="BE19" s="1517"/>
      <c r="BF19" s="1517"/>
      <c r="BG19" s="1517"/>
      <c r="BH19" s="1517"/>
      <c r="BI19" s="1517"/>
      <c r="BJ19" s="1517"/>
      <c r="BK19" s="1517"/>
      <c r="BL19" s="1517"/>
      <c r="BM19" s="1517"/>
      <c r="BN19" s="2535" t="s">
        <v>146</v>
      </c>
      <c r="BO19" s="2535"/>
    </row>
    <row r="20" spans="1:67" ht="11.45" customHeight="1">
      <c r="A20" s="2536" t="s">
        <v>147</v>
      </c>
      <c r="B20" s="2536"/>
      <c r="C20" s="1518"/>
      <c r="D20" s="1518"/>
      <c r="E20" s="1518"/>
      <c r="F20" s="1518"/>
      <c r="G20" s="1518"/>
      <c r="H20" s="1518"/>
      <c r="I20" s="1518"/>
      <c r="J20" s="1518"/>
      <c r="K20" s="1518"/>
      <c r="L20" s="1518"/>
      <c r="M20" s="1518"/>
      <c r="N20" s="1518"/>
      <c r="O20" s="1518"/>
      <c r="P20" s="1518"/>
      <c r="Q20" s="1518"/>
      <c r="R20" s="1518"/>
      <c r="S20" s="2536" t="s">
        <v>147</v>
      </c>
      <c r="T20" s="2536"/>
      <c r="U20" s="2536" t="s">
        <v>147</v>
      </c>
      <c r="V20" s="2536"/>
      <c r="W20" s="1518"/>
      <c r="X20" s="1518"/>
      <c r="Y20" s="1518"/>
      <c r="Z20" s="1518"/>
      <c r="AA20" s="1518"/>
      <c r="AB20" s="1518"/>
      <c r="AC20" s="1518"/>
      <c r="AD20" s="1518"/>
      <c r="AE20" s="1518"/>
      <c r="AF20" s="1518"/>
      <c r="AG20" s="1518"/>
      <c r="AH20" s="1518"/>
      <c r="AI20" s="2536" t="s">
        <v>147</v>
      </c>
      <c r="AJ20" s="2536"/>
      <c r="AK20" s="2536" t="s">
        <v>147</v>
      </c>
      <c r="AL20" s="2536"/>
      <c r="AM20" s="1518"/>
      <c r="AN20" s="1518"/>
      <c r="AO20" s="1518"/>
      <c r="AP20" s="1518"/>
      <c r="AQ20" s="1518"/>
      <c r="AR20" s="1518"/>
      <c r="AS20" s="1518"/>
      <c r="AT20" s="1518"/>
      <c r="AU20" s="1518"/>
      <c r="AV20" s="1518"/>
      <c r="AW20" s="1518"/>
      <c r="AX20" s="1518"/>
      <c r="AY20" s="1518"/>
      <c r="AZ20" s="1518"/>
      <c r="BA20" s="2536" t="s">
        <v>147</v>
      </c>
      <c r="BB20" s="2536"/>
      <c r="BC20" s="2536" t="s">
        <v>147</v>
      </c>
      <c r="BD20" s="2536"/>
      <c r="BE20" s="1518"/>
      <c r="BF20" s="1518"/>
      <c r="BG20" s="1518"/>
      <c r="BH20" s="1518"/>
      <c r="BI20" s="1518"/>
      <c r="BJ20" s="1518"/>
      <c r="BK20" s="1518"/>
      <c r="BL20" s="1518"/>
      <c r="BM20" s="1518"/>
      <c r="BN20" s="2536" t="s">
        <v>147</v>
      </c>
      <c r="BO20" s="2536"/>
    </row>
    <row r="21" spans="1:67" ht="11.45" customHeight="1">
      <c r="A21" s="666"/>
      <c r="B21" s="280" t="s">
        <v>148</v>
      </c>
      <c r="C21" s="1517" t="s">
        <v>2554</v>
      </c>
      <c r="D21" s="1517" t="s">
        <v>2931</v>
      </c>
      <c r="E21" s="1517" t="s">
        <v>2591</v>
      </c>
      <c r="F21" s="1517" t="s">
        <v>2836</v>
      </c>
      <c r="G21" s="1517" t="s">
        <v>2473</v>
      </c>
      <c r="H21" s="1517" t="s">
        <v>2645</v>
      </c>
      <c r="I21" s="1517" t="s">
        <v>2932</v>
      </c>
      <c r="J21" s="1517" t="s">
        <v>2933</v>
      </c>
      <c r="K21" s="1517" t="s">
        <v>52</v>
      </c>
      <c r="L21" s="1517" t="s">
        <v>3054</v>
      </c>
      <c r="M21" s="1517" t="s">
        <v>2401</v>
      </c>
      <c r="N21" s="1517" t="s">
        <v>2934</v>
      </c>
      <c r="O21" s="1517" t="s">
        <v>2475</v>
      </c>
      <c r="P21" s="1517" t="s">
        <v>2935</v>
      </c>
      <c r="Q21" s="1517" t="s">
        <v>2401</v>
      </c>
      <c r="R21" s="1517" t="s">
        <v>2401</v>
      </c>
      <c r="S21" s="970"/>
      <c r="T21" s="280" t="s">
        <v>148</v>
      </c>
      <c r="U21" s="618"/>
      <c r="V21" s="280" t="s">
        <v>148</v>
      </c>
      <c r="W21" s="1517" t="s">
        <v>2403</v>
      </c>
      <c r="X21" s="1517" t="s">
        <v>2404</v>
      </c>
      <c r="Y21" s="1517" t="s">
        <v>2410</v>
      </c>
      <c r="Z21" s="1517" t="s">
        <v>2404</v>
      </c>
      <c r="AA21" s="1517" t="s">
        <v>2722</v>
      </c>
      <c r="AB21" s="1517" t="s">
        <v>2403</v>
      </c>
      <c r="AC21" s="1517" t="s">
        <v>2418</v>
      </c>
      <c r="AD21" s="1517" t="s">
        <v>2405</v>
      </c>
      <c r="AE21" s="1517" t="s">
        <v>2709</v>
      </c>
      <c r="AF21" s="1517" t="s">
        <v>2476</v>
      </c>
      <c r="AG21" s="1517" t="s">
        <v>2614</v>
      </c>
      <c r="AH21" s="1517" t="s">
        <v>2935</v>
      </c>
      <c r="AI21" s="618"/>
      <c r="AJ21" s="280" t="s">
        <v>148</v>
      </c>
      <c r="AK21" s="618"/>
      <c r="AL21" s="280" t="s">
        <v>148</v>
      </c>
      <c r="AM21" s="1517" t="s">
        <v>2401</v>
      </c>
      <c r="AN21" s="1517" t="s">
        <v>2936</v>
      </c>
      <c r="AO21" s="1517" t="s">
        <v>2401</v>
      </c>
      <c r="AP21" s="1517" t="s">
        <v>2404</v>
      </c>
      <c r="AQ21" s="1517" t="s">
        <v>2405</v>
      </c>
      <c r="AR21" s="1517" t="s">
        <v>2572</v>
      </c>
      <c r="AS21" s="1517" t="s">
        <v>2409</v>
      </c>
      <c r="AT21" s="1517" t="s">
        <v>2401</v>
      </c>
      <c r="AU21" s="1517" t="s">
        <v>2476</v>
      </c>
      <c r="AV21" s="1517" t="s">
        <v>2403</v>
      </c>
      <c r="AW21" s="1517" t="s">
        <v>2404</v>
      </c>
      <c r="AX21" s="1517" t="s">
        <v>2404</v>
      </c>
      <c r="AY21" s="1517" t="s">
        <v>2405</v>
      </c>
      <c r="AZ21" s="1517" t="s">
        <v>2401</v>
      </c>
      <c r="BA21" s="618"/>
      <c r="BB21" s="280" t="s">
        <v>148</v>
      </c>
      <c r="BC21" s="618"/>
      <c r="BD21" s="280" t="s">
        <v>148</v>
      </c>
      <c r="BE21" s="1517" t="s">
        <v>2404</v>
      </c>
      <c r="BF21" s="1517" t="s">
        <v>2449</v>
      </c>
      <c r="BG21" s="1517" t="s">
        <v>2615</v>
      </c>
      <c r="BH21" s="1517" t="s">
        <v>2767</v>
      </c>
      <c r="BI21" s="1517" t="s">
        <v>1300</v>
      </c>
      <c r="BJ21" s="1517" t="s">
        <v>2451</v>
      </c>
      <c r="BK21" s="1517" t="s">
        <v>2449</v>
      </c>
      <c r="BL21" s="1517" t="s">
        <v>2449</v>
      </c>
      <c r="BM21" s="1517" t="s">
        <v>2837</v>
      </c>
      <c r="BN21" s="618"/>
      <c r="BO21" s="280" t="s">
        <v>148</v>
      </c>
    </row>
    <row r="22" spans="1:67" ht="11.45" customHeight="1">
      <c r="A22" s="1736"/>
      <c r="B22" s="667" t="s">
        <v>149</v>
      </c>
      <c r="C22" s="1519" t="s">
        <v>52</v>
      </c>
      <c r="D22" s="1519" t="s">
        <v>52</v>
      </c>
      <c r="E22" s="1519" t="s">
        <v>52</v>
      </c>
      <c r="F22" s="1519" t="s">
        <v>52</v>
      </c>
      <c r="G22" s="1519" t="s">
        <v>52</v>
      </c>
      <c r="H22" s="1519" t="s">
        <v>52</v>
      </c>
      <c r="I22" s="1519" t="s">
        <v>52</v>
      </c>
      <c r="J22" s="1519" t="s">
        <v>52</v>
      </c>
      <c r="K22" s="1519" t="s">
        <v>52</v>
      </c>
      <c r="L22" s="1519" t="s">
        <v>52</v>
      </c>
      <c r="M22" s="1519" t="s">
        <v>52</v>
      </c>
      <c r="N22" s="1519" t="s">
        <v>52</v>
      </c>
      <c r="O22" s="1519" t="s">
        <v>2404</v>
      </c>
      <c r="P22" s="1519">
        <v>0</v>
      </c>
      <c r="Q22" s="1519" t="s">
        <v>52</v>
      </c>
      <c r="R22" s="1519">
        <v>0</v>
      </c>
      <c r="S22" s="971"/>
      <c r="T22" s="667" t="s">
        <v>149</v>
      </c>
      <c r="V22" s="667" t="s">
        <v>149</v>
      </c>
      <c r="W22" s="1519" t="s">
        <v>52</v>
      </c>
      <c r="X22" s="1519" t="s">
        <v>52</v>
      </c>
      <c r="Y22" s="1519" t="s">
        <v>52</v>
      </c>
      <c r="Z22" s="1519" t="s">
        <v>52</v>
      </c>
      <c r="AA22" s="1519" t="s">
        <v>52</v>
      </c>
      <c r="AB22" s="1519" t="s">
        <v>2411</v>
      </c>
      <c r="AC22" s="1519" t="s">
        <v>2418</v>
      </c>
      <c r="AD22" s="1519" t="s">
        <v>52</v>
      </c>
      <c r="AE22" s="1519" t="s">
        <v>52</v>
      </c>
      <c r="AF22" s="1519" t="s">
        <v>2476</v>
      </c>
      <c r="AG22" s="1519" t="s">
        <v>52</v>
      </c>
      <c r="AH22" s="1519" t="s">
        <v>52</v>
      </c>
      <c r="AJ22" s="667" t="s">
        <v>149</v>
      </c>
      <c r="AL22" s="667" t="s">
        <v>149</v>
      </c>
      <c r="AM22" s="1519" t="s">
        <v>52</v>
      </c>
      <c r="AN22" s="1519" t="s">
        <v>52</v>
      </c>
      <c r="AO22" s="1519" t="s">
        <v>2409</v>
      </c>
      <c r="AP22" s="1519" t="s">
        <v>52</v>
      </c>
      <c r="AQ22" s="1519" t="s">
        <v>52</v>
      </c>
      <c r="AR22" s="1519" t="s">
        <v>52</v>
      </c>
      <c r="AS22" s="1519" t="s">
        <v>52</v>
      </c>
      <c r="AT22" s="1519" t="s">
        <v>52</v>
      </c>
      <c r="AU22" s="1519" t="s">
        <v>52</v>
      </c>
      <c r="AV22" s="1519" t="s">
        <v>52</v>
      </c>
      <c r="AW22" s="1519" t="s">
        <v>52</v>
      </c>
      <c r="AX22" s="1519" t="s">
        <v>52</v>
      </c>
      <c r="AY22" s="1519" t="s">
        <v>52</v>
      </c>
      <c r="AZ22" s="1519" t="s">
        <v>52</v>
      </c>
      <c r="BB22" s="667" t="s">
        <v>149</v>
      </c>
      <c r="BD22" s="667" t="s">
        <v>149</v>
      </c>
      <c r="BE22" s="1519" t="s">
        <v>52</v>
      </c>
      <c r="BF22" s="1519" t="s">
        <v>52</v>
      </c>
      <c r="BG22" s="1519" t="s">
        <v>52</v>
      </c>
      <c r="BH22" s="1519" t="s">
        <v>52</v>
      </c>
      <c r="BI22" s="1519" t="s">
        <v>52</v>
      </c>
      <c r="BJ22" s="1519" t="s">
        <v>52</v>
      </c>
      <c r="BK22" s="1519" t="s">
        <v>52</v>
      </c>
      <c r="BL22" s="1519" t="s">
        <v>52</v>
      </c>
      <c r="BM22" s="1519" t="s">
        <v>52</v>
      </c>
      <c r="BO22" s="667" t="s">
        <v>149</v>
      </c>
    </row>
    <row r="23" spans="1:67" ht="22.5" customHeight="1">
      <c r="A23" s="2535" t="s">
        <v>155</v>
      </c>
      <c r="B23" s="2535"/>
      <c r="C23" s="1517"/>
      <c r="D23" s="1517"/>
      <c r="E23" s="1517"/>
      <c r="F23" s="1517"/>
      <c r="G23" s="1517"/>
      <c r="H23" s="1517"/>
      <c r="I23" s="1517"/>
      <c r="J23" s="1517"/>
      <c r="K23" s="1517"/>
      <c r="L23" s="1517"/>
      <c r="M23" s="1517"/>
      <c r="N23" s="1517"/>
      <c r="O23" s="1517"/>
      <c r="P23" s="1517"/>
      <c r="Q23" s="1517"/>
      <c r="R23" s="1517"/>
      <c r="S23" s="2535" t="s">
        <v>155</v>
      </c>
      <c r="T23" s="2535"/>
      <c r="U23" s="2535" t="s">
        <v>155</v>
      </c>
      <c r="V23" s="2535"/>
      <c r="W23" s="1517"/>
      <c r="X23" s="1517"/>
      <c r="Y23" s="1517"/>
      <c r="Z23" s="1517"/>
      <c r="AA23" s="1517"/>
      <c r="AB23" s="1517"/>
      <c r="AC23" s="1517"/>
      <c r="AD23" s="1517"/>
      <c r="AE23" s="1517"/>
      <c r="AF23" s="1517"/>
      <c r="AG23" s="1517"/>
      <c r="AH23" s="1517"/>
      <c r="AI23" s="2535" t="s">
        <v>155</v>
      </c>
      <c r="AJ23" s="2535"/>
      <c r="AK23" s="2535" t="s">
        <v>155</v>
      </c>
      <c r="AL23" s="2535"/>
      <c r="AM23" s="1517"/>
      <c r="AN23" s="1517"/>
      <c r="AO23" s="1517"/>
      <c r="AP23" s="1517"/>
      <c r="AQ23" s="1517"/>
      <c r="AR23" s="1517"/>
      <c r="AS23" s="1517"/>
      <c r="AT23" s="1517"/>
      <c r="AU23" s="1517"/>
      <c r="AV23" s="1517"/>
      <c r="AW23" s="1517"/>
      <c r="AX23" s="1517"/>
      <c r="AY23" s="1517"/>
      <c r="AZ23" s="1517"/>
      <c r="BA23" s="2535" t="s">
        <v>155</v>
      </c>
      <c r="BB23" s="2535"/>
      <c r="BC23" s="2535" t="s">
        <v>155</v>
      </c>
      <c r="BD23" s="2535"/>
      <c r="BE23" s="1517"/>
      <c r="BF23" s="1517"/>
      <c r="BG23" s="1517"/>
      <c r="BH23" s="1517"/>
      <c r="BI23" s="1517"/>
      <c r="BJ23" s="1517"/>
      <c r="BK23" s="1517"/>
      <c r="BL23" s="1517"/>
      <c r="BM23" s="1517"/>
      <c r="BN23" s="2535" t="s">
        <v>155</v>
      </c>
      <c r="BO23" s="2535"/>
    </row>
    <row r="24" spans="1:67" ht="11.45" customHeight="1">
      <c r="B24" s="667" t="s">
        <v>148</v>
      </c>
      <c r="C24" s="1518" t="s">
        <v>2937</v>
      </c>
      <c r="D24" s="1518" t="s">
        <v>2938</v>
      </c>
      <c r="E24" s="1518" t="s">
        <v>2806</v>
      </c>
      <c r="F24" s="1518" t="s">
        <v>2935</v>
      </c>
      <c r="G24" s="1518" t="s">
        <v>2474</v>
      </c>
      <c r="H24" s="1518" t="s">
        <v>2938</v>
      </c>
      <c r="I24" s="1518" t="s">
        <v>52</v>
      </c>
      <c r="J24" s="1518" t="s">
        <v>52</v>
      </c>
      <c r="K24" s="1518" t="s">
        <v>52</v>
      </c>
      <c r="L24" s="1518" t="s">
        <v>2753</v>
      </c>
      <c r="M24" s="1518" t="s">
        <v>2402</v>
      </c>
      <c r="N24" s="1518" t="s">
        <v>2413</v>
      </c>
      <c r="O24" s="1518" t="s">
        <v>2402</v>
      </c>
      <c r="P24" s="1518" t="s">
        <v>2934</v>
      </c>
      <c r="Q24" s="1518" t="s">
        <v>2402</v>
      </c>
      <c r="R24" s="1518" t="s">
        <v>2722</v>
      </c>
      <c r="S24" s="971"/>
      <c r="T24" s="667" t="s">
        <v>148</v>
      </c>
      <c r="V24" s="667" t="s">
        <v>148</v>
      </c>
      <c r="W24" s="1518" t="s">
        <v>2404</v>
      </c>
      <c r="X24" s="1518" t="s">
        <v>2921</v>
      </c>
      <c r="Y24" s="1518" t="s">
        <v>2862</v>
      </c>
      <c r="Z24" s="1518" t="s">
        <v>52</v>
      </c>
      <c r="AA24" s="1518" t="s">
        <v>2459</v>
      </c>
      <c r="AB24" s="1518" t="s">
        <v>2401</v>
      </c>
      <c r="AC24" s="1518" t="s">
        <v>2403</v>
      </c>
      <c r="AD24" s="1518" t="s">
        <v>2543</v>
      </c>
      <c r="AE24" s="1518" t="s">
        <v>2707</v>
      </c>
      <c r="AF24" s="1518" t="s">
        <v>2402</v>
      </c>
      <c r="AG24" s="1518" t="s">
        <v>2408</v>
      </c>
      <c r="AH24" s="1518" t="s">
        <v>2413</v>
      </c>
      <c r="AJ24" s="667" t="s">
        <v>148</v>
      </c>
      <c r="AL24" s="667" t="s">
        <v>148</v>
      </c>
      <c r="AM24" s="1518" t="s">
        <v>2402</v>
      </c>
      <c r="AN24" s="1518" t="s">
        <v>2769</v>
      </c>
      <c r="AO24" s="1518" t="s">
        <v>2403</v>
      </c>
      <c r="AP24" s="1518" t="s">
        <v>2838</v>
      </c>
      <c r="AQ24" s="1518" t="s">
        <v>2405</v>
      </c>
      <c r="AR24" s="1518" t="s">
        <v>2750</v>
      </c>
      <c r="AS24" s="1518" t="s">
        <v>2459</v>
      </c>
      <c r="AT24" s="1518" t="s">
        <v>2402</v>
      </c>
      <c r="AU24" s="1518" t="s">
        <v>2886</v>
      </c>
      <c r="AV24" s="1518" t="s">
        <v>2769</v>
      </c>
      <c r="AW24" s="1518" t="s">
        <v>2402</v>
      </c>
      <c r="AX24" s="1518" t="s">
        <v>2457</v>
      </c>
      <c r="AY24" s="1518" t="s">
        <v>2413</v>
      </c>
      <c r="AZ24" s="1518" t="s">
        <v>2720</v>
      </c>
      <c r="BB24" s="667" t="s">
        <v>148</v>
      </c>
      <c r="BD24" s="667" t="s">
        <v>148</v>
      </c>
      <c r="BE24" s="1518" t="s">
        <v>2406</v>
      </c>
      <c r="BF24" s="1518" t="s">
        <v>2449</v>
      </c>
      <c r="BG24" s="1518" t="s">
        <v>2838</v>
      </c>
      <c r="BH24" s="1518" t="s">
        <v>2770</v>
      </c>
      <c r="BI24" s="1518" t="s">
        <v>52</v>
      </c>
      <c r="BJ24" s="1518" t="s">
        <v>2411</v>
      </c>
      <c r="BK24" s="1518" t="s">
        <v>2418</v>
      </c>
      <c r="BL24" s="1518" t="s">
        <v>2403</v>
      </c>
      <c r="BM24" s="1518" t="s">
        <v>2932</v>
      </c>
      <c r="BO24" s="667" t="s">
        <v>148</v>
      </c>
    </row>
    <row r="25" spans="1:67" ht="11.45" customHeight="1">
      <c r="A25" s="618"/>
      <c r="B25" s="280" t="s">
        <v>149</v>
      </c>
      <c r="C25" s="1517" t="s">
        <v>52</v>
      </c>
      <c r="D25" s="1517" t="s">
        <v>52</v>
      </c>
      <c r="E25" s="1517" t="s">
        <v>52</v>
      </c>
      <c r="F25" s="1517" t="s">
        <v>52</v>
      </c>
      <c r="G25" s="1517" t="s">
        <v>52</v>
      </c>
      <c r="H25" s="1517" t="s">
        <v>52</v>
      </c>
      <c r="I25" s="1517" t="s">
        <v>2939</v>
      </c>
      <c r="J25" s="1517" t="s">
        <v>52</v>
      </c>
      <c r="K25" s="1517" t="s">
        <v>52</v>
      </c>
      <c r="L25" s="1517" t="s">
        <v>52</v>
      </c>
      <c r="M25" s="1517" t="s">
        <v>2402</v>
      </c>
      <c r="N25" s="1517" t="s">
        <v>2413</v>
      </c>
      <c r="O25" s="1517" t="s">
        <v>2402</v>
      </c>
      <c r="P25" s="1517">
        <v>0</v>
      </c>
      <c r="Q25" s="1517" t="s">
        <v>2402</v>
      </c>
      <c r="R25" s="1517">
        <v>0</v>
      </c>
      <c r="S25" s="970"/>
      <c r="T25" s="280" t="s">
        <v>149</v>
      </c>
      <c r="U25" s="618"/>
      <c r="V25" s="280" t="s">
        <v>149</v>
      </c>
      <c r="W25" s="1517" t="s">
        <v>52</v>
      </c>
      <c r="X25" s="1517" t="s">
        <v>52</v>
      </c>
      <c r="Y25" s="1517" t="s">
        <v>52</v>
      </c>
      <c r="Z25" s="1517" t="s">
        <v>2402</v>
      </c>
      <c r="AA25" s="1517" t="s">
        <v>52</v>
      </c>
      <c r="AB25" s="1517" t="s">
        <v>2402</v>
      </c>
      <c r="AC25" s="1517" t="s">
        <v>2403</v>
      </c>
      <c r="AD25" s="1517" t="s">
        <v>2544</v>
      </c>
      <c r="AE25" s="1517" t="s">
        <v>2707</v>
      </c>
      <c r="AF25" s="1517" t="s">
        <v>52</v>
      </c>
      <c r="AG25" s="1517" t="s">
        <v>2408</v>
      </c>
      <c r="AH25" s="1517" t="s">
        <v>52</v>
      </c>
      <c r="AI25" s="618"/>
      <c r="AJ25" s="280" t="s">
        <v>149</v>
      </c>
      <c r="AK25" s="618"/>
      <c r="AL25" s="280" t="s">
        <v>149</v>
      </c>
      <c r="AM25" s="1517" t="s">
        <v>2402</v>
      </c>
      <c r="AN25" s="1517" t="s">
        <v>52</v>
      </c>
      <c r="AO25" s="1517" t="s">
        <v>2402</v>
      </c>
      <c r="AP25" s="1517" t="s">
        <v>52</v>
      </c>
      <c r="AQ25" s="1517" t="s">
        <v>52</v>
      </c>
      <c r="AR25" s="1517" t="s">
        <v>52</v>
      </c>
      <c r="AS25" s="1517" t="s">
        <v>2409</v>
      </c>
      <c r="AT25" s="1517" t="s">
        <v>52</v>
      </c>
      <c r="AU25" s="1517" t="s">
        <v>52</v>
      </c>
      <c r="AV25" s="1517" t="s">
        <v>52</v>
      </c>
      <c r="AW25" s="1517" t="s">
        <v>52</v>
      </c>
      <c r="AX25" s="1517" t="s">
        <v>52</v>
      </c>
      <c r="AY25" s="1517" t="s">
        <v>52</v>
      </c>
      <c r="AZ25" s="1517" t="s">
        <v>52</v>
      </c>
      <c r="BA25" s="618"/>
      <c r="BB25" s="280" t="s">
        <v>149</v>
      </c>
      <c r="BC25" s="618"/>
      <c r="BD25" s="280" t="s">
        <v>149</v>
      </c>
      <c r="BE25" s="1517" t="s">
        <v>52</v>
      </c>
      <c r="BF25" s="1517" t="s">
        <v>3055</v>
      </c>
      <c r="BG25" s="1517" t="s">
        <v>52</v>
      </c>
      <c r="BH25" s="1517" t="s">
        <v>52</v>
      </c>
      <c r="BI25" s="1517" t="s">
        <v>52</v>
      </c>
      <c r="BJ25" s="1517" t="s">
        <v>52</v>
      </c>
      <c r="BK25" s="1517" t="s">
        <v>52</v>
      </c>
      <c r="BL25" s="1517" t="s">
        <v>52</v>
      </c>
      <c r="BM25" s="1517" t="s">
        <v>52</v>
      </c>
      <c r="BN25" s="618"/>
      <c r="BO25" s="280" t="s">
        <v>149</v>
      </c>
    </row>
    <row r="26" spans="1:67" ht="12.75" customHeight="1">
      <c r="A26" s="2536" t="s">
        <v>28</v>
      </c>
      <c r="B26" s="2536"/>
      <c r="C26" s="1518"/>
      <c r="D26" s="1518"/>
      <c r="E26" s="1518"/>
      <c r="F26" s="1518"/>
      <c r="G26" s="1518"/>
      <c r="H26" s="1518"/>
      <c r="I26" s="1518"/>
      <c r="J26" s="1518"/>
      <c r="K26" s="1518"/>
      <c r="L26" s="1518"/>
      <c r="M26" s="1518"/>
      <c r="N26" s="1518"/>
      <c r="O26" s="1518"/>
      <c r="P26" s="1518"/>
      <c r="Q26" s="1518"/>
      <c r="R26" s="1518"/>
      <c r="S26" s="2536" t="s">
        <v>28</v>
      </c>
      <c r="T26" s="2536"/>
      <c r="U26" s="2536" t="s">
        <v>28</v>
      </c>
      <c r="V26" s="2536"/>
      <c r="W26" s="1518"/>
      <c r="X26" s="1518"/>
      <c r="Y26" s="1518"/>
      <c r="Z26" s="1518"/>
      <c r="AA26" s="1518"/>
      <c r="AB26" s="1518"/>
      <c r="AC26" s="1518"/>
      <c r="AD26" s="1518"/>
      <c r="AE26" s="1518"/>
      <c r="AF26" s="1518"/>
      <c r="AG26" s="1518"/>
      <c r="AH26" s="1518"/>
      <c r="AI26" s="2536" t="s">
        <v>28</v>
      </c>
      <c r="AJ26" s="2536"/>
      <c r="AK26" s="2536" t="s">
        <v>28</v>
      </c>
      <c r="AL26" s="2536"/>
      <c r="AM26" s="1518"/>
      <c r="AN26" s="1518"/>
      <c r="AO26" s="1518"/>
      <c r="AP26" s="1518"/>
      <c r="AQ26" s="1518"/>
      <c r="AR26" s="1518"/>
      <c r="AS26" s="1518"/>
      <c r="AT26" s="1518"/>
      <c r="AU26" s="1518"/>
      <c r="AV26" s="1518"/>
      <c r="AW26" s="1518"/>
      <c r="AX26" s="1518"/>
      <c r="AY26" s="1518"/>
      <c r="AZ26" s="1518"/>
      <c r="BA26" s="2536" t="s">
        <v>28</v>
      </c>
      <c r="BB26" s="2536"/>
      <c r="BC26" s="2536" t="s">
        <v>28</v>
      </c>
      <c r="BD26" s="2536"/>
      <c r="BE26" s="1518"/>
      <c r="BF26" s="1518"/>
      <c r="BG26" s="1518"/>
      <c r="BH26" s="1518"/>
      <c r="BI26" s="1518"/>
      <c r="BJ26" s="1518"/>
      <c r="BK26" s="1518"/>
      <c r="BL26" s="1518"/>
      <c r="BM26" s="1518"/>
      <c r="BN26" s="2536" t="s">
        <v>28</v>
      </c>
      <c r="BO26" s="2536"/>
    </row>
    <row r="27" spans="1:67" ht="11.45" customHeight="1">
      <c r="A27" s="618"/>
      <c r="B27" s="280" t="s">
        <v>148</v>
      </c>
      <c r="C27" s="1517" t="s">
        <v>2937</v>
      </c>
      <c r="D27" s="1517" t="s">
        <v>2938</v>
      </c>
      <c r="E27" s="1517" t="s">
        <v>2806</v>
      </c>
      <c r="F27" s="1517" t="s">
        <v>2937</v>
      </c>
      <c r="G27" s="1517" t="s">
        <v>2474</v>
      </c>
      <c r="H27" s="1517" t="s">
        <v>2938</v>
      </c>
      <c r="I27" s="1517" t="s">
        <v>52</v>
      </c>
      <c r="J27" s="1517" t="s">
        <v>2940</v>
      </c>
      <c r="K27" s="1517" t="s">
        <v>52</v>
      </c>
      <c r="L27" s="1517" t="s">
        <v>3056</v>
      </c>
      <c r="M27" s="1517" t="s">
        <v>2402</v>
      </c>
      <c r="N27" s="1517" t="s">
        <v>2518</v>
      </c>
      <c r="O27" s="1517" t="s">
        <v>2402</v>
      </c>
      <c r="P27" s="1517" t="s">
        <v>2934</v>
      </c>
      <c r="Q27" s="1517" t="s">
        <v>2402</v>
      </c>
      <c r="R27" s="1517" t="s">
        <v>2722</v>
      </c>
      <c r="S27" s="970"/>
      <c r="T27" s="280" t="s">
        <v>148</v>
      </c>
      <c r="U27" s="618"/>
      <c r="V27" s="280" t="s">
        <v>148</v>
      </c>
      <c r="W27" s="1517" t="s">
        <v>2404</v>
      </c>
      <c r="X27" s="1517" t="s">
        <v>2405</v>
      </c>
      <c r="Y27" s="1517" t="s">
        <v>2406</v>
      </c>
      <c r="Z27" s="1517" t="s">
        <v>2402</v>
      </c>
      <c r="AA27" s="1517" t="s">
        <v>2409</v>
      </c>
      <c r="AB27" s="1517" t="s">
        <v>2402</v>
      </c>
      <c r="AC27" s="1517" t="s">
        <v>2403</v>
      </c>
      <c r="AD27" s="1517" t="s">
        <v>2544</v>
      </c>
      <c r="AE27" s="1517" t="s">
        <v>2707</v>
      </c>
      <c r="AF27" s="1517" t="s">
        <v>2721</v>
      </c>
      <c r="AG27" s="1517" t="s">
        <v>2408</v>
      </c>
      <c r="AH27" s="1517" t="s">
        <v>2458</v>
      </c>
      <c r="AI27" s="618"/>
      <c r="AJ27" s="280" t="s">
        <v>148</v>
      </c>
      <c r="AK27" s="618"/>
      <c r="AL27" s="280" t="s">
        <v>148</v>
      </c>
      <c r="AM27" s="1517" t="s">
        <v>2402</v>
      </c>
      <c r="AN27" s="1517" t="s">
        <v>2401</v>
      </c>
      <c r="AO27" s="1517" t="s">
        <v>2401</v>
      </c>
      <c r="AP27" s="1517" t="s">
        <v>2413</v>
      </c>
      <c r="AQ27" s="1517" t="s">
        <v>2409</v>
      </c>
      <c r="AR27" s="1517" t="s">
        <v>2686</v>
      </c>
      <c r="AS27" s="1517" t="s">
        <v>2409</v>
      </c>
      <c r="AT27" s="1517" t="s">
        <v>2402</v>
      </c>
      <c r="AU27" s="1517" t="s">
        <v>2687</v>
      </c>
      <c r="AV27" s="1517" t="s">
        <v>2405</v>
      </c>
      <c r="AW27" s="1517" t="s">
        <v>2402</v>
      </c>
      <c r="AX27" s="1517" t="s">
        <v>52</v>
      </c>
      <c r="AY27" s="1517" t="s">
        <v>2413</v>
      </c>
      <c r="AZ27" s="1517" t="s">
        <v>2405</v>
      </c>
      <c r="BA27" s="618"/>
      <c r="BB27" s="280" t="s">
        <v>148</v>
      </c>
      <c r="BC27" s="618"/>
      <c r="BD27" s="280" t="s">
        <v>148</v>
      </c>
      <c r="BE27" s="1517" t="s">
        <v>2417</v>
      </c>
      <c r="BF27" s="1517" t="s">
        <v>2922</v>
      </c>
      <c r="BG27" s="1517" t="s">
        <v>2411</v>
      </c>
      <c r="BH27" s="1517" t="s">
        <v>2770</v>
      </c>
      <c r="BI27" s="1517" t="s">
        <v>2794</v>
      </c>
      <c r="BJ27" s="1517" t="s">
        <v>52</v>
      </c>
      <c r="BK27" s="1517" t="s">
        <v>2418</v>
      </c>
      <c r="BL27" s="1517" t="s">
        <v>2451</v>
      </c>
      <c r="BM27" s="1517" t="s">
        <v>52</v>
      </c>
      <c r="BN27" s="618"/>
      <c r="BO27" s="280" t="s">
        <v>148</v>
      </c>
    </row>
    <row r="28" spans="1:67" ht="11.45" customHeight="1">
      <c r="B28" s="667" t="s">
        <v>149</v>
      </c>
      <c r="C28" s="1518" t="s">
        <v>52</v>
      </c>
      <c r="D28" s="1518" t="s">
        <v>52</v>
      </c>
      <c r="E28" s="1518" t="s">
        <v>52</v>
      </c>
      <c r="F28" s="1518" t="s">
        <v>52</v>
      </c>
      <c r="G28" s="1518" t="s">
        <v>52</v>
      </c>
      <c r="H28" s="1518" t="s">
        <v>52</v>
      </c>
      <c r="I28" s="1518" t="s">
        <v>2939</v>
      </c>
      <c r="J28" s="1518" t="s">
        <v>52</v>
      </c>
      <c r="K28" s="1518" t="s">
        <v>52</v>
      </c>
      <c r="L28" s="1518" t="s">
        <v>52</v>
      </c>
      <c r="M28" s="1518" t="s">
        <v>2402</v>
      </c>
      <c r="N28" s="1518" t="s">
        <v>2518</v>
      </c>
      <c r="O28" s="1518" t="s">
        <v>52</v>
      </c>
      <c r="P28" s="1518">
        <v>0</v>
      </c>
      <c r="Q28" s="1518" t="s">
        <v>2402</v>
      </c>
      <c r="R28" s="1518">
        <v>0</v>
      </c>
      <c r="S28" s="971"/>
      <c r="T28" s="667" t="s">
        <v>149</v>
      </c>
      <c r="V28" s="667" t="s">
        <v>149</v>
      </c>
      <c r="W28" s="1518" t="s">
        <v>52</v>
      </c>
      <c r="X28" s="1518" t="s">
        <v>52</v>
      </c>
      <c r="Y28" s="1518" t="s">
        <v>52</v>
      </c>
      <c r="Z28" s="1518" t="s">
        <v>52</v>
      </c>
      <c r="AA28" s="1518" t="s">
        <v>52</v>
      </c>
      <c r="AB28" s="1518" t="s">
        <v>2401</v>
      </c>
      <c r="AC28" s="1518" t="s">
        <v>52</v>
      </c>
      <c r="AD28" s="1518" t="s">
        <v>52</v>
      </c>
      <c r="AE28" s="1518" t="s">
        <v>2708</v>
      </c>
      <c r="AF28" s="1518" t="s">
        <v>52</v>
      </c>
      <c r="AG28" s="1518" t="s">
        <v>2408</v>
      </c>
      <c r="AH28" s="1518" t="s">
        <v>52</v>
      </c>
      <c r="AJ28" s="667" t="s">
        <v>149</v>
      </c>
      <c r="AL28" s="667" t="s">
        <v>149</v>
      </c>
      <c r="AM28" s="1518" t="s">
        <v>2402</v>
      </c>
      <c r="AN28" s="1518" t="s">
        <v>52</v>
      </c>
      <c r="AO28" s="1519" t="s">
        <v>2409</v>
      </c>
      <c r="AP28" s="1518" t="s">
        <v>52</v>
      </c>
      <c r="AQ28" s="1518" t="s">
        <v>52</v>
      </c>
      <c r="AR28" s="1518" t="s">
        <v>52</v>
      </c>
      <c r="AS28" s="1518" t="s">
        <v>52</v>
      </c>
      <c r="AT28" s="1518" t="s">
        <v>52</v>
      </c>
      <c r="AU28" s="1518" t="s">
        <v>52</v>
      </c>
      <c r="AV28" s="1518" t="s">
        <v>52</v>
      </c>
      <c r="AW28" s="1518" t="s">
        <v>52</v>
      </c>
      <c r="AX28" s="1518" t="s">
        <v>52</v>
      </c>
      <c r="AY28" s="1518" t="s">
        <v>52</v>
      </c>
      <c r="AZ28" s="1518" t="s">
        <v>52</v>
      </c>
      <c r="BB28" s="667" t="s">
        <v>149</v>
      </c>
      <c r="BD28" s="667" t="s">
        <v>149</v>
      </c>
      <c r="BE28" s="1518" t="s">
        <v>52</v>
      </c>
      <c r="BF28" s="1519" t="s">
        <v>2922</v>
      </c>
      <c r="BG28" s="1518" t="s">
        <v>52</v>
      </c>
      <c r="BH28" s="1518" t="s">
        <v>52</v>
      </c>
      <c r="BI28" s="1518" t="s">
        <v>52</v>
      </c>
      <c r="BJ28" s="1518" t="s">
        <v>52</v>
      </c>
      <c r="BK28" s="1518" t="s">
        <v>52</v>
      </c>
      <c r="BL28" s="1518" t="s">
        <v>52</v>
      </c>
      <c r="BM28" s="1518" t="s">
        <v>52</v>
      </c>
      <c r="BO28" s="667" t="s">
        <v>149</v>
      </c>
    </row>
    <row r="29" spans="1:67" ht="21" customHeight="1">
      <c r="A29" s="2540" t="s">
        <v>159</v>
      </c>
      <c r="B29" s="2540"/>
      <c r="C29" s="1517"/>
      <c r="D29" s="1517"/>
      <c r="E29" s="1517"/>
      <c r="F29" s="1517"/>
      <c r="G29" s="1517"/>
      <c r="H29" s="1517"/>
      <c r="I29" s="1517"/>
      <c r="J29" s="1517"/>
      <c r="K29" s="1517"/>
      <c r="L29" s="1517"/>
      <c r="M29" s="1517"/>
      <c r="N29" s="1517"/>
      <c r="O29" s="1517"/>
      <c r="P29" s="1517"/>
      <c r="Q29" s="1517"/>
      <c r="R29" s="1517"/>
      <c r="S29" s="2535" t="s">
        <v>159</v>
      </c>
      <c r="T29" s="2535"/>
      <c r="U29" s="2535" t="s">
        <v>159</v>
      </c>
      <c r="V29" s="2535"/>
      <c r="W29" s="1517"/>
      <c r="X29" s="1517"/>
      <c r="Y29" s="1517"/>
      <c r="Z29" s="1517"/>
      <c r="AA29" s="1517"/>
      <c r="AB29" s="1517"/>
      <c r="AC29" s="1517"/>
      <c r="AD29" s="1517"/>
      <c r="AE29" s="1517"/>
      <c r="AF29" s="1517"/>
      <c r="AG29" s="1517"/>
      <c r="AH29" s="1517"/>
      <c r="AI29" s="2535" t="s">
        <v>159</v>
      </c>
      <c r="AJ29" s="2535"/>
      <c r="AK29" s="2535" t="s">
        <v>159</v>
      </c>
      <c r="AL29" s="2535"/>
      <c r="AM29" s="1517"/>
      <c r="AN29" s="1517"/>
      <c r="AO29" s="1517"/>
      <c r="AP29" s="1517"/>
      <c r="AQ29" s="1517"/>
      <c r="AR29" s="1517"/>
      <c r="AS29" s="1517"/>
      <c r="AT29" s="1517"/>
      <c r="AU29" s="1517"/>
      <c r="AV29" s="1517"/>
      <c r="AW29" s="1517"/>
      <c r="AX29" s="1517"/>
      <c r="AY29" s="1517"/>
      <c r="AZ29" s="1517"/>
      <c r="BA29" s="2535" t="s">
        <v>159</v>
      </c>
      <c r="BB29" s="2535"/>
      <c r="BC29" s="2535" t="s">
        <v>159</v>
      </c>
      <c r="BD29" s="2535"/>
      <c r="BE29" s="1517"/>
      <c r="BF29" s="1517"/>
      <c r="BG29" s="1517"/>
      <c r="BH29" s="1517"/>
      <c r="BI29" s="1517"/>
      <c r="BJ29" s="1517"/>
      <c r="BK29" s="1517"/>
      <c r="BL29" s="1517"/>
      <c r="BM29" s="1517"/>
      <c r="BN29" s="2535" t="s">
        <v>159</v>
      </c>
      <c r="BO29" s="2535"/>
    </row>
    <row r="30" spans="1:67" s="703" customFormat="1" ht="18.75" customHeight="1">
      <c r="A30" s="668" t="s">
        <v>303</v>
      </c>
      <c r="B30" s="669" t="s">
        <v>598</v>
      </c>
      <c r="C30" s="1518"/>
      <c r="D30" s="1518"/>
      <c r="E30" s="1518"/>
      <c r="F30" s="1518"/>
      <c r="G30" s="1518"/>
      <c r="H30" s="1518"/>
      <c r="I30" s="1518"/>
      <c r="J30" s="1518"/>
      <c r="K30" s="1518"/>
      <c r="L30" s="1518"/>
      <c r="M30" s="1518"/>
      <c r="N30" s="1518"/>
      <c r="O30" s="1518"/>
      <c r="P30" s="1518"/>
      <c r="Q30" s="1518"/>
      <c r="R30" s="1518"/>
      <c r="S30" s="668" t="s">
        <v>303</v>
      </c>
      <c r="T30" s="973" t="s">
        <v>598</v>
      </c>
      <c r="U30" s="668" t="s">
        <v>303</v>
      </c>
      <c r="V30" s="670" t="s">
        <v>598</v>
      </c>
      <c r="W30" s="1518"/>
      <c r="X30" s="1518"/>
      <c r="Y30" s="1518"/>
      <c r="Z30" s="1518"/>
      <c r="AA30" s="1518"/>
      <c r="AB30" s="1518"/>
      <c r="AC30" s="1518"/>
      <c r="AD30" s="1518"/>
      <c r="AE30" s="1518"/>
      <c r="AF30" s="1518"/>
      <c r="AG30" s="1518"/>
      <c r="AH30" s="1518"/>
      <c r="AI30" s="668" t="s">
        <v>303</v>
      </c>
      <c r="AJ30" s="670" t="s">
        <v>598</v>
      </c>
      <c r="AK30" s="668" t="s">
        <v>303</v>
      </c>
      <c r="AL30" s="670" t="s">
        <v>598</v>
      </c>
      <c r="AM30" s="1518"/>
      <c r="AN30" s="1518"/>
      <c r="AO30" s="1518"/>
      <c r="AP30" s="1518"/>
      <c r="AQ30" s="1518"/>
      <c r="AR30" s="1518"/>
      <c r="AS30" s="1518"/>
      <c r="AT30" s="1518"/>
      <c r="AU30" s="1518"/>
      <c r="AV30" s="1518"/>
      <c r="AW30" s="1518"/>
      <c r="AX30" s="1518"/>
      <c r="AY30" s="1518"/>
      <c r="AZ30" s="1518"/>
      <c r="BA30" s="668" t="s">
        <v>303</v>
      </c>
      <c r="BB30" s="670" t="s">
        <v>598</v>
      </c>
      <c r="BC30" s="668" t="s">
        <v>303</v>
      </c>
      <c r="BD30" s="670" t="s">
        <v>598</v>
      </c>
      <c r="BE30" s="1518"/>
      <c r="BF30" s="1518"/>
      <c r="BG30" s="1518"/>
      <c r="BH30" s="1518"/>
      <c r="BI30" s="1518"/>
      <c r="BJ30" s="1518"/>
      <c r="BK30" s="1518"/>
      <c r="BL30" s="1518"/>
      <c r="BM30" s="1518"/>
      <c r="BN30" s="668" t="s">
        <v>303</v>
      </c>
      <c r="BO30" s="670" t="s">
        <v>598</v>
      </c>
    </row>
    <row r="31" spans="1:67" ht="11.45" customHeight="1">
      <c r="A31" s="671"/>
      <c r="B31" s="280" t="s">
        <v>156</v>
      </c>
      <c r="C31" s="1517" t="s">
        <v>2937</v>
      </c>
      <c r="D31" s="1517" t="s">
        <v>2938</v>
      </c>
      <c r="E31" s="1517" t="s">
        <v>2806</v>
      </c>
      <c r="F31" s="1517" t="s">
        <v>2935</v>
      </c>
      <c r="G31" s="1517" t="s">
        <v>2474</v>
      </c>
      <c r="H31" s="1517" t="s">
        <v>2938</v>
      </c>
      <c r="I31" s="1517" t="s">
        <v>52</v>
      </c>
      <c r="J31" s="1517" t="s">
        <v>52</v>
      </c>
      <c r="K31" s="1517" t="s">
        <v>52</v>
      </c>
      <c r="L31" s="1517" t="s">
        <v>2941</v>
      </c>
      <c r="M31" s="1517" t="s">
        <v>2402</v>
      </c>
      <c r="N31" s="1517" t="s">
        <v>2413</v>
      </c>
      <c r="O31" s="1517" t="s">
        <v>2402</v>
      </c>
      <c r="P31" s="1517" t="s">
        <v>2934</v>
      </c>
      <c r="Q31" s="1517" t="s">
        <v>2771</v>
      </c>
      <c r="R31" s="1517" t="s">
        <v>2402</v>
      </c>
      <c r="S31" s="974"/>
      <c r="T31" s="280" t="s">
        <v>148</v>
      </c>
      <c r="U31" s="671"/>
      <c r="V31" s="280" t="s">
        <v>148</v>
      </c>
      <c r="W31" s="1517" t="s">
        <v>2404</v>
      </c>
      <c r="X31" s="1517" t="s">
        <v>2921</v>
      </c>
      <c r="Y31" s="1517" t="s">
        <v>2862</v>
      </c>
      <c r="Z31" s="1517" t="s">
        <v>2402</v>
      </c>
      <c r="AA31" s="1517" t="s">
        <v>2459</v>
      </c>
      <c r="AB31" s="1517" t="s">
        <v>2401</v>
      </c>
      <c r="AC31" s="1517" t="s">
        <v>2403</v>
      </c>
      <c r="AD31" s="1517" t="s">
        <v>2544</v>
      </c>
      <c r="AE31" s="1517" t="s">
        <v>2707</v>
      </c>
      <c r="AF31" s="1517" t="s">
        <v>2402</v>
      </c>
      <c r="AG31" s="1517" t="s">
        <v>2408</v>
      </c>
      <c r="AH31" s="1517" t="s">
        <v>2413</v>
      </c>
      <c r="AI31" s="671"/>
      <c r="AJ31" s="280" t="s">
        <v>148</v>
      </c>
      <c r="AK31" s="671"/>
      <c r="AL31" s="280" t="s">
        <v>148</v>
      </c>
      <c r="AM31" s="1517" t="s">
        <v>2402</v>
      </c>
      <c r="AN31" s="1517" t="s">
        <v>2769</v>
      </c>
      <c r="AO31" s="1517" t="s">
        <v>2403</v>
      </c>
      <c r="AP31" s="1517" t="s">
        <v>2838</v>
      </c>
      <c r="AQ31" s="1517" t="s">
        <v>2405</v>
      </c>
      <c r="AR31" s="1517" t="s">
        <v>2687</v>
      </c>
      <c r="AS31" s="1517" t="s">
        <v>2409</v>
      </c>
      <c r="AT31" s="1517" t="s">
        <v>2402</v>
      </c>
      <c r="AU31" s="1517" t="s">
        <v>2614</v>
      </c>
      <c r="AV31" s="1517" t="s">
        <v>2592</v>
      </c>
      <c r="AW31" s="1517" t="s">
        <v>2409</v>
      </c>
      <c r="AX31" s="1517" t="s">
        <v>52</v>
      </c>
      <c r="AY31" s="1517" t="s">
        <v>2406</v>
      </c>
      <c r="AZ31" s="1517" t="s">
        <v>2772</v>
      </c>
      <c r="BA31" s="671"/>
      <c r="BB31" s="280" t="s">
        <v>148</v>
      </c>
      <c r="BC31" s="671"/>
      <c r="BD31" s="280" t="s">
        <v>148</v>
      </c>
      <c r="BE31" s="1517" t="s">
        <v>2406</v>
      </c>
      <c r="BF31" s="1517" t="s">
        <v>2768</v>
      </c>
      <c r="BG31" s="1517" t="s">
        <v>2887</v>
      </c>
      <c r="BH31" s="1517" t="s">
        <v>2770</v>
      </c>
      <c r="BI31" s="1517" t="s">
        <v>2806</v>
      </c>
      <c r="BJ31" s="1517" t="s">
        <v>2411</v>
      </c>
      <c r="BK31" s="1517" t="s">
        <v>2451</v>
      </c>
      <c r="BL31" s="1517" t="s">
        <v>2403</v>
      </c>
      <c r="BM31" s="1517" t="s">
        <v>2416</v>
      </c>
      <c r="BN31" s="671"/>
      <c r="BO31" s="280" t="s">
        <v>148</v>
      </c>
    </row>
    <row r="32" spans="1:67" ht="11.45" customHeight="1">
      <c r="A32" s="668"/>
      <c r="B32" s="667" t="s">
        <v>157</v>
      </c>
      <c r="C32" s="1518" t="s">
        <v>52</v>
      </c>
      <c r="D32" s="1518" t="s">
        <v>52</v>
      </c>
      <c r="E32" s="1518" t="s">
        <v>52</v>
      </c>
      <c r="F32" s="1518" t="s">
        <v>52</v>
      </c>
      <c r="G32" s="1518" t="s">
        <v>52</v>
      </c>
      <c r="H32" s="1518" t="s">
        <v>52</v>
      </c>
      <c r="I32" s="1518" t="s">
        <v>2939</v>
      </c>
      <c r="J32" s="1518" t="s">
        <v>52</v>
      </c>
      <c r="K32" s="1518" t="s">
        <v>52</v>
      </c>
      <c r="L32" s="1518" t="s">
        <v>52</v>
      </c>
      <c r="M32" s="1518" t="s">
        <v>2402</v>
      </c>
      <c r="N32" s="1518" t="s">
        <v>2413</v>
      </c>
      <c r="O32" s="1518" t="s">
        <v>2402</v>
      </c>
      <c r="P32" s="1518">
        <v>0</v>
      </c>
      <c r="Q32" s="1518" t="s">
        <v>2771</v>
      </c>
      <c r="R32" s="1518">
        <v>0</v>
      </c>
      <c r="S32" s="972"/>
      <c r="T32" s="667" t="s">
        <v>149</v>
      </c>
      <c r="U32" s="668"/>
      <c r="V32" s="667" t="s">
        <v>149</v>
      </c>
      <c r="W32" s="1518" t="s">
        <v>52</v>
      </c>
      <c r="X32" s="1518" t="s">
        <v>52</v>
      </c>
      <c r="Y32" s="1518" t="s">
        <v>52</v>
      </c>
      <c r="Z32" s="1518" t="s">
        <v>52</v>
      </c>
      <c r="AA32" s="1518" t="s">
        <v>52</v>
      </c>
      <c r="AB32" s="1518" t="s">
        <v>2402</v>
      </c>
      <c r="AC32" s="1518" t="s">
        <v>2403</v>
      </c>
      <c r="AD32" s="1518" t="s">
        <v>52</v>
      </c>
      <c r="AE32" s="1518" t="s">
        <v>2707</v>
      </c>
      <c r="AF32" s="1518" t="s">
        <v>52</v>
      </c>
      <c r="AG32" s="1518" t="s">
        <v>52</v>
      </c>
      <c r="AH32" s="1518" t="s">
        <v>52</v>
      </c>
      <c r="AI32" s="668"/>
      <c r="AJ32" s="667" t="s">
        <v>149</v>
      </c>
      <c r="AK32" s="668"/>
      <c r="AL32" s="667" t="s">
        <v>149</v>
      </c>
      <c r="AM32" s="1518" t="s">
        <v>52</v>
      </c>
      <c r="AN32" s="1518" t="s">
        <v>52</v>
      </c>
      <c r="AO32" s="1518" t="s">
        <v>2402</v>
      </c>
      <c r="AP32" s="1518" t="s">
        <v>52</v>
      </c>
      <c r="AQ32" s="1518" t="s">
        <v>52</v>
      </c>
      <c r="AR32" s="1518" t="s">
        <v>52</v>
      </c>
      <c r="AS32" s="1518" t="s">
        <v>52</v>
      </c>
      <c r="AT32" s="1518" t="s">
        <v>52</v>
      </c>
      <c r="AU32" s="1518" t="s">
        <v>52</v>
      </c>
      <c r="AV32" s="1518" t="s">
        <v>52</v>
      </c>
      <c r="AW32" s="1518" t="s">
        <v>52</v>
      </c>
      <c r="AX32" s="1518" t="s">
        <v>52</v>
      </c>
      <c r="AY32" s="1518" t="s">
        <v>52</v>
      </c>
      <c r="AZ32" s="1518" t="s">
        <v>52</v>
      </c>
      <c r="BA32" s="668"/>
      <c r="BB32" s="667" t="s">
        <v>149</v>
      </c>
      <c r="BC32" s="668"/>
      <c r="BD32" s="667" t="s">
        <v>149</v>
      </c>
      <c r="BE32" s="1518" t="s">
        <v>52</v>
      </c>
      <c r="BF32" s="1518" t="s">
        <v>2418</v>
      </c>
      <c r="BG32" s="1518" t="s">
        <v>52</v>
      </c>
      <c r="BH32" s="1518" t="s">
        <v>52</v>
      </c>
      <c r="BI32" s="1518" t="s">
        <v>52</v>
      </c>
      <c r="BJ32" s="1518" t="s">
        <v>2411</v>
      </c>
      <c r="BK32" s="1518" t="s">
        <v>52</v>
      </c>
      <c r="BL32" s="1518" t="s">
        <v>52</v>
      </c>
      <c r="BM32" s="1518" t="s">
        <v>52</v>
      </c>
      <c r="BN32" s="668"/>
      <c r="BO32" s="667" t="s">
        <v>149</v>
      </c>
    </row>
    <row r="33" spans="1:67" ht="21" customHeight="1">
      <c r="A33" s="671" t="s">
        <v>471</v>
      </c>
      <c r="B33" s="1905" t="s">
        <v>599</v>
      </c>
      <c r="C33" s="1517"/>
      <c r="D33" s="1517"/>
      <c r="E33" s="1517"/>
      <c r="F33" s="1517"/>
      <c r="G33" s="1517"/>
      <c r="H33" s="1517"/>
      <c r="I33" s="1517"/>
      <c r="J33" s="1517"/>
      <c r="K33" s="1517"/>
      <c r="L33" s="1517"/>
      <c r="M33" s="1517"/>
      <c r="N33" s="1517"/>
      <c r="O33" s="1517"/>
      <c r="P33" s="1517"/>
      <c r="Q33" s="1517"/>
      <c r="R33" s="1517"/>
      <c r="S33" s="671" t="s">
        <v>471</v>
      </c>
      <c r="T33" s="1905" t="s">
        <v>599</v>
      </c>
      <c r="U33" s="671" t="s">
        <v>471</v>
      </c>
      <c r="V33" s="1905" t="s">
        <v>599</v>
      </c>
      <c r="W33" s="1517"/>
      <c r="X33" s="1517"/>
      <c r="Y33" s="1517"/>
      <c r="Z33" s="1517"/>
      <c r="AA33" s="1517"/>
      <c r="AB33" s="1517"/>
      <c r="AC33" s="1517"/>
      <c r="AD33" s="1517"/>
      <c r="AE33" s="1517"/>
      <c r="AF33" s="1517"/>
      <c r="AG33" s="1517"/>
      <c r="AH33" s="1517"/>
      <c r="AI33" s="671" t="s">
        <v>471</v>
      </c>
      <c r="AJ33" s="1905" t="s">
        <v>599</v>
      </c>
      <c r="AK33" s="671" t="s">
        <v>471</v>
      </c>
      <c r="AL33" s="1905" t="s">
        <v>599</v>
      </c>
      <c r="AM33" s="1517"/>
      <c r="AN33" s="1517"/>
      <c r="AO33" s="1517"/>
      <c r="AP33" s="1517"/>
      <c r="AQ33" s="1517"/>
      <c r="AR33" s="1517"/>
      <c r="AS33" s="1517"/>
      <c r="AT33" s="1517"/>
      <c r="AU33" s="1517"/>
      <c r="AV33" s="1517"/>
      <c r="AW33" s="1517"/>
      <c r="AX33" s="1517"/>
      <c r="AY33" s="1517"/>
      <c r="AZ33" s="1517"/>
      <c r="BA33" s="671" t="s">
        <v>471</v>
      </c>
      <c r="BB33" s="1905" t="s">
        <v>599</v>
      </c>
      <c r="BC33" s="671" t="s">
        <v>471</v>
      </c>
      <c r="BD33" s="1905" t="s">
        <v>599</v>
      </c>
      <c r="BE33" s="1517"/>
      <c r="BF33" s="1517"/>
      <c r="BG33" s="1517"/>
      <c r="BH33" s="1517"/>
      <c r="BI33" s="1517"/>
      <c r="BJ33" s="1517"/>
      <c r="BK33" s="1517"/>
      <c r="BL33" s="1517"/>
      <c r="BM33" s="1517"/>
      <c r="BN33" s="671" t="s">
        <v>471</v>
      </c>
      <c r="BO33" s="1905" t="s">
        <v>599</v>
      </c>
    </row>
    <row r="34" spans="1:67" ht="11.45" customHeight="1">
      <c r="B34" s="667" t="s">
        <v>156</v>
      </c>
      <c r="C34" s="1519" t="s">
        <v>2937</v>
      </c>
      <c r="D34" s="1519" t="s">
        <v>2938</v>
      </c>
      <c r="E34" s="1519" t="s">
        <v>2806</v>
      </c>
      <c r="F34" s="1519" t="s">
        <v>2937</v>
      </c>
      <c r="G34" s="1519" t="s">
        <v>2474</v>
      </c>
      <c r="H34" s="1519" t="s">
        <v>2938</v>
      </c>
      <c r="I34" s="1519" t="s">
        <v>52</v>
      </c>
      <c r="J34" s="1519" t="s">
        <v>2940</v>
      </c>
      <c r="K34" s="1519" t="s">
        <v>52</v>
      </c>
      <c r="L34" s="1519" t="s">
        <v>2942</v>
      </c>
      <c r="M34" s="1519" t="s">
        <v>2402</v>
      </c>
      <c r="N34" s="1519" t="s">
        <v>2518</v>
      </c>
      <c r="O34" s="1519" t="s">
        <v>2405</v>
      </c>
      <c r="P34" s="1519" t="s">
        <v>2934</v>
      </c>
      <c r="Q34" s="1519" t="s">
        <v>2402</v>
      </c>
      <c r="R34" s="1519" t="s">
        <v>2402</v>
      </c>
      <c r="S34" s="971"/>
      <c r="T34" s="667" t="s">
        <v>148</v>
      </c>
      <c r="V34" s="667" t="s">
        <v>148</v>
      </c>
      <c r="W34" s="1519" t="s">
        <v>2404</v>
      </c>
      <c r="X34" s="1519" t="s">
        <v>2406</v>
      </c>
      <c r="Y34" s="1519" t="s">
        <v>2406</v>
      </c>
      <c r="Z34" s="1519" t="s">
        <v>2402</v>
      </c>
      <c r="AA34" s="1519" t="s">
        <v>2459</v>
      </c>
      <c r="AB34" s="1518" t="s">
        <v>2402</v>
      </c>
      <c r="AC34" s="1519" t="s">
        <v>2403</v>
      </c>
      <c r="AD34" s="1519" t="s">
        <v>2405</v>
      </c>
      <c r="AE34" s="1519" t="s">
        <v>2708</v>
      </c>
      <c r="AF34" s="1519" t="s">
        <v>2721</v>
      </c>
      <c r="AG34" s="1519" t="s">
        <v>2408</v>
      </c>
      <c r="AH34" s="1519" t="s">
        <v>2458</v>
      </c>
      <c r="AJ34" s="667" t="s">
        <v>148</v>
      </c>
      <c r="AL34" s="667" t="s">
        <v>148</v>
      </c>
      <c r="AM34" s="1519" t="s">
        <v>2402</v>
      </c>
      <c r="AN34" s="1519" t="s">
        <v>2401</v>
      </c>
      <c r="AO34" s="1519" t="s">
        <v>2401</v>
      </c>
      <c r="AP34" s="1519" t="s">
        <v>2413</v>
      </c>
      <c r="AQ34" s="1519" t="s">
        <v>2409</v>
      </c>
      <c r="AR34" s="1519" t="s">
        <v>2688</v>
      </c>
      <c r="AS34" s="1519" t="s">
        <v>2409</v>
      </c>
      <c r="AT34" s="1519" t="s">
        <v>2402</v>
      </c>
      <c r="AU34" s="1519" t="s">
        <v>2408</v>
      </c>
      <c r="AV34" s="1519" t="s">
        <v>2405</v>
      </c>
      <c r="AW34" s="1519" t="s">
        <v>2409</v>
      </c>
      <c r="AX34" s="1519" t="s">
        <v>2863</v>
      </c>
      <c r="AY34" s="1519" t="s">
        <v>2413</v>
      </c>
      <c r="AZ34" s="1519" t="s">
        <v>2402</v>
      </c>
      <c r="BB34" s="667" t="s">
        <v>148</v>
      </c>
      <c r="BD34" s="667" t="s">
        <v>148</v>
      </c>
      <c r="BE34" s="1519" t="s">
        <v>2417</v>
      </c>
      <c r="BF34" s="1519" t="s">
        <v>2418</v>
      </c>
      <c r="BG34" s="1519" t="s">
        <v>2403</v>
      </c>
      <c r="BH34" s="1519" t="s">
        <v>2770</v>
      </c>
      <c r="BI34" s="1519" t="s">
        <v>2806</v>
      </c>
      <c r="BJ34" s="1519" t="s">
        <v>52</v>
      </c>
      <c r="BK34" s="1519" t="s">
        <v>2451</v>
      </c>
      <c r="BL34" s="1519" t="s">
        <v>2451</v>
      </c>
      <c r="BM34" s="1519" t="s">
        <v>2801</v>
      </c>
      <c r="BO34" s="667" t="s">
        <v>148</v>
      </c>
    </row>
    <row r="35" spans="1:67" ht="11.45" customHeight="1">
      <c r="A35" s="618"/>
      <c r="B35" s="280" t="s">
        <v>157</v>
      </c>
      <c r="C35" s="1517" t="s">
        <v>52</v>
      </c>
      <c r="D35" s="1517" t="s">
        <v>52</v>
      </c>
      <c r="E35" s="1517" t="s">
        <v>52</v>
      </c>
      <c r="F35" s="1517" t="s">
        <v>52</v>
      </c>
      <c r="G35" s="1517" t="s">
        <v>52</v>
      </c>
      <c r="H35" s="1517" t="s">
        <v>52</v>
      </c>
      <c r="I35" s="1517" t="s">
        <v>2939</v>
      </c>
      <c r="J35" s="1517" t="s">
        <v>52</v>
      </c>
      <c r="K35" s="1517" t="s">
        <v>52</v>
      </c>
      <c r="L35" s="1517" t="s">
        <v>52</v>
      </c>
      <c r="M35" s="1517" t="s">
        <v>2402</v>
      </c>
      <c r="N35" s="1517" t="s">
        <v>2413</v>
      </c>
      <c r="O35" s="1517" t="s">
        <v>52</v>
      </c>
      <c r="P35" s="1517">
        <v>0</v>
      </c>
      <c r="Q35" s="1517" t="s">
        <v>2402</v>
      </c>
      <c r="R35" s="1517">
        <v>0</v>
      </c>
      <c r="S35" s="970"/>
      <c r="T35" s="280" t="s">
        <v>149</v>
      </c>
      <c r="U35" s="618"/>
      <c r="V35" s="280" t="s">
        <v>149</v>
      </c>
      <c r="W35" s="1517" t="s">
        <v>52</v>
      </c>
      <c r="X35" s="1517" t="s">
        <v>52</v>
      </c>
      <c r="Y35" s="1517" t="s">
        <v>52</v>
      </c>
      <c r="Z35" s="1517" t="s">
        <v>52</v>
      </c>
      <c r="AA35" s="1517" t="s">
        <v>52</v>
      </c>
      <c r="AB35" s="1517" t="s">
        <v>52</v>
      </c>
      <c r="AC35" s="1517" t="s">
        <v>52</v>
      </c>
      <c r="AD35" s="1517" t="s">
        <v>52</v>
      </c>
      <c r="AE35" s="1517" t="s">
        <v>2708</v>
      </c>
      <c r="AF35" s="1517" t="s">
        <v>52</v>
      </c>
      <c r="AG35" s="1517" t="s">
        <v>2408</v>
      </c>
      <c r="AH35" s="1517" t="s">
        <v>52</v>
      </c>
      <c r="AI35" s="618"/>
      <c r="AJ35" s="280" t="s">
        <v>149</v>
      </c>
      <c r="AK35" s="618"/>
      <c r="AL35" s="280" t="s">
        <v>149</v>
      </c>
      <c r="AM35" s="1517" t="s">
        <v>52</v>
      </c>
      <c r="AN35" s="1517" t="s">
        <v>52</v>
      </c>
      <c r="AO35" s="1517" t="s">
        <v>2409</v>
      </c>
      <c r="AP35" s="1517" t="s">
        <v>52</v>
      </c>
      <c r="AQ35" s="1517" t="s">
        <v>52</v>
      </c>
      <c r="AR35" s="1517" t="s">
        <v>52</v>
      </c>
      <c r="AS35" s="1517" t="s">
        <v>52</v>
      </c>
      <c r="AT35" s="1517" t="s">
        <v>52</v>
      </c>
      <c r="AU35" s="1517" t="s">
        <v>52</v>
      </c>
      <c r="AV35" s="1517" t="s">
        <v>52</v>
      </c>
      <c r="AW35" s="1517" t="s">
        <v>52</v>
      </c>
      <c r="AX35" s="1517" t="s">
        <v>52</v>
      </c>
      <c r="AY35" s="1517" t="s">
        <v>52</v>
      </c>
      <c r="AZ35" s="1517" t="s">
        <v>52</v>
      </c>
      <c r="BA35" s="618"/>
      <c r="BB35" s="280" t="s">
        <v>149</v>
      </c>
      <c r="BC35" s="618"/>
      <c r="BD35" s="280" t="s">
        <v>149</v>
      </c>
      <c r="BE35" s="1517" t="s">
        <v>52</v>
      </c>
      <c r="BF35" s="1517" t="s">
        <v>2418</v>
      </c>
      <c r="BG35" s="1517" t="s">
        <v>52</v>
      </c>
      <c r="BH35" s="1517" t="s">
        <v>52</v>
      </c>
      <c r="BI35" s="1517" t="s">
        <v>52</v>
      </c>
      <c r="BJ35" s="1517" t="s">
        <v>52</v>
      </c>
      <c r="BK35" s="1517" t="s">
        <v>52</v>
      </c>
      <c r="BL35" s="1517" t="s">
        <v>52</v>
      </c>
      <c r="BM35" s="1517" t="s">
        <v>52</v>
      </c>
      <c r="BN35" s="618"/>
      <c r="BO35" s="280" t="s">
        <v>149</v>
      </c>
    </row>
    <row r="36" spans="1:67" ht="11.45" customHeight="1">
      <c r="A36" s="2536" t="s">
        <v>88</v>
      </c>
      <c r="B36" s="2536"/>
      <c r="C36" s="1518" t="s">
        <v>2943</v>
      </c>
      <c r="D36" s="1518" t="s">
        <v>2931</v>
      </c>
      <c r="E36" s="1518" t="s">
        <v>2806</v>
      </c>
      <c r="F36" s="1518" t="s">
        <v>2616</v>
      </c>
      <c r="G36" s="1518" t="s">
        <v>2457</v>
      </c>
      <c r="H36" s="1519" t="s">
        <v>2923</v>
      </c>
      <c r="I36" s="1518">
        <v>12.5</v>
      </c>
      <c r="J36" s="1518" t="s">
        <v>52</v>
      </c>
      <c r="K36" s="1518" t="s">
        <v>52</v>
      </c>
      <c r="L36" s="1518" t="s">
        <v>2403</v>
      </c>
      <c r="M36" s="1518" t="s">
        <v>2401</v>
      </c>
      <c r="N36" s="1518" t="s">
        <v>2934</v>
      </c>
      <c r="O36" s="1518" t="s">
        <v>2401</v>
      </c>
      <c r="P36" s="1518" t="s">
        <v>2935</v>
      </c>
      <c r="Q36" s="1518" t="s">
        <v>2888</v>
      </c>
      <c r="R36" s="1518" t="s">
        <v>2401</v>
      </c>
      <c r="S36" s="2536" t="s">
        <v>88</v>
      </c>
      <c r="T36" s="2536"/>
      <c r="U36" s="2536" t="s">
        <v>88</v>
      </c>
      <c r="V36" s="2536"/>
      <c r="W36" s="1518" t="s">
        <v>2912</v>
      </c>
      <c r="X36" s="1518" t="s">
        <v>2404</v>
      </c>
      <c r="Y36" s="1518" t="s">
        <v>2410</v>
      </c>
      <c r="Z36" s="1518" t="s">
        <v>2404</v>
      </c>
      <c r="AA36" s="1518" t="s">
        <v>2459</v>
      </c>
      <c r="AB36" s="1518" t="s">
        <v>2451</v>
      </c>
      <c r="AC36" s="1518" t="s">
        <v>2418</v>
      </c>
      <c r="AD36" s="1518" t="s">
        <v>2405</v>
      </c>
      <c r="AE36" s="1518" t="s">
        <v>2709</v>
      </c>
      <c r="AF36" s="1518" t="s">
        <v>2402</v>
      </c>
      <c r="AG36" s="1518" t="s">
        <v>2457</v>
      </c>
      <c r="AH36" s="1518" t="s">
        <v>2405</v>
      </c>
      <c r="AI36" s="2536" t="s">
        <v>88</v>
      </c>
      <c r="AJ36" s="2536"/>
      <c r="AK36" s="2536" t="s">
        <v>88</v>
      </c>
      <c r="AL36" s="2536"/>
      <c r="AM36" s="1518" t="s">
        <v>2401</v>
      </c>
      <c r="AN36" s="1518">
        <v>12.5</v>
      </c>
      <c r="AO36" s="1518" t="s">
        <v>2403</v>
      </c>
      <c r="AP36" s="1518" t="s">
        <v>2401</v>
      </c>
      <c r="AQ36" s="1518" t="s">
        <v>2404</v>
      </c>
      <c r="AR36" s="1518" t="s">
        <v>2571</v>
      </c>
      <c r="AS36" s="1518" t="s">
        <v>2409</v>
      </c>
      <c r="AT36" s="1518" t="s">
        <v>2401</v>
      </c>
      <c r="AU36" s="1518" t="s">
        <v>2614</v>
      </c>
      <c r="AV36" s="1518" t="s">
        <v>2403</v>
      </c>
      <c r="AW36" s="1518" t="s">
        <v>2404</v>
      </c>
      <c r="AX36" s="1518" t="s">
        <v>52</v>
      </c>
      <c r="AY36" s="1518" t="s">
        <v>2405</v>
      </c>
      <c r="AZ36" s="1518" t="s">
        <v>2722</v>
      </c>
      <c r="BA36" s="2536" t="s">
        <v>88</v>
      </c>
      <c r="BB36" s="2536"/>
      <c r="BC36" s="2536" t="s">
        <v>88</v>
      </c>
      <c r="BD36" s="2536"/>
      <c r="BE36" s="1518" t="s">
        <v>2404</v>
      </c>
      <c r="BF36" s="1518" t="s">
        <v>2798</v>
      </c>
      <c r="BG36" s="1518" t="s">
        <v>2418</v>
      </c>
      <c r="BH36" s="1518" t="s">
        <v>52</v>
      </c>
      <c r="BI36" s="1518" t="s">
        <v>2806</v>
      </c>
      <c r="BJ36" s="1518" t="s">
        <v>52</v>
      </c>
      <c r="BK36" s="1518" t="s">
        <v>2449</v>
      </c>
      <c r="BL36" s="1518" t="s">
        <v>2403</v>
      </c>
      <c r="BM36" s="1518" t="s">
        <v>52</v>
      </c>
      <c r="BN36" s="2536" t="s">
        <v>88</v>
      </c>
      <c r="BO36" s="2536"/>
    </row>
    <row r="37" spans="1:67" ht="11.45" customHeight="1">
      <c r="A37" s="2535" t="s">
        <v>160</v>
      </c>
      <c r="B37" s="2535"/>
      <c r="C37" s="1517" t="s">
        <v>52</v>
      </c>
      <c r="D37" s="1517" t="s">
        <v>52</v>
      </c>
      <c r="E37" s="1517" t="s">
        <v>52</v>
      </c>
      <c r="F37" s="1517" t="s">
        <v>52</v>
      </c>
      <c r="G37" s="1517" t="s">
        <v>52</v>
      </c>
      <c r="H37" s="1517" t="s">
        <v>52</v>
      </c>
      <c r="I37" s="1517" t="s">
        <v>52</v>
      </c>
      <c r="J37" s="1517" t="s">
        <v>52</v>
      </c>
      <c r="K37" s="1517" t="s">
        <v>52</v>
      </c>
      <c r="L37" s="1517" t="s">
        <v>52</v>
      </c>
      <c r="M37" s="1517" t="s">
        <v>52</v>
      </c>
      <c r="N37" s="1517" t="s">
        <v>52</v>
      </c>
      <c r="O37" s="1517" t="s">
        <v>52</v>
      </c>
      <c r="P37" s="1517" t="s">
        <v>52</v>
      </c>
      <c r="Q37" s="1517" t="s">
        <v>52</v>
      </c>
      <c r="R37" s="1517" t="s">
        <v>52</v>
      </c>
      <c r="S37" s="2535" t="s">
        <v>160</v>
      </c>
      <c r="T37" s="2535"/>
      <c r="U37" s="2535" t="s">
        <v>160</v>
      </c>
      <c r="V37" s="2535"/>
      <c r="W37" s="1517" t="s">
        <v>52</v>
      </c>
      <c r="X37" s="1517" t="s">
        <v>52</v>
      </c>
      <c r="Y37" s="1517" t="s">
        <v>52</v>
      </c>
      <c r="Z37" s="1517" t="s">
        <v>52</v>
      </c>
      <c r="AA37" s="1517" t="s">
        <v>52</v>
      </c>
      <c r="AB37" s="1517" t="s">
        <v>52</v>
      </c>
      <c r="AC37" s="1517" t="s">
        <v>52</v>
      </c>
      <c r="AD37" s="1517" t="s">
        <v>52</v>
      </c>
      <c r="AE37" s="1517" t="s">
        <v>52</v>
      </c>
      <c r="AF37" s="1517" t="s">
        <v>52</v>
      </c>
      <c r="AG37" s="1517" t="s">
        <v>52</v>
      </c>
      <c r="AH37" s="1517" t="s">
        <v>52</v>
      </c>
      <c r="AI37" s="2535" t="s">
        <v>160</v>
      </c>
      <c r="AJ37" s="2535"/>
      <c r="AK37" s="2535" t="s">
        <v>160</v>
      </c>
      <c r="AL37" s="2535"/>
      <c r="AM37" s="1517" t="s">
        <v>52</v>
      </c>
      <c r="AN37" s="1517" t="s">
        <v>52</v>
      </c>
      <c r="AO37" s="1517" t="s">
        <v>52</v>
      </c>
      <c r="AP37" s="1517" t="s">
        <v>52</v>
      </c>
      <c r="AQ37" s="1517" t="s">
        <v>52</v>
      </c>
      <c r="AR37" s="1517" t="s">
        <v>52</v>
      </c>
      <c r="AS37" s="1517" t="s">
        <v>52</v>
      </c>
      <c r="AT37" s="1517" t="s">
        <v>52</v>
      </c>
      <c r="AU37" s="1517" t="s">
        <v>52</v>
      </c>
      <c r="AV37" s="1517" t="s">
        <v>52</v>
      </c>
      <c r="AW37" s="1517" t="s">
        <v>52</v>
      </c>
      <c r="AX37" s="1517" t="s">
        <v>52</v>
      </c>
      <c r="AY37" s="1517" t="s">
        <v>52</v>
      </c>
      <c r="AZ37" s="1517" t="s">
        <v>52</v>
      </c>
      <c r="BA37" s="2535" t="s">
        <v>160</v>
      </c>
      <c r="BB37" s="2535"/>
      <c r="BC37" s="2535" t="s">
        <v>160</v>
      </c>
      <c r="BD37" s="2535"/>
      <c r="BE37" s="1517" t="s">
        <v>52</v>
      </c>
      <c r="BF37" s="1517" t="s">
        <v>52</v>
      </c>
      <c r="BG37" s="1517" t="s">
        <v>52</v>
      </c>
      <c r="BH37" s="1517" t="s">
        <v>52</v>
      </c>
      <c r="BI37" s="1517" t="s">
        <v>52</v>
      </c>
      <c r="BJ37" s="1517" t="s">
        <v>52</v>
      </c>
      <c r="BK37" s="1517" t="s">
        <v>52</v>
      </c>
      <c r="BL37" s="1517" t="s">
        <v>52</v>
      </c>
      <c r="BM37" s="1517" t="s">
        <v>52</v>
      </c>
      <c r="BN37" s="2535" t="s">
        <v>160</v>
      </c>
      <c r="BO37" s="2535"/>
    </row>
    <row r="38" spans="1:67" ht="11.45" customHeight="1">
      <c r="B38" s="667" t="s">
        <v>148</v>
      </c>
      <c r="C38" s="95" t="s">
        <v>2937</v>
      </c>
      <c r="D38" s="95" t="s">
        <v>2938</v>
      </c>
      <c r="E38" s="95" t="s">
        <v>2719</v>
      </c>
      <c r="F38" s="95" t="s">
        <v>2839</v>
      </c>
      <c r="G38" s="95" t="s">
        <v>2474</v>
      </c>
      <c r="H38" s="95" t="s">
        <v>2938</v>
      </c>
      <c r="I38" s="95" t="s">
        <v>2939</v>
      </c>
      <c r="J38" s="95" t="s">
        <v>2940</v>
      </c>
      <c r="K38" s="95" t="s">
        <v>52</v>
      </c>
      <c r="L38" s="95" t="s">
        <v>2405</v>
      </c>
      <c r="M38" s="95" t="s">
        <v>2722</v>
      </c>
      <c r="N38" s="95" t="s">
        <v>2413</v>
      </c>
      <c r="O38" s="95" t="s">
        <v>2402</v>
      </c>
      <c r="P38" s="95" t="s">
        <v>2934</v>
      </c>
      <c r="Q38" s="95" t="s">
        <v>2402</v>
      </c>
      <c r="R38" s="95" t="s">
        <v>2402</v>
      </c>
      <c r="S38" s="971"/>
      <c r="T38" s="667" t="s">
        <v>148</v>
      </c>
      <c r="V38" s="667" t="s">
        <v>148</v>
      </c>
      <c r="W38" s="95" t="s">
        <v>2401</v>
      </c>
      <c r="X38" s="95" t="s">
        <v>2402</v>
      </c>
      <c r="Y38" s="95" t="s">
        <v>2478</v>
      </c>
      <c r="Z38" s="95" t="s">
        <v>52</v>
      </c>
      <c r="AA38" s="95" t="s">
        <v>2460</v>
      </c>
      <c r="AB38" s="95" t="s">
        <v>2401</v>
      </c>
      <c r="AC38" s="95" t="s">
        <v>2403</v>
      </c>
      <c r="AD38" s="95" t="s">
        <v>2544</v>
      </c>
      <c r="AE38" s="95" t="s">
        <v>2409</v>
      </c>
      <c r="AF38" s="95" t="s">
        <v>2402</v>
      </c>
      <c r="AG38" s="95" t="s">
        <v>2408</v>
      </c>
      <c r="AH38" s="95" t="s">
        <v>2413</v>
      </c>
      <c r="AJ38" s="667" t="s">
        <v>148</v>
      </c>
      <c r="AL38" s="667" t="s">
        <v>148</v>
      </c>
      <c r="AM38" s="95" t="s">
        <v>2402</v>
      </c>
      <c r="AN38" s="95" t="s">
        <v>2401</v>
      </c>
      <c r="AO38" s="95" t="s">
        <v>2403</v>
      </c>
      <c r="AP38" s="95" t="s">
        <v>2406</v>
      </c>
      <c r="AQ38" s="95" t="s">
        <v>2405</v>
      </c>
      <c r="AR38" s="95" t="s">
        <v>2688</v>
      </c>
      <c r="AS38" s="95" t="s">
        <v>2944</v>
      </c>
      <c r="AT38" s="95" t="s">
        <v>2402</v>
      </c>
      <c r="AU38" s="95" t="s">
        <v>2614</v>
      </c>
      <c r="AV38" s="95" t="s">
        <v>2401</v>
      </c>
      <c r="AW38" s="95" t="s">
        <v>2409</v>
      </c>
      <c r="AX38" s="95" t="s">
        <v>52</v>
      </c>
      <c r="AY38" s="95" t="s">
        <v>2413</v>
      </c>
      <c r="AZ38" s="95" t="s">
        <v>2402</v>
      </c>
      <c r="BB38" s="667" t="s">
        <v>148</v>
      </c>
      <c r="BD38" s="667" t="s">
        <v>148</v>
      </c>
      <c r="BE38" s="95" t="s">
        <v>2405</v>
      </c>
      <c r="BF38" s="95" t="s">
        <v>2451</v>
      </c>
      <c r="BG38" s="95" t="s">
        <v>2404</v>
      </c>
      <c r="BH38" s="95" t="s">
        <v>2770</v>
      </c>
      <c r="BI38" s="95" t="s">
        <v>2806</v>
      </c>
      <c r="BJ38" s="95" t="s">
        <v>2768</v>
      </c>
      <c r="BK38" s="95" t="s">
        <v>2449</v>
      </c>
      <c r="BL38" s="95" t="s">
        <v>52</v>
      </c>
      <c r="BM38" s="95" t="s">
        <v>52</v>
      </c>
      <c r="BO38" s="667" t="s">
        <v>148</v>
      </c>
    </row>
    <row r="39" spans="1:67" ht="11.45" customHeight="1">
      <c r="A39" s="618"/>
      <c r="B39" s="280" t="s">
        <v>149</v>
      </c>
      <c r="C39" s="1517" t="s">
        <v>52</v>
      </c>
      <c r="D39" s="1517" t="s">
        <v>52</v>
      </c>
      <c r="E39" s="1517" t="s">
        <v>52</v>
      </c>
      <c r="F39" s="1517" t="s">
        <v>52</v>
      </c>
      <c r="G39" s="1517" t="s">
        <v>52</v>
      </c>
      <c r="H39" s="1517" t="s">
        <v>52</v>
      </c>
      <c r="I39" s="1517" t="s">
        <v>52</v>
      </c>
      <c r="J39" s="1517" t="s">
        <v>52</v>
      </c>
      <c r="K39" s="1517" t="s">
        <v>52</v>
      </c>
      <c r="L39" s="1517" t="s">
        <v>2405</v>
      </c>
      <c r="M39" s="1517" t="s">
        <v>2722</v>
      </c>
      <c r="N39" s="1517" t="s">
        <v>2413</v>
      </c>
      <c r="O39" s="1517" t="s">
        <v>2402</v>
      </c>
      <c r="P39" s="1517">
        <v>0</v>
      </c>
      <c r="Q39" s="1517" t="s">
        <v>2402</v>
      </c>
      <c r="R39" s="1517">
        <v>0</v>
      </c>
      <c r="S39" s="970"/>
      <c r="T39" s="280" t="s">
        <v>149</v>
      </c>
      <c r="U39" s="618"/>
      <c r="V39" s="280" t="s">
        <v>149</v>
      </c>
      <c r="W39" s="1517" t="s">
        <v>52</v>
      </c>
      <c r="X39" s="1517" t="s">
        <v>52</v>
      </c>
      <c r="Y39" s="1517" t="s">
        <v>52</v>
      </c>
      <c r="Z39" s="1517" t="s">
        <v>2402</v>
      </c>
      <c r="AA39" s="1517" t="s">
        <v>52</v>
      </c>
      <c r="AB39" s="1517" t="s">
        <v>2411</v>
      </c>
      <c r="AC39" s="1517" t="s">
        <v>52</v>
      </c>
      <c r="AD39" s="1517" t="s">
        <v>52</v>
      </c>
      <c r="AE39" s="1517" t="s">
        <v>52</v>
      </c>
      <c r="AF39" s="1517" t="s">
        <v>52</v>
      </c>
      <c r="AG39" s="1517" t="s">
        <v>2408</v>
      </c>
      <c r="AH39" s="1517" t="s">
        <v>52</v>
      </c>
      <c r="AI39" s="618"/>
      <c r="AJ39" s="280" t="s">
        <v>149</v>
      </c>
      <c r="AK39" s="618"/>
      <c r="AL39" s="280" t="s">
        <v>149</v>
      </c>
      <c r="AM39" s="1517" t="s">
        <v>52</v>
      </c>
      <c r="AN39" s="1517" t="s">
        <v>52</v>
      </c>
      <c r="AO39" s="1517" t="s">
        <v>2402</v>
      </c>
      <c r="AP39" s="1517" t="s">
        <v>52</v>
      </c>
      <c r="AQ39" s="1517" t="s">
        <v>52</v>
      </c>
      <c r="AR39" s="1517" t="s">
        <v>2751</v>
      </c>
      <c r="AS39" s="1517" t="s">
        <v>52</v>
      </c>
      <c r="AT39" s="1517" t="s">
        <v>52</v>
      </c>
      <c r="AU39" s="1517" t="s">
        <v>52</v>
      </c>
      <c r="AV39" s="1517" t="s">
        <v>52</v>
      </c>
      <c r="AW39" s="1517" t="s">
        <v>52</v>
      </c>
      <c r="AX39" s="1517" t="s">
        <v>52</v>
      </c>
      <c r="AY39" s="1517" t="s">
        <v>2406</v>
      </c>
      <c r="AZ39" s="1517" t="s">
        <v>52</v>
      </c>
      <c r="BA39" s="618"/>
      <c r="BB39" s="280" t="s">
        <v>149</v>
      </c>
      <c r="BC39" s="618"/>
      <c r="BD39" s="280" t="s">
        <v>149</v>
      </c>
      <c r="BE39" s="1517" t="s">
        <v>52</v>
      </c>
      <c r="BF39" s="1517" t="s">
        <v>2418</v>
      </c>
      <c r="BG39" s="1517" t="s">
        <v>52</v>
      </c>
      <c r="BH39" s="1517" t="s">
        <v>52</v>
      </c>
      <c r="BI39" s="1517" t="s">
        <v>52</v>
      </c>
      <c r="BJ39" s="1517" t="s">
        <v>2768</v>
      </c>
      <c r="BK39" s="1517" t="s">
        <v>52</v>
      </c>
      <c r="BL39" s="1517" t="s">
        <v>52</v>
      </c>
      <c r="BM39" s="1517" t="s">
        <v>52</v>
      </c>
      <c r="BN39" s="618"/>
      <c r="BO39" s="280" t="s">
        <v>149</v>
      </c>
    </row>
    <row r="40" spans="1:67" ht="11.45" customHeight="1">
      <c r="A40" s="2536" t="s">
        <v>161</v>
      </c>
      <c r="B40" s="2536"/>
      <c r="C40" s="1518"/>
      <c r="D40" s="1518"/>
      <c r="E40" s="1518"/>
      <c r="F40" s="1518"/>
      <c r="G40" s="1518"/>
      <c r="H40" s="1518"/>
      <c r="I40" s="1518"/>
      <c r="J40" s="1518"/>
      <c r="K40" s="1518"/>
      <c r="L40" s="1518"/>
      <c r="M40" s="1518"/>
      <c r="N40" s="1518"/>
      <c r="O40" s="1518"/>
      <c r="P40" s="1518"/>
      <c r="Q40" s="1518"/>
      <c r="R40" s="1518"/>
      <c r="S40" s="2536" t="s">
        <v>161</v>
      </c>
      <c r="T40" s="2536"/>
      <c r="U40" s="2536" t="s">
        <v>161</v>
      </c>
      <c r="V40" s="2536"/>
      <c r="W40" s="1518"/>
      <c r="X40" s="1518"/>
      <c r="Y40" s="1518"/>
      <c r="Z40" s="1518"/>
      <c r="AA40" s="1518"/>
      <c r="AB40" s="1518"/>
      <c r="AC40" s="1518"/>
      <c r="AD40" s="1518"/>
      <c r="AE40" s="1518"/>
      <c r="AF40" s="1518"/>
      <c r="AG40" s="1518"/>
      <c r="AH40" s="1518"/>
      <c r="AI40" s="2536" t="s">
        <v>161</v>
      </c>
      <c r="AJ40" s="2536"/>
      <c r="AK40" s="2536" t="s">
        <v>161</v>
      </c>
      <c r="AL40" s="2536"/>
      <c r="AM40" s="1518"/>
      <c r="AN40" s="1518"/>
      <c r="AO40" s="1518"/>
      <c r="AP40" s="1518"/>
      <c r="AQ40" s="1518"/>
      <c r="AR40" s="1518"/>
      <c r="AS40" s="1518"/>
      <c r="AT40" s="1518"/>
      <c r="AU40" s="1518"/>
      <c r="AV40" s="1518"/>
      <c r="AW40" s="1518"/>
      <c r="AX40" s="1518"/>
      <c r="AY40" s="1518"/>
      <c r="AZ40" s="1518"/>
      <c r="BA40" s="2536" t="s">
        <v>161</v>
      </c>
      <c r="BB40" s="2536"/>
      <c r="BC40" s="2536" t="s">
        <v>161</v>
      </c>
      <c r="BD40" s="2536"/>
      <c r="BE40" s="1518"/>
      <c r="BF40" s="1518"/>
      <c r="BG40" s="1518"/>
      <c r="BH40" s="1518"/>
      <c r="BI40" s="1518"/>
      <c r="BJ40" s="1518"/>
      <c r="BK40" s="1518"/>
      <c r="BL40" s="1518"/>
      <c r="BM40" s="1518"/>
      <c r="BN40" s="2536" t="s">
        <v>161</v>
      </c>
      <c r="BO40" s="2536"/>
    </row>
    <row r="41" spans="1:67" ht="11.45" customHeight="1">
      <c r="A41" s="618"/>
      <c r="B41" s="280" t="s">
        <v>148</v>
      </c>
      <c r="C41" s="1520" t="s">
        <v>2864</v>
      </c>
      <c r="D41" s="1520" t="s">
        <v>2938</v>
      </c>
      <c r="E41" s="1520" t="s">
        <v>2806</v>
      </c>
      <c r="F41" s="1520" t="s">
        <v>2840</v>
      </c>
      <c r="G41" s="1520" t="s">
        <v>2474</v>
      </c>
      <c r="H41" s="1520" t="s">
        <v>2938</v>
      </c>
      <c r="I41" s="1520" t="s">
        <v>52</v>
      </c>
      <c r="J41" s="1520" t="s">
        <v>52</v>
      </c>
      <c r="K41" s="1520" t="s">
        <v>52</v>
      </c>
      <c r="L41" s="1520" t="s">
        <v>2405</v>
      </c>
      <c r="M41" s="1520" t="s">
        <v>2542</v>
      </c>
      <c r="N41" s="1520" t="s">
        <v>2409</v>
      </c>
      <c r="O41" s="1520" t="s">
        <v>2841</v>
      </c>
      <c r="P41" s="1520" t="s">
        <v>2934</v>
      </c>
      <c r="Q41" s="1520" t="s">
        <v>2542</v>
      </c>
      <c r="R41" s="1520" t="s">
        <v>2405</v>
      </c>
      <c r="S41" s="970"/>
      <c r="T41" s="280" t="s">
        <v>148</v>
      </c>
      <c r="U41" s="618"/>
      <c r="V41" s="280" t="s">
        <v>148</v>
      </c>
      <c r="W41" s="1520" t="s">
        <v>2913</v>
      </c>
      <c r="X41" s="1520" t="s">
        <v>2945</v>
      </c>
      <c r="Y41" s="1520" t="s">
        <v>2865</v>
      </c>
      <c r="Z41" s="1520" t="s">
        <v>2411</v>
      </c>
      <c r="AA41" s="1520" t="s">
        <v>2409</v>
      </c>
      <c r="AB41" s="1520" t="s">
        <v>2486</v>
      </c>
      <c r="AC41" s="1520" t="s">
        <v>2403</v>
      </c>
      <c r="AD41" s="1520" t="s">
        <v>2402</v>
      </c>
      <c r="AE41" s="1520" t="s">
        <v>2707</v>
      </c>
      <c r="AF41" s="1520" t="s">
        <v>2723</v>
      </c>
      <c r="AG41" s="1520" t="s">
        <v>2403</v>
      </c>
      <c r="AH41" s="1520" t="s">
        <v>2413</v>
      </c>
      <c r="AI41" s="618"/>
      <c r="AJ41" s="280" t="s">
        <v>148</v>
      </c>
      <c r="AK41" s="618"/>
      <c r="AL41" s="280" t="s">
        <v>148</v>
      </c>
      <c r="AM41" s="1520" t="s">
        <v>2402</v>
      </c>
      <c r="AN41" s="1520" t="s">
        <v>2484</v>
      </c>
      <c r="AO41" s="1520" t="s">
        <v>3057</v>
      </c>
      <c r="AP41" s="1520" t="s">
        <v>2401</v>
      </c>
      <c r="AQ41" s="1520" t="s">
        <v>2484</v>
      </c>
      <c r="AR41" s="1520" t="s">
        <v>2409</v>
      </c>
      <c r="AS41" s="1520" t="s">
        <v>2409</v>
      </c>
      <c r="AT41" s="1520" t="s">
        <v>3058</v>
      </c>
      <c r="AU41" s="1520" t="s">
        <v>2889</v>
      </c>
      <c r="AV41" s="1520" t="s">
        <v>2401</v>
      </c>
      <c r="AW41" s="1520" t="s">
        <v>2401</v>
      </c>
      <c r="AX41" s="1520" t="s">
        <v>2866</v>
      </c>
      <c r="AY41" s="1520" t="s">
        <v>2413</v>
      </c>
      <c r="AZ41" s="1520" t="s">
        <v>2667</v>
      </c>
      <c r="BA41" s="618"/>
      <c r="BB41" s="280" t="s">
        <v>148</v>
      </c>
      <c r="BC41" s="618"/>
      <c r="BD41" s="280" t="s">
        <v>148</v>
      </c>
      <c r="BE41" s="1520" t="s">
        <v>2401</v>
      </c>
      <c r="BF41" s="1520" t="s">
        <v>2486</v>
      </c>
      <c r="BG41" s="1520" t="s">
        <v>2404</v>
      </c>
      <c r="BH41" s="1520" t="s">
        <v>2770</v>
      </c>
      <c r="BI41" s="1520" t="s">
        <v>2806</v>
      </c>
      <c r="BJ41" s="1520" t="s">
        <v>52</v>
      </c>
      <c r="BK41" s="1520" t="s">
        <v>2418</v>
      </c>
      <c r="BL41" s="1520" t="s">
        <v>2404</v>
      </c>
      <c r="BM41" s="1520" t="s">
        <v>52</v>
      </c>
      <c r="BN41" s="618"/>
      <c r="BO41" s="280" t="s">
        <v>148</v>
      </c>
    </row>
    <row r="42" spans="1:67" ht="11.45" customHeight="1">
      <c r="B42" s="667" t="s">
        <v>149</v>
      </c>
      <c r="C42" s="95" t="s">
        <v>52</v>
      </c>
      <c r="D42" s="95" t="s">
        <v>2938</v>
      </c>
      <c r="E42" s="95" t="s">
        <v>52</v>
      </c>
      <c r="F42" s="95" t="s">
        <v>52</v>
      </c>
      <c r="G42" s="95" t="s">
        <v>52</v>
      </c>
      <c r="H42" s="95" t="s">
        <v>52</v>
      </c>
      <c r="I42" s="95" t="s">
        <v>52</v>
      </c>
      <c r="J42" s="95" t="s">
        <v>52</v>
      </c>
      <c r="K42" s="95" t="s">
        <v>52</v>
      </c>
      <c r="L42" s="95" t="s">
        <v>2946</v>
      </c>
      <c r="M42" s="95" t="s">
        <v>52</v>
      </c>
      <c r="N42" s="95" t="s">
        <v>52</v>
      </c>
      <c r="O42" s="95" t="s">
        <v>2838</v>
      </c>
      <c r="P42" s="95">
        <v>0</v>
      </c>
      <c r="Q42" s="95" t="s">
        <v>52</v>
      </c>
      <c r="R42" s="95">
        <v>0</v>
      </c>
      <c r="S42" s="971"/>
      <c r="T42" s="667" t="s">
        <v>149</v>
      </c>
      <c r="V42" s="667" t="s">
        <v>149</v>
      </c>
      <c r="W42" s="95" t="s">
        <v>52</v>
      </c>
      <c r="X42" s="95" t="s">
        <v>52</v>
      </c>
      <c r="Y42" s="95" t="s">
        <v>52</v>
      </c>
      <c r="Z42" s="95" t="s">
        <v>52</v>
      </c>
      <c r="AA42" s="95" t="s">
        <v>52</v>
      </c>
      <c r="AB42" s="95" t="s">
        <v>2401</v>
      </c>
      <c r="AC42" s="95" t="s">
        <v>52</v>
      </c>
      <c r="AD42" s="95" t="s">
        <v>52</v>
      </c>
      <c r="AE42" s="95" t="s">
        <v>52</v>
      </c>
      <c r="AF42" s="95" t="s">
        <v>52</v>
      </c>
      <c r="AG42" s="95" t="s">
        <v>2403</v>
      </c>
      <c r="AH42" s="95" t="s">
        <v>52</v>
      </c>
      <c r="AJ42" s="667" t="s">
        <v>149</v>
      </c>
      <c r="AL42" s="667" t="s">
        <v>149</v>
      </c>
      <c r="AM42" s="95" t="s">
        <v>2402</v>
      </c>
      <c r="AN42" s="95" t="s">
        <v>2570</v>
      </c>
      <c r="AO42" s="95" t="s">
        <v>2403</v>
      </c>
      <c r="AP42" s="95" t="s">
        <v>52</v>
      </c>
      <c r="AQ42" s="95" t="s">
        <v>52</v>
      </c>
      <c r="AR42" s="95" t="s">
        <v>52</v>
      </c>
      <c r="AS42" s="95" t="s">
        <v>52</v>
      </c>
      <c r="AT42" s="95" t="s">
        <v>52</v>
      </c>
      <c r="AU42" s="95" t="s">
        <v>52</v>
      </c>
      <c r="AV42" s="95" t="s">
        <v>52</v>
      </c>
      <c r="AW42" s="95" t="s">
        <v>52</v>
      </c>
      <c r="AX42" s="95" t="s">
        <v>52</v>
      </c>
      <c r="AY42" s="95" t="s">
        <v>2405</v>
      </c>
      <c r="AZ42" s="95" t="s">
        <v>52</v>
      </c>
      <c r="BB42" s="667" t="s">
        <v>149</v>
      </c>
      <c r="BD42" s="667" t="s">
        <v>149</v>
      </c>
      <c r="BE42" s="95" t="s">
        <v>52</v>
      </c>
      <c r="BF42" s="95" t="s">
        <v>52</v>
      </c>
      <c r="BG42" s="95" t="s">
        <v>52</v>
      </c>
      <c r="BH42" s="95" t="s">
        <v>52</v>
      </c>
      <c r="BI42" s="95" t="s">
        <v>52</v>
      </c>
      <c r="BJ42" s="95" t="s">
        <v>52</v>
      </c>
      <c r="BK42" s="95" t="s">
        <v>52</v>
      </c>
      <c r="BL42" s="95" t="s">
        <v>52</v>
      </c>
      <c r="BM42" s="95" t="s">
        <v>52</v>
      </c>
      <c r="BO42" s="667" t="s">
        <v>149</v>
      </c>
    </row>
    <row r="43" spans="1:67" ht="11.45" customHeight="1">
      <c r="A43" s="2535" t="s">
        <v>162</v>
      </c>
      <c r="B43" s="2535"/>
      <c r="C43" s="1517"/>
      <c r="D43" s="1517"/>
      <c r="E43" s="1517"/>
      <c r="F43" s="1517"/>
      <c r="G43" s="1517"/>
      <c r="H43" s="1517"/>
      <c r="I43" s="1517"/>
      <c r="J43" s="1517"/>
      <c r="K43" s="1517"/>
      <c r="L43" s="1517"/>
      <c r="M43" s="1517"/>
      <c r="N43" s="1517"/>
      <c r="O43" s="1517"/>
      <c r="P43" s="1517"/>
      <c r="Q43" s="1517"/>
      <c r="R43" s="1517"/>
      <c r="S43" s="2535" t="s">
        <v>162</v>
      </c>
      <c r="T43" s="2535"/>
      <c r="U43" s="2535" t="s">
        <v>162</v>
      </c>
      <c r="V43" s="2535"/>
      <c r="W43" s="1517"/>
      <c r="X43" s="1517"/>
      <c r="Y43" s="1517"/>
      <c r="Z43" s="1517"/>
      <c r="AA43" s="1517"/>
      <c r="AB43" s="1517"/>
      <c r="AC43" s="1517"/>
      <c r="AD43" s="1517"/>
      <c r="AE43" s="1517"/>
      <c r="AF43" s="1517"/>
      <c r="AG43" s="1517"/>
      <c r="AH43" s="1517"/>
      <c r="AI43" s="2535" t="s">
        <v>162</v>
      </c>
      <c r="AJ43" s="2535"/>
      <c r="AK43" s="2535" t="s">
        <v>162</v>
      </c>
      <c r="AL43" s="2535"/>
      <c r="AM43" s="1517"/>
      <c r="AN43" s="1517"/>
      <c r="AO43" s="1517"/>
      <c r="AP43" s="1517"/>
      <c r="AQ43" s="1517"/>
      <c r="AR43" s="1517"/>
      <c r="AS43" s="1517"/>
      <c r="AT43" s="1517"/>
      <c r="AU43" s="1517"/>
      <c r="AV43" s="1517"/>
      <c r="AW43" s="1517"/>
      <c r="AX43" s="1517"/>
      <c r="AY43" s="1517"/>
      <c r="AZ43" s="1517"/>
      <c r="BA43" s="2535" t="s">
        <v>162</v>
      </c>
      <c r="BB43" s="2535"/>
      <c r="BC43" s="2535" t="s">
        <v>162</v>
      </c>
      <c r="BD43" s="2535"/>
      <c r="BE43" s="1517"/>
      <c r="BF43" s="1517"/>
      <c r="BG43" s="1517"/>
      <c r="BH43" s="1517"/>
      <c r="BI43" s="1517"/>
      <c r="BJ43" s="1517"/>
      <c r="BK43" s="1517"/>
      <c r="BL43" s="1517"/>
      <c r="BM43" s="1517"/>
      <c r="BN43" s="2535" t="s">
        <v>162</v>
      </c>
      <c r="BO43" s="2535"/>
    </row>
    <row r="44" spans="1:67" s="1734" customFormat="1" ht="11.45" customHeight="1">
      <c r="A44" s="1732"/>
      <c r="B44" s="667" t="s">
        <v>148</v>
      </c>
      <c r="C44" s="1519" t="s">
        <v>2801</v>
      </c>
      <c r="D44" s="1519" t="s">
        <v>2947</v>
      </c>
      <c r="E44" s="1519" t="s">
        <v>2806</v>
      </c>
      <c r="F44" s="1519" t="s">
        <v>2935</v>
      </c>
      <c r="G44" s="1519" t="s">
        <v>2474</v>
      </c>
      <c r="H44" s="1519" t="s">
        <v>52</v>
      </c>
      <c r="I44" s="1519" t="s">
        <v>2939</v>
      </c>
      <c r="J44" s="1519" t="s">
        <v>2936</v>
      </c>
      <c r="K44" s="1519" t="s">
        <v>52</v>
      </c>
      <c r="L44" s="1519" t="s">
        <v>2842</v>
      </c>
      <c r="M44" s="1519" t="s">
        <v>2542</v>
      </c>
      <c r="N44" s="1519" t="s">
        <v>2409</v>
      </c>
      <c r="O44" s="1519" t="s">
        <v>2405</v>
      </c>
      <c r="P44" s="1519" t="s">
        <v>2948</v>
      </c>
      <c r="Q44" s="1519" t="s">
        <v>2402</v>
      </c>
      <c r="R44" s="1519" t="s">
        <v>3059</v>
      </c>
      <c r="S44" s="971"/>
      <c r="T44" s="667" t="s">
        <v>148</v>
      </c>
      <c r="U44" s="1732"/>
      <c r="V44" s="667" t="s">
        <v>148</v>
      </c>
      <c r="W44" s="1519" t="s">
        <v>2924</v>
      </c>
      <c r="X44" s="1519" t="s">
        <v>2925</v>
      </c>
      <c r="Y44" s="1519" t="s">
        <v>2519</v>
      </c>
      <c r="Z44" s="1519" t="s">
        <v>2401</v>
      </c>
      <c r="AA44" s="1519" t="s">
        <v>2459</v>
      </c>
      <c r="AB44" s="1519" t="s">
        <v>2486</v>
      </c>
      <c r="AC44" s="1519" t="s">
        <v>2403</v>
      </c>
      <c r="AD44" s="1519" t="s">
        <v>2459</v>
      </c>
      <c r="AE44" s="1519" t="s">
        <v>2710</v>
      </c>
      <c r="AF44" s="1519" t="s">
        <v>2477</v>
      </c>
      <c r="AG44" s="1519" t="s">
        <v>2408</v>
      </c>
      <c r="AH44" s="1519" t="s">
        <v>2413</v>
      </c>
      <c r="AI44" s="1732"/>
      <c r="AJ44" s="667" t="s">
        <v>148</v>
      </c>
      <c r="AK44" s="1732"/>
      <c r="AL44" s="667" t="s">
        <v>148</v>
      </c>
      <c r="AM44" s="1519" t="s">
        <v>2402</v>
      </c>
      <c r="AN44" s="1519" t="s">
        <v>2484</v>
      </c>
      <c r="AO44" s="1519" t="s">
        <v>3057</v>
      </c>
      <c r="AP44" s="1519" t="s">
        <v>2402</v>
      </c>
      <c r="AQ44" s="1519" t="s">
        <v>2667</v>
      </c>
      <c r="AR44" s="1519" t="s">
        <v>2949</v>
      </c>
      <c r="AS44" s="1519" t="s">
        <v>2459</v>
      </c>
      <c r="AT44" s="1519" t="s">
        <v>2402</v>
      </c>
      <c r="AU44" s="1519" t="s">
        <v>2614</v>
      </c>
      <c r="AV44" s="1519" t="s">
        <v>2752</v>
      </c>
      <c r="AW44" s="1519" t="s">
        <v>2413</v>
      </c>
      <c r="AX44" s="1519" t="s">
        <v>2866</v>
      </c>
      <c r="AY44" s="1519" t="s">
        <v>2413</v>
      </c>
      <c r="AZ44" s="1519" t="s">
        <v>2724</v>
      </c>
      <c r="BA44" s="1732"/>
      <c r="BB44" s="667" t="s">
        <v>148</v>
      </c>
      <c r="BC44" s="1732"/>
      <c r="BD44" s="667" t="s">
        <v>148</v>
      </c>
      <c r="BE44" s="1519" t="s">
        <v>2417</v>
      </c>
      <c r="BF44" s="1519" t="s">
        <v>2411</v>
      </c>
      <c r="BG44" s="1519" t="s">
        <v>2890</v>
      </c>
      <c r="BH44" s="1519" t="s">
        <v>52</v>
      </c>
      <c r="BI44" s="1519" t="s">
        <v>2950</v>
      </c>
      <c r="BJ44" s="1519" t="s">
        <v>52</v>
      </c>
      <c r="BK44" s="1519" t="s">
        <v>2418</v>
      </c>
      <c r="BL44" s="1519" t="s">
        <v>2461</v>
      </c>
      <c r="BM44" s="1519" t="s">
        <v>52</v>
      </c>
      <c r="BN44" s="1732"/>
      <c r="BO44" s="667" t="s">
        <v>148</v>
      </c>
    </row>
    <row r="45" spans="1:67" ht="11.45" customHeight="1">
      <c r="A45" s="618"/>
      <c r="B45" s="280" t="s">
        <v>149</v>
      </c>
      <c r="C45" s="1517" t="s">
        <v>52</v>
      </c>
      <c r="D45" s="1517" t="s">
        <v>52</v>
      </c>
      <c r="E45" s="1517" t="s">
        <v>52</v>
      </c>
      <c r="F45" s="1517" t="s">
        <v>52</v>
      </c>
      <c r="G45" s="1517" t="s">
        <v>52</v>
      </c>
      <c r="H45" s="1517" t="s">
        <v>2935</v>
      </c>
      <c r="I45" s="1517" t="s">
        <v>52</v>
      </c>
      <c r="J45" s="1517" t="s">
        <v>52</v>
      </c>
      <c r="K45" s="1517" t="s">
        <v>52</v>
      </c>
      <c r="L45" s="1517" t="s">
        <v>2951</v>
      </c>
      <c r="M45" s="1517" t="s">
        <v>2542</v>
      </c>
      <c r="N45" s="1517" t="s">
        <v>52</v>
      </c>
      <c r="O45" s="1517" t="s">
        <v>2405</v>
      </c>
      <c r="P45" s="1517">
        <v>0</v>
      </c>
      <c r="Q45" s="1517" t="s">
        <v>52</v>
      </c>
      <c r="R45" s="1517">
        <v>0</v>
      </c>
      <c r="S45" s="970"/>
      <c r="T45" s="280" t="s">
        <v>149</v>
      </c>
      <c r="U45" s="618"/>
      <c r="V45" s="280" t="s">
        <v>149</v>
      </c>
      <c r="W45" s="1517" t="s">
        <v>52</v>
      </c>
      <c r="X45" s="1517" t="s">
        <v>52</v>
      </c>
      <c r="Y45" s="1517" t="s">
        <v>52</v>
      </c>
      <c r="Z45" s="1517" t="s">
        <v>52</v>
      </c>
      <c r="AA45" s="1517" t="s">
        <v>52</v>
      </c>
      <c r="AB45" s="1517" t="s">
        <v>2403</v>
      </c>
      <c r="AC45" s="1517" t="s">
        <v>52</v>
      </c>
      <c r="AD45" s="1517" t="s">
        <v>52</v>
      </c>
      <c r="AE45" s="1517" t="s">
        <v>52</v>
      </c>
      <c r="AF45" s="1517" t="s">
        <v>52</v>
      </c>
      <c r="AG45" s="1517" t="s">
        <v>2408</v>
      </c>
      <c r="AH45" s="1517" t="s">
        <v>52</v>
      </c>
      <c r="AI45" s="618"/>
      <c r="AJ45" s="280" t="s">
        <v>149</v>
      </c>
      <c r="AK45" s="618"/>
      <c r="AL45" s="280" t="s">
        <v>149</v>
      </c>
      <c r="AM45" s="1517" t="s">
        <v>52</v>
      </c>
      <c r="AN45" s="1517" t="s">
        <v>52</v>
      </c>
      <c r="AO45" s="1517" t="s">
        <v>52</v>
      </c>
      <c r="AP45" s="1517" t="s">
        <v>52</v>
      </c>
      <c r="AQ45" s="1517" t="s">
        <v>52</v>
      </c>
      <c r="AR45" s="1517" t="s">
        <v>2843</v>
      </c>
      <c r="AS45" s="1517" t="s">
        <v>52</v>
      </c>
      <c r="AT45" s="1517" t="s">
        <v>52</v>
      </c>
      <c r="AU45" s="1517" t="s">
        <v>52</v>
      </c>
      <c r="AV45" s="1517" t="s">
        <v>52</v>
      </c>
      <c r="AW45" s="1517" t="s">
        <v>52</v>
      </c>
      <c r="AX45" s="1517" t="s">
        <v>52</v>
      </c>
      <c r="AY45" s="1517" t="s">
        <v>52</v>
      </c>
      <c r="AZ45" s="1517" t="s">
        <v>52</v>
      </c>
      <c r="BA45" s="618"/>
      <c r="BB45" s="280" t="s">
        <v>149</v>
      </c>
      <c r="BC45" s="618"/>
      <c r="BD45" s="280" t="s">
        <v>149</v>
      </c>
      <c r="BE45" s="1517" t="s">
        <v>52</v>
      </c>
      <c r="BF45" s="1517" t="s">
        <v>2411</v>
      </c>
      <c r="BG45" s="1517" t="s">
        <v>52</v>
      </c>
      <c r="BH45" s="1517" t="s">
        <v>52</v>
      </c>
      <c r="BI45" s="1517" t="s">
        <v>52</v>
      </c>
      <c r="BJ45" s="1517" t="s">
        <v>52</v>
      </c>
      <c r="BK45" s="1517" t="s">
        <v>52</v>
      </c>
      <c r="BL45" s="1517" t="s">
        <v>52</v>
      </c>
      <c r="BM45" s="1517" t="s">
        <v>52</v>
      </c>
      <c r="BN45" s="618"/>
      <c r="BO45" s="280" t="s">
        <v>149</v>
      </c>
    </row>
    <row r="46" spans="1:67" ht="11.45" customHeight="1">
      <c r="A46" s="2536" t="s">
        <v>163</v>
      </c>
      <c r="B46" s="2536"/>
      <c r="C46" s="1736"/>
      <c r="D46" s="1736"/>
      <c r="E46" s="1736"/>
      <c r="F46" s="1736"/>
      <c r="G46" s="1736"/>
      <c r="H46" s="1736"/>
      <c r="I46" s="1736"/>
      <c r="J46" s="1736"/>
      <c r="K46" s="1736"/>
      <c r="L46" s="1736"/>
      <c r="M46" s="1736"/>
      <c r="N46" s="1736"/>
      <c r="O46" s="1736"/>
      <c r="P46" s="1736"/>
      <c r="Q46" s="1736"/>
      <c r="R46" s="1736"/>
      <c r="S46" s="2536" t="s">
        <v>163</v>
      </c>
      <c r="T46" s="2536"/>
      <c r="U46" s="2536" t="s">
        <v>163</v>
      </c>
      <c r="V46" s="2536"/>
      <c r="W46" s="1736"/>
      <c r="X46" s="1736"/>
      <c r="Y46" s="1736"/>
      <c r="Z46" s="1736"/>
      <c r="AA46" s="1736"/>
      <c r="AB46" s="1736"/>
      <c r="AC46" s="1736"/>
      <c r="AD46" s="1736"/>
      <c r="AE46" s="1736"/>
      <c r="AF46" s="1736"/>
      <c r="AG46" s="1736"/>
      <c r="AH46" s="1736"/>
      <c r="AI46" s="2536" t="s">
        <v>163</v>
      </c>
      <c r="AJ46" s="2536"/>
      <c r="AK46" s="2536" t="s">
        <v>163</v>
      </c>
      <c r="AL46" s="2536"/>
      <c r="AM46" s="1736"/>
      <c r="AN46" s="1736"/>
      <c r="AO46" s="1736"/>
      <c r="AP46" s="1736"/>
      <c r="AQ46" s="1736"/>
      <c r="AR46" s="1736"/>
      <c r="AS46" s="1736"/>
      <c r="AT46" s="1736"/>
      <c r="AU46" s="1736"/>
      <c r="AV46" s="1736"/>
      <c r="AW46" s="1736"/>
      <c r="AX46" s="1736"/>
      <c r="AY46" s="1736"/>
      <c r="AZ46" s="1736"/>
      <c r="BA46" s="2536" t="s">
        <v>163</v>
      </c>
      <c r="BB46" s="2536"/>
      <c r="BC46" s="2536" t="s">
        <v>163</v>
      </c>
      <c r="BD46" s="2536"/>
      <c r="BE46" s="1736"/>
      <c r="BF46" s="1736"/>
      <c r="BG46" s="1736"/>
      <c r="BH46" s="1736"/>
      <c r="BI46" s="1736"/>
      <c r="BJ46" s="1736"/>
      <c r="BK46" s="1736"/>
      <c r="BL46" s="1736"/>
      <c r="BM46" s="1736"/>
      <c r="BN46" s="2536" t="s">
        <v>163</v>
      </c>
      <c r="BO46" s="2536"/>
    </row>
    <row r="47" spans="1:67" s="1733" customFormat="1" ht="11.45" customHeight="1">
      <c r="A47" s="265"/>
      <c r="B47" s="280" t="s">
        <v>148</v>
      </c>
      <c r="C47" s="1517" t="s">
        <v>52</v>
      </c>
      <c r="D47" s="1517" t="s">
        <v>2938</v>
      </c>
      <c r="E47" s="1517" t="s">
        <v>2806</v>
      </c>
      <c r="F47" s="1517" t="s">
        <v>2725</v>
      </c>
      <c r="G47" s="1517" t="s">
        <v>2474</v>
      </c>
      <c r="H47" s="1517" t="s">
        <v>2938</v>
      </c>
      <c r="I47" s="1517" t="s">
        <v>52</v>
      </c>
      <c r="J47" s="1517" t="s">
        <v>52</v>
      </c>
      <c r="K47" s="1517" t="s">
        <v>2806</v>
      </c>
      <c r="L47" s="1517" t="s">
        <v>2569</v>
      </c>
      <c r="M47" s="1517" t="s">
        <v>2402</v>
      </c>
      <c r="N47" s="1517" t="s">
        <v>2413</v>
      </c>
      <c r="O47" s="1517" t="s">
        <v>2405</v>
      </c>
      <c r="P47" s="1517" t="s">
        <v>2934</v>
      </c>
      <c r="Q47" s="1517" t="s">
        <v>2867</v>
      </c>
      <c r="R47" s="1517" t="s">
        <v>2402</v>
      </c>
      <c r="S47" s="354"/>
      <c r="T47" s="280" t="s">
        <v>148</v>
      </c>
      <c r="U47" s="265"/>
      <c r="V47" s="280" t="s">
        <v>148</v>
      </c>
      <c r="W47" s="1517" t="s">
        <v>2753</v>
      </c>
      <c r="X47" s="1517" t="s">
        <v>2720</v>
      </c>
      <c r="Y47" s="1517" t="s">
        <v>2478</v>
      </c>
      <c r="Z47" s="1517" t="s">
        <v>2402</v>
      </c>
      <c r="AA47" s="1517" t="s">
        <v>1176</v>
      </c>
      <c r="AB47" s="1517" t="s">
        <v>2891</v>
      </c>
      <c r="AC47" s="1517" t="s">
        <v>2451</v>
      </c>
      <c r="AD47" s="1517" t="s">
        <v>2402</v>
      </c>
      <c r="AE47" s="1517" t="s">
        <v>2926</v>
      </c>
      <c r="AF47" s="1517" t="s">
        <v>2402</v>
      </c>
      <c r="AG47" s="1517" t="s">
        <v>2408</v>
      </c>
      <c r="AH47" s="1517" t="s">
        <v>2485</v>
      </c>
      <c r="AI47" s="265"/>
      <c r="AJ47" s="280" t="s">
        <v>148</v>
      </c>
      <c r="AK47" s="265"/>
      <c r="AL47" s="280" t="s">
        <v>148</v>
      </c>
      <c r="AM47" s="1517" t="s">
        <v>2402</v>
      </c>
      <c r="AN47" s="1517" t="s">
        <v>3060</v>
      </c>
      <c r="AO47" s="1517" t="s">
        <v>2407</v>
      </c>
      <c r="AP47" s="1517" t="s">
        <v>2409</v>
      </c>
      <c r="AQ47" s="1517" t="s">
        <v>2405</v>
      </c>
      <c r="AR47" s="1517" t="s">
        <v>2571</v>
      </c>
      <c r="AS47" s="1517" t="s">
        <v>2409</v>
      </c>
      <c r="AT47" s="1517" t="s">
        <v>2402</v>
      </c>
      <c r="AU47" s="1517" t="s">
        <v>2614</v>
      </c>
      <c r="AV47" s="1520" t="s">
        <v>2401</v>
      </c>
      <c r="AW47" s="1517" t="s">
        <v>2409</v>
      </c>
      <c r="AX47" s="1517" t="s">
        <v>2868</v>
      </c>
      <c r="AY47" s="1517" t="s">
        <v>2413</v>
      </c>
      <c r="AZ47" s="1517" t="s">
        <v>2413</v>
      </c>
      <c r="BA47" s="265"/>
      <c r="BB47" s="280" t="s">
        <v>148</v>
      </c>
      <c r="BC47" s="265"/>
      <c r="BD47" s="280" t="s">
        <v>148</v>
      </c>
      <c r="BE47" s="1517" t="s">
        <v>52</v>
      </c>
      <c r="BF47" s="1517" t="s">
        <v>2844</v>
      </c>
      <c r="BG47" s="1517" t="s">
        <v>2461</v>
      </c>
      <c r="BH47" s="1517" t="s">
        <v>2770</v>
      </c>
      <c r="BI47" s="1517" t="s">
        <v>52</v>
      </c>
      <c r="BJ47" s="1517" t="s">
        <v>2415</v>
      </c>
      <c r="BK47" s="1517" t="s">
        <v>52</v>
      </c>
      <c r="BL47" s="1517" t="s">
        <v>2456</v>
      </c>
      <c r="BM47" s="1517" t="s">
        <v>52</v>
      </c>
      <c r="BN47" s="265"/>
      <c r="BO47" s="280" t="s">
        <v>148</v>
      </c>
    </row>
    <row r="48" spans="1:67" s="1769" customFormat="1" ht="11.45" customHeight="1" thickBot="1">
      <c r="A48" s="449"/>
      <c r="B48" s="661" t="s">
        <v>149</v>
      </c>
      <c r="C48" s="1521" t="s">
        <v>2937</v>
      </c>
      <c r="D48" s="1521" t="s">
        <v>52</v>
      </c>
      <c r="E48" s="1521" t="s">
        <v>52</v>
      </c>
      <c r="F48" s="1521" t="s">
        <v>52</v>
      </c>
      <c r="G48" s="1521" t="s">
        <v>52</v>
      </c>
      <c r="H48" s="1521" t="s">
        <v>52</v>
      </c>
      <c r="I48" s="1521" t="s">
        <v>2634</v>
      </c>
      <c r="J48" s="1521" t="s">
        <v>52</v>
      </c>
      <c r="K48" s="1521" t="s">
        <v>2952</v>
      </c>
      <c r="L48" s="1522" t="s">
        <v>2484</v>
      </c>
      <c r="M48" s="1522" t="s">
        <v>2402</v>
      </c>
      <c r="N48" s="1522" t="s">
        <v>2413</v>
      </c>
      <c r="O48" s="1521" t="s">
        <v>52</v>
      </c>
      <c r="P48" s="1521">
        <v>0</v>
      </c>
      <c r="Q48" s="1521" t="s">
        <v>52</v>
      </c>
      <c r="R48" s="1521">
        <v>0</v>
      </c>
      <c r="S48" s="958"/>
      <c r="T48" s="661" t="s">
        <v>149</v>
      </c>
      <c r="U48" s="449"/>
      <c r="V48" s="661" t="s">
        <v>149</v>
      </c>
      <c r="W48" s="1521" t="s">
        <v>52</v>
      </c>
      <c r="X48" s="1521" t="s">
        <v>52</v>
      </c>
      <c r="Y48" s="1521" t="s">
        <v>52</v>
      </c>
      <c r="Z48" s="1521" t="s">
        <v>52</v>
      </c>
      <c r="AA48" s="1521" t="s">
        <v>52</v>
      </c>
      <c r="AB48" s="1521" t="s">
        <v>52</v>
      </c>
      <c r="AC48" s="1521" t="s">
        <v>2403</v>
      </c>
      <c r="AD48" s="1521" t="s">
        <v>2545</v>
      </c>
      <c r="AE48" s="1521" t="s">
        <v>52</v>
      </c>
      <c r="AF48" s="1521" t="s">
        <v>52</v>
      </c>
      <c r="AG48" s="1521" t="s">
        <v>2408</v>
      </c>
      <c r="AH48" s="1521" t="s">
        <v>52</v>
      </c>
      <c r="AI48" s="449"/>
      <c r="AJ48" s="661" t="s">
        <v>149</v>
      </c>
      <c r="AK48" s="449"/>
      <c r="AL48" s="661" t="s">
        <v>149</v>
      </c>
      <c r="AM48" s="1521" t="s">
        <v>52</v>
      </c>
      <c r="AN48" s="1521" t="s">
        <v>52</v>
      </c>
      <c r="AO48" s="1521" t="s">
        <v>2404</v>
      </c>
      <c r="AP48" s="1521" t="s">
        <v>52</v>
      </c>
      <c r="AQ48" s="1521" t="s">
        <v>52</v>
      </c>
      <c r="AR48" s="1521" t="s">
        <v>52</v>
      </c>
      <c r="AS48" s="1521" t="s">
        <v>2402</v>
      </c>
      <c r="AT48" s="1521" t="s">
        <v>52</v>
      </c>
      <c r="AU48" s="1521" t="s">
        <v>52</v>
      </c>
      <c r="AV48" s="1521" t="s">
        <v>52</v>
      </c>
      <c r="AW48" s="1521" t="s">
        <v>2402</v>
      </c>
      <c r="AX48" s="1521" t="s">
        <v>52</v>
      </c>
      <c r="AY48" s="1521" t="s">
        <v>52</v>
      </c>
      <c r="AZ48" s="1521" t="s">
        <v>52</v>
      </c>
      <c r="BA48" s="449"/>
      <c r="BB48" s="661" t="s">
        <v>149</v>
      </c>
      <c r="BC48" s="449"/>
      <c r="BD48" s="661" t="s">
        <v>149</v>
      </c>
      <c r="BE48" s="1521" t="s">
        <v>52</v>
      </c>
      <c r="BF48" s="1521" t="s">
        <v>2844</v>
      </c>
      <c r="BG48" s="1521" t="s">
        <v>52</v>
      </c>
      <c r="BH48" s="1521" t="s">
        <v>52</v>
      </c>
      <c r="BI48" s="1521" t="s">
        <v>52</v>
      </c>
      <c r="BJ48" s="1521" t="s">
        <v>2403</v>
      </c>
      <c r="BK48" s="1521" t="s">
        <v>52</v>
      </c>
      <c r="BL48" s="1521" t="s">
        <v>52</v>
      </c>
      <c r="BM48" s="1521" t="s">
        <v>52</v>
      </c>
      <c r="BN48" s="449"/>
      <c r="BO48" s="661" t="s">
        <v>149</v>
      </c>
    </row>
    <row r="49" spans="1:67" ht="10.5" customHeight="1">
      <c r="A49" s="2538" t="s">
        <v>2246</v>
      </c>
      <c r="B49" s="2538"/>
      <c r="C49" s="2538"/>
      <c r="D49" s="2538"/>
      <c r="E49" s="2538"/>
      <c r="F49" s="2539" t="s">
        <v>2185</v>
      </c>
      <c r="G49" s="2539"/>
      <c r="H49" s="1231"/>
      <c r="I49" s="1231"/>
      <c r="J49" s="1231"/>
      <c r="K49" s="1230"/>
      <c r="L49" s="1910"/>
      <c r="M49" s="1910"/>
      <c r="N49" s="1910"/>
      <c r="O49" s="1910"/>
      <c r="P49" s="1910"/>
      <c r="Q49" s="1910"/>
      <c r="R49" s="1910"/>
      <c r="S49" s="1910"/>
      <c r="T49" s="1910"/>
      <c r="U49" s="2538" t="s">
        <v>2246</v>
      </c>
      <c r="V49" s="2538"/>
      <c r="W49" s="2538"/>
      <c r="X49" s="2538"/>
      <c r="Y49" s="2538"/>
      <c r="Z49" s="673"/>
      <c r="AA49" s="674"/>
      <c r="AB49" s="674"/>
      <c r="AC49" s="674"/>
      <c r="AD49" s="674"/>
      <c r="AE49" s="674"/>
      <c r="AF49" s="674"/>
      <c r="AG49" s="674"/>
      <c r="AH49" s="674"/>
      <c r="AK49" s="2569" t="s">
        <v>2246</v>
      </c>
      <c r="AL49" s="2569"/>
      <c r="AM49" s="2569"/>
      <c r="AN49" s="2569"/>
      <c r="AS49" s="1899"/>
      <c r="BC49" s="2538" t="s">
        <v>2246</v>
      </c>
      <c r="BD49" s="2538"/>
      <c r="BE49" s="2538"/>
      <c r="BF49" s="2538"/>
      <c r="BG49" s="2538"/>
    </row>
    <row r="50" spans="1:67" ht="12" customHeight="1">
      <c r="B50" s="1734" t="s">
        <v>152</v>
      </c>
      <c r="F50" s="1158"/>
      <c r="G50" s="1158"/>
      <c r="H50" s="53"/>
      <c r="V50" s="1734" t="s">
        <v>152</v>
      </c>
      <c r="W50" s="24"/>
      <c r="X50" s="161"/>
      <c r="Y50" s="24"/>
      <c r="Z50" s="24"/>
      <c r="AB50" s="24"/>
      <c r="AC50" s="24"/>
      <c r="AD50" s="24"/>
      <c r="AE50" s="24"/>
      <c r="AF50" s="24"/>
      <c r="AG50" s="24"/>
      <c r="AH50" s="24"/>
      <c r="AL50" s="1734" t="s">
        <v>152</v>
      </c>
      <c r="AM50" s="24"/>
      <c r="AN50" s="24"/>
      <c r="BD50" s="1734" t="s">
        <v>152</v>
      </c>
      <c r="BE50" s="24"/>
      <c r="BF50" s="24"/>
      <c r="BG50" s="24"/>
      <c r="BO50" s="1734" t="s">
        <v>629</v>
      </c>
    </row>
  </sheetData>
  <customSheetViews>
    <customSheetView guid="{A374FC54-96E3-45F0-9C12-8450400C12DF}" scale="170" topLeftCell="BF10">
      <pane xSplit="3.6026490066225163" topLeftCell="G1"/>
      <selection activeCell="BL21" sqref="BL21"/>
      <pageMargins left="0.511811023622047" right="0.511811023622047" top="0.511811023622047" bottom="0.511811023622047" header="0" footer="0.43307086614173201"/>
      <pageSetup paperSize="132" firstPageNumber="66" orientation="portrait" useFirstPageNumber="1" r:id="rId1"/>
      <headerFooter>
        <oddFooter>&amp;C&amp;"Times New Roman,Regular"&amp;8&amp;P</oddFooter>
      </headerFooter>
    </customSheetView>
  </customSheetViews>
  <mergeCells count="138">
    <mergeCell ref="BC13:BD13"/>
    <mergeCell ref="AK49:AN49"/>
    <mergeCell ref="AK46:AL46"/>
    <mergeCell ref="BA37:BB37"/>
    <mergeCell ref="BC37:BD37"/>
    <mergeCell ref="BN37:BO37"/>
    <mergeCell ref="BA40:BB40"/>
    <mergeCell ref="BC40:BD40"/>
    <mergeCell ref="BN40:BO40"/>
    <mergeCell ref="BA43:BB43"/>
    <mergeCell ref="BC43:BD43"/>
    <mergeCell ref="BN43:BO43"/>
    <mergeCell ref="BA46:BB46"/>
    <mergeCell ref="BC46:BD46"/>
    <mergeCell ref="BN46:BO46"/>
    <mergeCell ref="BC49:BG49"/>
    <mergeCell ref="AK43:AL43"/>
    <mergeCell ref="BA29:BB29"/>
    <mergeCell ref="BC29:BD29"/>
    <mergeCell ref="BN29:BO29"/>
    <mergeCell ref="BA36:BB36"/>
    <mergeCell ref="BC36:BD36"/>
    <mergeCell ref="BN36:BO36"/>
    <mergeCell ref="BC19:BD19"/>
    <mergeCell ref="AK1:AS1"/>
    <mergeCell ref="S13:T13"/>
    <mergeCell ref="BA1:BB1"/>
    <mergeCell ref="BE1:BH1"/>
    <mergeCell ref="AK6:AL6"/>
    <mergeCell ref="BA6:BB6"/>
    <mergeCell ref="BC6:BD6"/>
    <mergeCell ref="BN13:BO13"/>
    <mergeCell ref="BI1:BL1"/>
    <mergeCell ref="BN1:BO1"/>
    <mergeCell ref="BG2:BH2"/>
    <mergeCell ref="BI2:BK2"/>
    <mergeCell ref="AM3:AZ3"/>
    <mergeCell ref="BA3:BB5"/>
    <mergeCell ref="BC3:BD5"/>
    <mergeCell ref="BE3:BM3"/>
    <mergeCell ref="BN3:BO5"/>
    <mergeCell ref="AT1:AY1"/>
    <mergeCell ref="AK3:AL5"/>
    <mergeCell ref="BN6:BO6"/>
    <mergeCell ref="BA7:BB7"/>
    <mergeCell ref="BC7:BD7"/>
    <mergeCell ref="BN7:BO7"/>
    <mergeCell ref="BA13:BB13"/>
    <mergeCell ref="A6:B6"/>
    <mergeCell ref="L3:R3"/>
    <mergeCell ref="A3:B5"/>
    <mergeCell ref="C3:H3"/>
    <mergeCell ref="K1:Q1"/>
    <mergeCell ref="AI1:AJ1"/>
    <mergeCell ref="S6:T6"/>
    <mergeCell ref="U3:V5"/>
    <mergeCell ref="AC1:AH1"/>
    <mergeCell ref="A13:B13"/>
    <mergeCell ref="I3:K3"/>
    <mergeCell ref="S7:T7"/>
    <mergeCell ref="S3:T5"/>
    <mergeCell ref="B1:J1"/>
    <mergeCell ref="L2:M2"/>
    <mergeCell ref="U23:V23"/>
    <mergeCell ref="U20:V20"/>
    <mergeCell ref="AI20:AJ20"/>
    <mergeCell ref="AI6:AJ6"/>
    <mergeCell ref="U19:V19"/>
    <mergeCell ref="U6:V6"/>
    <mergeCell ref="W3:AH3"/>
    <mergeCell ref="AI3:AJ5"/>
    <mergeCell ref="Y2:Z2"/>
    <mergeCell ref="U1:AB1"/>
    <mergeCell ref="U7:V7"/>
    <mergeCell ref="A19:B19"/>
    <mergeCell ref="S19:T19"/>
    <mergeCell ref="S20:T20"/>
    <mergeCell ref="A23:B23"/>
    <mergeCell ref="A20:B20"/>
    <mergeCell ref="S23:T23"/>
    <mergeCell ref="A7:B7"/>
    <mergeCell ref="U26:V26"/>
    <mergeCell ref="U29:V29"/>
    <mergeCell ref="U36:V36"/>
    <mergeCell ref="U43:V43"/>
    <mergeCell ref="U46:V46"/>
    <mergeCell ref="U49:Y49"/>
    <mergeCell ref="A36:B36"/>
    <mergeCell ref="A43:B43"/>
    <mergeCell ref="S43:T43"/>
    <mergeCell ref="A46:B46"/>
    <mergeCell ref="S46:T46"/>
    <mergeCell ref="S40:T40"/>
    <mergeCell ref="S37:T37"/>
    <mergeCell ref="A40:B40"/>
    <mergeCell ref="A37:B37"/>
    <mergeCell ref="A49:E49"/>
    <mergeCell ref="F49:G49"/>
    <mergeCell ref="A26:B26"/>
    <mergeCell ref="S26:T26"/>
    <mergeCell ref="A29:B29"/>
    <mergeCell ref="S36:T36"/>
    <mergeCell ref="S29:T29"/>
    <mergeCell ref="AI46:AJ46"/>
    <mergeCell ref="AI7:AJ7"/>
    <mergeCell ref="AI23:AJ23"/>
    <mergeCell ref="AK37:AL37"/>
    <mergeCell ref="AI19:AJ19"/>
    <mergeCell ref="AK26:AL26"/>
    <mergeCell ref="AK29:AL29"/>
    <mergeCell ref="AK13:AL13"/>
    <mergeCell ref="U13:V13"/>
    <mergeCell ref="AI40:AJ40"/>
    <mergeCell ref="AK23:AL23"/>
    <mergeCell ref="AI37:AJ37"/>
    <mergeCell ref="AK40:AL40"/>
    <mergeCell ref="AK19:AL19"/>
    <mergeCell ref="AI13:AJ13"/>
    <mergeCell ref="AK7:AL7"/>
    <mergeCell ref="AI36:AJ36"/>
    <mergeCell ref="AI43:AJ43"/>
    <mergeCell ref="AK20:AL20"/>
    <mergeCell ref="AI26:AJ26"/>
    <mergeCell ref="AI29:AJ29"/>
    <mergeCell ref="U37:V37"/>
    <mergeCell ref="U40:V40"/>
    <mergeCell ref="AK36:AL36"/>
    <mergeCell ref="BN19:BO19"/>
    <mergeCell ref="BA20:BB20"/>
    <mergeCell ref="BC20:BD20"/>
    <mergeCell ref="BN20:BO20"/>
    <mergeCell ref="BA23:BB23"/>
    <mergeCell ref="BC23:BD23"/>
    <mergeCell ref="BN23:BO23"/>
    <mergeCell ref="BA26:BB26"/>
    <mergeCell ref="BC26:BD26"/>
    <mergeCell ref="BN26:BO26"/>
    <mergeCell ref="BA19:BB19"/>
  </mergeCells>
  <phoneticPr fontId="44" type="noConversion"/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sheetPr codeName="Sheet28"/>
  <dimension ref="A1:T59"/>
  <sheetViews>
    <sheetView zoomScale="130" zoomScaleNormal="130" workbookViewId="0">
      <pane xSplit="3" ySplit="3" topLeftCell="D31" activePane="bottomRight" state="frozen"/>
      <selection activeCell="BU10" sqref="BU10"/>
      <selection pane="topRight" activeCell="BU10" sqref="BU10"/>
      <selection pane="bottomLeft" activeCell="BU10" sqref="BU10"/>
      <selection pane="bottomRight" activeCell="Q3" sqref="Q3"/>
    </sheetView>
  </sheetViews>
  <sheetFormatPr defaultColWidth="9.140625" defaultRowHeight="12.75"/>
  <cols>
    <col min="1" max="1" width="1.85546875" style="2" customWidth="1"/>
    <col min="2" max="2" width="2.5703125" style="2" customWidth="1"/>
    <col min="3" max="3" width="29.28515625" style="2" customWidth="1"/>
    <col min="4" max="6" width="4.42578125" style="2" customWidth="1"/>
    <col min="7" max="7" width="4.7109375" style="751" customWidth="1"/>
    <col min="8" max="8" width="4.42578125" style="2" customWidth="1"/>
    <col min="9" max="9" width="3.85546875" style="2" customWidth="1"/>
    <col min="10" max="10" width="5.140625" style="2" customWidth="1"/>
    <col min="11" max="11" width="4.42578125" style="2" customWidth="1"/>
    <col min="12" max="12" width="4.85546875" style="2" customWidth="1"/>
    <col min="13" max="13" width="4.5703125" style="2" customWidth="1"/>
    <col min="14" max="16384" width="9.140625" style="2"/>
  </cols>
  <sheetData>
    <row r="1" spans="1:20" s="15" customFormat="1" ht="15" customHeight="1">
      <c r="A1" s="2570" t="s">
        <v>2773</v>
      </c>
      <c r="B1" s="2570"/>
      <c r="C1" s="2570"/>
      <c r="D1" s="2570"/>
      <c r="E1" s="2570"/>
      <c r="F1" s="2570"/>
      <c r="G1" s="2570"/>
      <c r="H1" s="2570"/>
      <c r="I1" s="2570"/>
      <c r="K1" s="2571" t="s">
        <v>1073</v>
      </c>
      <c r="L1" s="2571"/>
      <c r="M1" s="2571"/>
    </row>
    <row r="2" spans="1:20" s="5" customFormat="1" ht="11.25" customHeight="1">
      <c r="B2" s="866"/>
      <c r="C2" s="866"/>
      <c r="D2" s="866"/>
      <c r="E2" s="866"/>
      <c r="F2" s="866"/>
      <c r="G2" s="844"/>
      <c r="H2" s="1466"/>
      <c r="I2" s="1466"/>
      <c r="K2" s="2574" t="s">
        <v>507</v>
      </c>
      <c r="L2" s="2574"/>
      <c r="M2" s="2574"/>
    </row>
    <row r="3" spans="1:20" s="341" customFormat="1" ht="60" customHeight="1">
      <c r="A3" s="2010" t="s">
        <v>572</v>
      </c>
      <c r="B3" s="2010"/>
      <c r="C3" s="2010"/>
      <c r="D3" s="1464" t="s">
        <v>1347</v>
      </c>
      <c r="E3" s="1464" t="s">
        <v>1291</v>
      </c>
      <c r="F3" s="1464" t="s">
        <v>96</v>
      </c>
      <c r="G3" s="1464" t="s">
        <v>1348</v>
      </c>
      <c r="H3" s="1464" t="s">
        <v>1349</v>
      </c>
      <c r="I3" s="1464" t="s">
        <v>1350</v>
      </c>
      <c r="J3" s="1464" t="s">
        <v>1351</v>
      </c>
      <c r="K3" s="1464" t="s">
        <v>1352</v>
      </c>
      <c r="L3" s="1464" t="s">
        <v>2033</v>
      </c>
      <c r="M3" s="1464" t="s">
        <v>2034</v>
      </c>
    </row>
    <row r="4" spans="1:20" s="1469" customFormat="1" ht="9.9499999999999993" customHeight="1">
      <c r="A4" s="148" t="s">
        <v>586</v>
      </c>
      <c r="B4" s="2576" t="s">
        <v>615</v>
      </c>
      <c r="C4" s="2576"/>
      <c r="D4" s="979">
        <v>3.5</v>
      </c>
      <c r="E4" s="979">
        <v>2.94</v>
      </c>
      <c r="F4" s="966">
        <v>3</v>
      </c>
      <c r="G4" s="967">
        <v>2</v>
      </c>
      <c r="H4" s="979">
        <v>2.2599999999999998</v>
      </c>
      <c r="I4" s="979">
        <v>2.37</v>
      </c>
      <c r="J4" s="979">
        <v>3.79</v>
      </c>
      <c r="K4" s="966">
        <v>6.09</v>
      </c>
      <c r="L4" s="966">
        <v>2</v>
      </c>
      <c r="M4" s="966">
        <v>3</v>
      </c>
      <c r="O4" s="965"/>
      <c r="Q4" s="965"/>
      <c r="R4" s="965"/>
      <c r="S4" s="965"/>
      <c r="T4" s="965"/>
    </row>
    <row r="5" spans="1:20" s="29" customFormat="1" ht="9.9499999999999993" customHeight="1">
      <c r="A5" s="980" t="s">
        <v>587</v>
      </c>
      <c r="B5" s="2573" t="s">
        <v>616</v>
      </c>
      <c r="C5" s="2573"/>
      <c r="D5" s="717"/>
      <c r="E5" s="717"/>
      <c r="F5" s="981"/>
      <c r="G5" s="981"/>
      <c r="H5" s="717"/>
      <c r="I5" s="717"/>
      <c r="J5" s="717"/>
      <c r="K5" s="981"/>
      <c r="L5" s="981"/>
      <c r="M5" s="981"/>
      <c r="N5" s="1469"/>
      <c r="O5" s="965"/>
      <c r="Q5" s="965"/>
      <c r="R5" s="965"/>
      <c r="S5" s="965"/>
      <c r="T5" s="965"/>
    </row>
    <row r="6" spans="1:20" s="29" customFormat="1" ht="9.9499999999999993" customHeight="1">
      <c r="A6" s="148"/>
      <c r="B6" s="222" t="s">
        <v>617</v>
      </c>
      <c r="C6" s="64" t="s">
        <v>618</v>
      </c>
      <c r="D6" s="979">
        <v>11</v>
      </c>
      <c r="E6" s="979">
        <v>8.4499999999999993</v>
      </c>
      <c r="F6" s="966">
        <v>12.25</v>
      </c>
      <c r="G6" s="966">
        <v>6</v>
      </c>
      <c r="H6" s="979">
        <v>6.08</v>
      </c>
      <c r="I6" s="979">
        <v>8.64</v>
      </c>
      <c r="J6" s="979">
        <v>5.78</v>
      </c>
      <c r="K6" s="966">
        <v>6.9</v>
      </c>
      <c r="L6" s="966" t="s">
        <v>292</v>
      </c>
      <c r="M6" s="966">
        <v>10.5</v>
      </c>
      <c r="N6" s="1469"/>
      <c r="O6" s="965"/>
      <c r="Q6" s="965"/>
      <c r="R6" s="965"/>
      <c r="S6" s="965"/>
      <c r="T6" s="965"/>
    </row>
    <row r="7" spans="1:20" s="29" customFormat="1" ht="9.9499999999999993" customHeight="1">
      <c r="A7" s="980"/>
      <c r="B7" s="1468" t="s">
        <v>619</v>
      </c>
      <c r="C7" s="978" t="s">
        <v>620</v>
      </c>
      <c r="D7" s="717">
        <v>10.7</v>
      </c>
      <c r="E7" s="717">
        <v>8.09</v>
      </c>
      <c r="F7" s="981">
        <v>11.75</v>
      </c>
      <c r="G7" s="981">
        <v>6</v>
      </c>
      <c r="H7" s="717">
        <v>5.99</v>
      </c>
      <c r="I7" s="717">
        <v>9.33</v>
      </c>
      <c r="J7" s="717">
        <v>5.78</v>
      </c>
      <c r="K7" s="981">
        <v>9.08</v>
      </c>
      <c r="L7" s="981">
        <v>6.3299999999999992</v>
      </c>
      <c r="M7" s="981">
        <v>10.5</v>
      </c>
      <c r="N7" s="1469"/>
      <c r="O7" s="965"/>
      <c r="Q7" s="965"/>
      <c r="R7" s="965"/>
      <c r="S7" s="965"/>
      <c r="T7" s="965"/>
    </row>
    <row r="8" spans="1:20" s="29" customFormat="1" ht="9.9499999999999993" customHeight="1">
      <c r="A8" s="148"/>
      <c r="B8" s="222" t="s">
        <v>621</v>
      </c>
      <c r="C8" s="64" t="s">
        <v>79</v>
      </c>
      <c r="D8" s="979">
        <v>10.5</v>
      </c>
      <c r="E8" s="979">
        <v>7.35</v>
      </c>
      <c r="F8" s="966">
        <v>11.5</v>
      </c>
      <c r="G8" s="966">
        <v>8</v>
      </c>
      <c r="H8" s="979">
        <v>5.73</v>
      </c>
      <c r="I8" s="979">
        <v>9.91</v>
      </c>
      <c r="J8" s="979">
        <v>5.78</v>
      </c>
      <c r="K8" s="966">
        <v>9.7100000000000009</v>
      </c>
      <c r="L8" s="966">
        <v>8.85</v>
      </c>
      <c r="M8" s="966">
        <v>10.5</v>
      </c>
      <c r="N8" s="1469"/>
      <c r="O8" s="965"/>
      <c r="Q8" s="965"/>
      <c r="R8" s="965"/>
      <c r="S8" s="965"/>
      <c r="T8" s="965"/>
    </row>
    <row r="9" spans="1:20" s="29" customFormat="1" ht="9.9499999999999993" customHeight="1">
      <c r="A9" s="980"/>
      <c r="B9" s="1468" t="s">
        <v>622</v>
      </c>
      <c r="C9" s="978" t="s">
        <v>623</v>
      </c>
      <c r="D9" s="717">
        <v>10.3</v>
      </c>
      <c r="E9" s="717">
        <v>6.98</v>
      </c>
      <c r="F9" s="981">
        <v>9.25</v>
      </c>
      <c r="G9" s="981">
        <v>7.0000000000000009</v>
      </c>
      <c r="H9" s="717">
        <v>5.56</v>
      </c>
      <c r="I9" s="717">
        <v>10.220000000000001</v>
      </c>
      <c r="J9" s="717">
        <v>5.54</v>
      </c>
      <c r="K9" s="981">
        <v>9.4499999999999993</v>
      </c>
      <c r="L9" s="981">
        <v>8.75</v>
      </c>
      <c r="M9" s="981">
        <v>10.25</v>
      </c>
      <c r="N9" s="1469"/>
      <c r="O9" s="965"/>
      <c r="Q9" s="965"/>
      <c r="R9" s="965"/>
      <c r="S9" s="965"/>
      <c r="T9" s="965"/>
    </row>
    <row r="10" spans="1:20" s="29" customFormat="1" ht="9.9499999999999993" customHeight="1">
      <c r="A10" s="148"/>
      <c r="B10" s="222" t="s">
        <v>624</v>
      </c>
      <c r="C10" s="64" t="s">
        <v>625</v>
      </c>
      <c r="D10" s="979">
        <v>10</v>
      </c>
      <c r="E10" s="979">
        <v>6.62</v>
      </c>
      <c r="F10" s="966">
        <v>9</v>
      </c>
      <c r="G10" s="966">
        <v>7.5</v>
      </c>
      <c r="H10" s="979">
        <v>5.13</v>
      </c>
      <c r="I10" s="979">
        <v>9.56</v>
      </c>
      <c r="J10" s="979">
        <v>5.3</v>
      </c>
      <c r="K10" s="966">
        <v>8.08</v>
      </c>
      <c r="L10" s="966">
        <v>8.5</v>
      </c>
      <c r="M10" s="966">
        <v>9.75</v>
      </c>
      <c r="N10" s="1469"/>
      <c r="O10" s="965"/>
      <c r="Q10" s="965"/>
      <c r="R10" s="965"/>
      <c r="S10" s="965"/>
      <c r="T10" s="965"/>
    </row>
    <row r="11" spans="1:20" s="29" customFormat="1" ht="9.9499999999999993" customHeight="1">
      <c r="A11" s="980"/>
      <c r="B11" s="1468" t="s">
        <v>302</v>
      </c>
      <c r="C11" s="978" t="s">
        <v>78</v>
      </c>
      <c r="D11" s="717">
        <v>6</v>
      </c>
      <c r="E11" s="717">
        <v>5.15</v>
      </c>
      <c r="F11" s="981">
        <v>5</v>
      </c>
      <c r="G11" s="981">
        <v>5</v>
      </c>
      <c r="H11" s="717">
        <v>4.5999999999999996</v>
      </c>
      <c r="I11" s="717">
        <v>8.9</v>
      </c>
      <c r="J11" s="717">
        <v>5</v>
      </c>
      <c r="K11" s="981">
        <v>6.63</v>
      </c>
      <c r="L11" s="981">
        <v>4</v>
      </c>
      <c r="M11" s="981">
        <v>6</v>
      </c>
      <c r="N11" s="1469"/>
      <c r="O11" s="965"/>
      <c r="Q11" s="965"/>
      <c r="R11" s="965"/>
      <c r="S11" s="965"/>
      <c r="T11" s="965"/>
    </row>
    <row r="12" spans="1:20" s="149" customFormat="1" ht="10.5" customHeight="1">
      <c r="A12" s="148" t="s">
        <v>588</v>
      </c>
      <c r="B12" s="2576" t="s">
        <v>626</v>
      </c>
      <c r="C12" s="2576"/>
      <c r="D12" s="576" t="s">
        <v>292</v>
      </c>
      <c r="E12" s="979" t="s">
        <v>292</v>
      </c>
      <c r="F12" s="966" t="s">
        <v>292</v>
      </c>
      <c r="G12" s="979" t="s">
        <v>292</v>
      </c>
      <c r="H12" s="979" t="s">
        <v>292</v>
      </c>
      <c r="I12" s="979" t="s">
        <v>292</v>
      </c>
      <c r="J12" s="979" t="s">
        <v>292</v>
      </c>
      <c r="K12" s="966" t="s">
        <v>292</v>
      </c>
      <c r="L12" s="966" t="s">
        <v>292</v>
      </c>
      <c r="M12" s="967" t="s">
        <v>292</v>
      </c>
      <c r="N12" s="1469"/>
      <c r="O12" s="965"/>
      <c r="Q12" s="965"/>
      <c r="R12" s="965"/>
      <c r="S12" s="965"/>
      <c r="T12" s="965"/>
    </row>
    <row r="13" spans="1:20" s="29" customFormat="1" ht="9.9499999999999993" customHeight="1">
      <c r="A13" s="982"/>
      <c r="B13" s="1468" t="s">
        <v>617</v>
      </c>
      <c r="C13" s="1468" t="s">
        <v>627</v>
      </c>
      <c r="D13" s="717" t="s">
        <v>292</v>
      </c>
      <c r="E13" s="717">
        <v>8.4499999999999993</v>
      </c>
      <c r="F13" s="981" t="s">
        <v>292</v>
      </c>
      <c r="G13" s="981">
        <v>7.0000000000000009</v>
      </c>
      <c r="H13" s="717" t="s">
        <v>292</v>
      </c>
      <c r="I13" s="717">
        <v>10.11</v>
      </c>
      <c r="J13" s="981" t="s">
        <v>292</v>
      </c>
      <c r="K13" s="981" t="s">
        <v>292</v>
      </c>
      <c r="L13" s="981" t="s">
        <v>292</v>
      </c>
      <c r="M13" s="981" t="s">
        <v>292</v>
      </c>
      <c r="N13" s="1469"/>
      <c r="O13" s="965"/>
      <c r="Q13" s="965"/>
      <c r="R13" s="965"/>
      <c r="S13" s="965"/>
      <c r="T13" s="965"/>
    </row>
    <row r="14" spans="1:20" s="29" customFormat="1" ht="9.9499999999999993" customHeight="1">
      <c r="A14" s="983"/>
      <c r="B14" s="222" t="s">
        <v>619</v>
      </c>
      <c r="C14" s="222" t="s">
        <v>628</v>
      </c>
      <c r="D14" s="979" t="s">
        <v>292</v>
      </c>
      <c r="E14" s="979">
        <v>8.4499999999999993</v>
      </c>
      <c r="F14" s="966" t="s">
        <v>292</v>
      </c>
      <c r="G14" s="966" t="s">
        <v>292</v>
      </c>
      <c r="H14" s="979" t="s">
        <v>292</v>
      </c>
      <c r="I14" s="979" t="s">
        <v>292</v>
      </c>
      <c r="J14" s="979" t="s">
        <v>292</v>
      </c>
      <c r="K14" s="966" t="s">
        <v>292</v>
      </c>
      <c r="L14" s="966" t="s">
        <v>292</v>
      </c>
      <c r="M14" s="966" t="s">
        <v>292</v>
      </c>
      <c r="N14" s="1469"/>
      <c r="O14" s="965"/>
      <c r="Q14" s="965"/>
      <c r="R14" s="965"/>
      <c r="S14" s="965"/>
      <c r="T14" s="965"/>
    </row>
    <row r="15" spans="1:20" s="29" customFormat="1" ht="9.9499999999999993" customHeight="1">
      <c r="A15" s="982"/>
      <c r="B15" s="1468" t="s">
        <v>621</v>
      </c>
      <c r="C15" s="1468" t="s">
        <v>237</v>
      </c>
      <c r="D15" s="717" t="s">
        <v>292</v>
      </c>
      <c r="E15" s="717">
        <v>8.4499999999999993</v>
      </c>
      <c r="F15" s="981" t="s">
        <v>292</v>
      </c>
      <c r="G15" s="981" t="s">
        <v>292</v>
      </c>
      <c r="H15" s="717">
        <v>6.78</v>
      </c>
      <c r="I15" s="717" t="s">
        <v>292</v>
      </c>
      <c r="J15" s="981" t="s">
        <v>292</v>
      </c>
      <c r="K15" s="981">
        <v>10.119999999999999</v>
      </c>
      <c r="L15" s="981" t="s">
        <v>292</v>
      </c>
      <c r="M15" s="981" t="s">
        <v>292</v>
      </c>
      <c r="N15" s="1469"/>
      <c r="O15" s="965"/>
      <c r="Q15" s="965"/>
      <c r="R15" s="965"/>
      <c r="S15" s="965"/>
      <c r="T15" s="965"/>
    </row>
    <row r="16" spans="1:20" s="29" customFormat="1" ht="9.9499999999999993" customHeight="1">
      <c r="A16" s="308"/>
      <c r="B16" s="2518" t="s">
        <v>878</v>
      </c>
      <c r="C16" s="2518"/>
      <c r="D16" s="576" t="s">
        <v>292</v>
      </c>
      <c r="E16" s="967" t="s">
        <v>292</v>
      </c>
      <c r="F16" s="967" t="s">
        <v>292</v>
      </c>
      <c r="G16" s="967" t="s">
        <v>292</v>
      </c>
      <c r="H16" s="576" t="s">
        <v>292</v>
      </c>
      <c r="I16" s="576" t="s">
        <v>292</v>
      </c>
      <c r="J16" s="967" t="s">
        <v>292</v>
      </c>
      <c r="K16" s="967" t="s">
        <v>292</v>
      </c>
      <c r="L16" s="967" t="s">
        <v>292</v>
      </c>
      <c r="M16" s="967" t="s">
        <v>292</v>
      </c>
      <c r="N16" s="1469"/>
      <c r="O16" s="965"/>
      <c r="Q16" s="965"/>
      <c r="R16" s="965"/>
      <c r="S16" s="965"/>
      <c r="T16" s="965"/>
    </row>
    <row r="17" spans="1:20" s="29" customFormat="1" ht="9.9499999999999993" customHeight="1">
      <c r="A17" s="982"/>
      <c r="B17" s="282" t="s">
        <v>303</v>
      </c>
      <c r="C17" s="1468" t="s">
        <v>618</v>
      </c>
      <c r="D17" s="717" t="s">
        <v>292</v>
      </c>
      <c r="E17" s="717">
        <v>8.4499999999999993</v>
      </c>
      <c r="F17" s="981" t="s">
        <v>292</v>
      </c>
      <c r="G17" s="981" t="s">
        <v>292</v>
      </c>
      <c r="H17" s="717" t="s">
        <v>292</v>
      </c>
      <c r="I17" s="717" t="s">
        <v>292</v>
      </c>
      <c r="J17" s="981" t="s">
        <v>292</v>
      </c>
      <c r="K17" s="981" t="s">
        <v>292</v>
      </c>
      <c r="L17" s="981" t="s">
        <v>292</v>
      </c>
      <c r="M17" s="981">
        <v>10</v>
      </c>
      <c r="N17" s="1469"/>
      <c r="O17" s="965"/>
      <c r="Q17" s="965"/>
      <c r="R17" s="965"/>
      <c r="S17" s="965"/>
      <c r="T17" s="965"/>
    </row>
    <row r="18" spans="1:20" s="29" customFormat="1" ht="9.9499999999999993" customHeight="1">
      <c r="A18" s="983"/>
      <c r="B18" s="552" t="s">
        <v>471</v>
      </c>
      <c r="C18" s="222" t="s">
        <v>98</v>
      </c>
      <c r="D18" s="979">
        <v>7.1</v>
      </c>
      <c r="E18" s="979">
        <v>8.4499999999999993</v>
      </c>
      <c r="F18" s="966" t="s">
        <v>292</v>
      </c>
      <c r="G18" s="966" t="s">
        <v>292</v>
      </c>
      <c r="H18" s="979" t="s">
        <v>292</v>
      </c>
      <c r="I18" s="979" t="s">
        <v>292</v>
      </c>
      <c r="J18" s="967" t="s">
        <v>292</v>
      </c>
      <c r="K18" s="966" t="s">
        <v>292</v>
      </c>
      <c r="L18" s="966" t="s">
        <v>292</v>
      </c>
      <c r="M18" s="966">
        <v>10</v>
      </c>
      <c r="N18" s="1469"/>
      <c r="O18" s="965"/>
      <c r="Q18" s="965"/>
      <c r="R18" s="965"/>
      <c r="S18" s="965"/>
      <c r="T18" s="965"/>
    </row>
    <row r="19" spans="1:20" s="29" customFormat="1" ht="9.9499999999999993" customHeight="1">
      <c r="A19" s="982"/>
      <c r="B19" s="282" t="s">
        <v>295</v>
      </c>
      <c r="C19" s="1468" t="s">
        <v>99</v>
      </c>
      <c r="D19" s="717">
        <v>7.5</v>
      </c>
      <c r="E19" s="717">
        <v>8.4499999999999993</v>
      </c>
      <c r="F19" s="981" t="s">
        <v>292</v>
      </c>
      <c r="G19" s="981" t="s">
        <v>292</v>
      </c>
      <c r="H19" s="717" t="s">
        <v>292</v>
      </c>
      <c r="I19" s="717" t="s">
        <v>292</v>
      </c>
      <c r="J19" s="981" t="s">
        <v>292</v>
      </c>
      <c r="K19" s="981" t="s">
        <v>292</v>
      </c>
      <c r="L19" s="981" t="s">
        <v>292</v>
      </c>
      <c r="M19" s="981">
        <v>10</v>
      </c>
      <c r="N19" s="1469"/>
      <c r="O19" s="965"/>
      <c r="Q19" s="965"/>
      <c r="R19" s="965"/>
      <c r="S19" s="965"/>
      <c r="T19" s="965"/>
    </row>
    <row r="20" spans="1:20" s="29" customFormat="1" ht="9.9499999999999993" customHeight="1">
      <c r="A20" s="983"/>
      <c r="B20" s="64" t="s">
        <v>356</v>
      </c>
      <c r="C20" s="64" t="s">
        <v>357</v>
      </c>
      <c r="D20" s="966" t="s">
        <v>292</v>
      </c>
      <c r="E20" s="966" t="s">
        <v>292</v>
      </c>
      <c r="F20" s="966" t="s">
        <v>292</v>
      </c>
      <c r="G20" s="966" t="s">
        <v>292</v>
      </c>
      <c r="H20" s="966" t="s">
        <v>292</v>
      </c>
      <c r="I20" s="966" t="s">
        <v>292</v>
      </c>
      <c r="J20" s="967" t="s">
        <v>292</v>
      </c>
      <c r="K20" s="966" t="s">
        <v>292</v>
      </c>
      <c r="L20" s="966" t="s">
        <v>292</v>
      </c>
      <c r="M20" s="966" t="s">
        <v>292</v>
      </c>
      <c r="N20" s="1469"/>
      <c r="O20" s="965"/>
      <c r="Q20" s="965"/>
      <c r="R20" s="965"/>
      <c r="S20" s="965"/>
      <c r="T20" s="965"/>
    </row>
    <row r="21" spans="1:20" s="29" customFormat="1" ht="9.9499999999999993" customHeight="1">
      <c r="A21" s="982"/>
      <c r="B21" s="282" t="s">
        <v>303</v>
      </c>
      <c r="C21" s="1468" t="s">
        <v>100</v>
      </c>
      <c r="D21" s="981">
        <v>12.5</v>
      </c>
      <c r="E21" s="717">
        <v>8.4499999999999993</v>
      </c>
      <c r="F21" s="981" t="s">
        <v>292</v>
      </c>
      <c r="G21" s="981" t="s">
        <v>292</v>
      </c>
      <c r="H21" s="717">
        <v>7.91</v>
      </c>
      <c r="I21" s="717">
        <v>10.83</v>
      </c>
      <c r="J21" s="717" t="s">
        <v>292</v>
      </c>
      <c r="K21" s="981">
        <v>8.65</v>
      </c>
      <c r="L21" s="981">
        <v>13.389999999999999</v>
      </c>
      <c r="M21" s="981">
        <v>13.950000000000001</v>
      </c>
      <c r="N21" s="1469"/>
      <c r="O21" s="965"/>
      <c r="Q21" s="965"/>
      <c r="R21" s="965"/>
      <c r="S21" s="965"/>
      <c r="T21" s="965"/>
    </row>
    <row r="22" spans="1:20" s="29" customFormat="1" ht="9.9499999999999993" customHeight="1">
      <c r="A22" s="983"/>
      <c r="B22" s="552" t="s">
        <v>471</v>
      </c>
      <c r="C22" s="222" t="s">
        <v>101</v>
      </c>
      <c r="D22" s="966" t="s">
        <v>292</v>
      </c>
      <c r="E22" s="979">
        <v>8.4499999999999993</v>
      </c>
      <c r="F22" s="966" t="s">
        <v>292</v>
      </c>
      <c r="G22" s="966" t="s">
        <v>292</v>
      </c>
      <c r="H22" s="979">
        <v>8.43</v>
      </c>
      <c r="I22" s="979" t="s">
        <v>292</v>
      </c>
      <c r="J22" s="979" t="s">
        <v>292</v>
      </c>
      <c r="K22" s="966">
        <v>7.98</v>
      </c>
      <c r="L22" s="966" t="s">
        <v>292</v>
      </c>
      <c r="M22" s="966" t="s">
        <v>292</v>
      </c>
      <c r="N22" s="1469"/>
      <c r="O22" s="965"/>
      <c r="Q22" s="965"/>
      <c r="R22" s="965"/>
      <c r="S22" s="965"/>
      <c r="T22" s="965"/>
    </row>
    <row r="23" spans="1:20" s="29" customFormat="1" ht="9.9499999999999993" customHeight="1">
      <c r="A23" s="982"/>
      <c r="B23" s="1468" t="s">
        <v>358</v>
      </c>
      <c r="C23" s="978" t="s">
        <v>359</v>
      </c>
      <c r="D23" s="981" t="s">
        <v>292</v>
      </c>
      <c r="E23" s="981"/>
      <c r="F23" s="981" t="s">
        <v>292</v>
      </c>
      <c r="G23" s="981" t="s">
        <v>292</v>
      </c>
      <c r="H23" s="717" t="s">
        <v>292</v>
      </c>
      <c r="I23" s="717" t="s">
        <v>292</v>
      </c>
      <c r="J23" s="717" t="s">
        <v>292</v>
      </c>
      <c r="K23" s="981" t="s">
        <v>292</v>
      </c>
      <c r="L23" s="981" t="s">
        <v>292</v>
      </c>
      <c r="M23" s="981" t="s">
        <v>292</v>
      </c>
      <c r="N23" s="1469"/>
      <c r="O23" s="965"/>
      <c r="Q23" s="965"/>
      <c r="R23" s="965"/>
      <c r="S23" s="965"/>
      <c r="T23" s="965"/>
    </row>
    <row r="24" spans="1:20" s="29" customFormat="1" ht="9.9499999999999993" customHeight="1">
      <c r="A24" s="983"/>
      <c r="B24" s="552" t="s">
        <v>348</v>
      </c>
      <c r="C24" s="64" t="s">
        <v>347</v>
      </c>
      <c r="D24" s="966" t="s">
        <v>292</v>
      </c>
      <c r="E24" s="979">
        <v>8.4499999999999993</v>
      </c>
      <c r="F24" s="966" t="s">
        <v>292</v>
      </c>
      <c r="G24" s="966" t="s">
        <v>292</v>
      </c>
      <c r="H24" s="979">
        <v>8.6</v>
      </c>
      <c r="I24" s="979">
        <v>8.6499999999999986</v>
      </c>
      <c r="J24" s="979">
        <v>8.07</v>
      </c>
      <c r="K24" s="966">
        <v>8.59</v>
      </c>
      <c r="L24" s="966">
        <v>11.5</v>
      </c>
      <c r="M24" s="966">
        <v>10</v>
      </c>
      <c r="N24" s="1469"/>
      <c r="O24" s="965"/>
      <c r="Q24" s="965"/>
      <c r="R24" s="965"/>
      <c r="S24" s="965"/>
      <c r="T24" s="965"/>
    </row>
    <row r="25" spans="1:20" s="29" customFormat="1" ht="10.5" customHeight="1">
      <c r="A25" s="982"/>
      <c r="B25" s="282" t="s">
        <v>349</v>
      </c>
      <c r="C25" s="978" t="s">
        <v>350</v>
      </c>
      <c r="D25" s="981" t="s">
        <v>292</v>
      </c>
      <c r="E25" s="717">
        <v>8.4499999999999993</v>
      </c>
      <c r="F25" s="981" t="s">
        <v>292</v>
      </c>
      <c r="G25" s="981" t="s">
        <v>292</v>
      </c>
      <c r="H25" s="717">
        <v>8.77</v>
      </c>
      <c r="I25" s="717" t="s">
        <v>292</v>
      </c>
      <c r="J25" s="717">
        <v>8.1300000000000008</v>
      </c>
      <c r="K25" s="981" t="s">
        <v>292</v>
      </c>
      <c r="L25" s="981">
        <v>12.25</v>
      </c>
      <c r="M25" s="981">
        <v>10</v>
      </c>
      <c r="N25" s="1469"/>
      <c r="O25" s="965"/>
      <c r="Q25" s="965"/>
      <c r="R25" s="965"/>
      <c r="S25" s="965"/>
      <c r="T25" s="965"/>
    </row>
    <row r="26" spans="1:20" s="29" customFormat="1" ht="9.9499999999999993" customHeight="1">
      <c r="A26" s="983"/>
      <c r="B26" s="552" t="s">
        <v>293</v>
      </c>
      <c r="C26" s="64" t="s">
        <v>351</v>
      </c>
      <c r="D26" s="966" t="s">
        <v>292</v>
      </c>
      <c r="E26" s="979">
        <v>8.4499999999999993</v>
      </c>
      <c r="F26" s="966" t="s">
        <v>292</v>
      </c>
      <c r="G26" s="966" t="s">
        <v>292</v>
      </c>
      <c r="H26" s="979">
        <v>9.4700000000000006</v>
      </c>
      <c r="I26" s="979" t="s">
        <v>292</v>
      </c>
      <c r="J26" s="979" t="s">
        <v>292</v>
      </c>
      <c r="K26" s="966" t="s">
        <v>292</v>
      </c>
      <c r="L26" s="966" t="s">
        <v>292</v>
      </c>
      <c r="M26" s="966" t="s">
        <v>292</v>
      </c>
      <c r="N26" s="1469"/>
      <c r="O26" s="965"/>
      <c r="Q26" s="965"/>
      <c r="R26" s="965"/>
      <c r="S26" s="965"/>
      <c r="T26" s="965"/>
    </row>
    <row r="27" spans="1:20" s="29" customFormat="1" ht="9.9499999999999993" customHeight="1">
      <c r="A27" s="982"/>
      <c r="B27" s="282" t="s">
        <v>294</v>
      </c>
      <c r="C27" s="978" t="s">
        <v>352</v>
      </c>
      <c r="D27" s="981" t="s">
        <v>292</v>
      </c>
      <c r="E27" s="717" t="s">
        <v>292</v>
      </c>
      <c r="F27" s="981" t="s">
        <v>292</v>
      </c>
      <c r="G27" s="981" t="s">
        <v>292</v>
      </c>
      <c r="H27" s="717">
        <v>9.73</v>
      </c>
      <c r="I27" s="717" t="s">
        <v>292</v>
      </c>
      <c r="J27" s="717" t="s">
        <v>292</v>
      </c>
      <c r="K27" s="981" t="s">
        <v>292</v>
      </c>
      <c r="L27" s="981" t="s">
        <v>292</v>
      </c>
      <c r="M27" s="981" t="s">
        <v>292</v>
      </c>
      <c r="N27" s="1469"/>
      <c r="O27" s="965"/>
      <c r="Q27" s="965"/>
      <c r="R27" s="965"/>
      <c r="S27" s="965"/>
      <c r="T27" s="965"/>
    </row>
    <row r="28" spans="1:20" s="29" customFormat="1" ht="10.5" customHeight="1">
      <c r="A28" s="983"/>
      <c r="B28" s="222" t="s">
        <v>345</v>
      </c>
      <c r="C28" s="984" t="s">
        <v>346</v>
      </c>
      <c r="D28" s="966" t="s">
        <v>292</v>
      </c>
      <c r="E28" s="966" t="s">
        <v>292</v>
      </c>
      <c r="F28" s="967" t="s">
        <v>292</v>
      </c>
      <c r="G28" s="966" t="s">
        <v>292</v>
      </c>
      <c r="H28" s="979" t="s">
        <v>292</v>
      </c>
      <c r="I28" s="979" t="s">
        <v>292</v>
      </c>
      <c r="J28" s="979" t="s">
        <v>292</v>
      </c>
      <c r="K28" s="966" t="s">
        <v>292</v>
      </c>
      <c r="L28" s="966" t="s">
        <v>292</v>
      </c>
      <c r="M28" s="966" t="s">
        <v>292</v>
      </c>
      <c r="N28" s="1469"/>
      <c r="O28" s="965"/>
      <c r="Q28" s="965"/>
      <c r="R28" s="965"/>
      <c r="S28" s="965"/>
      <c r="T28" s="965"/>
    </row>
    <row r="29" spans="1:20" s="29" customFormat="1" ht="9.9499999999999993" customHeight="1">
      <c r="A29" s="982"/>
      <c r="B29" s="282" t="s">
        <v>303</v>
      </c>
      <c r="C29" s="776" t="s">
        <v>618</v>
      </c>
      <c r="D29" s="981">
        <v>6.5</v>
      </c>
      <c r="E29" s="981">
        <v>8.4499999999999993</v>
      </c>
      <c r="F29" s="981">
        <v>8.75</v>
      </c>
      <c r="G29" s="981" t="s">
        <v>292</v>
      </c>
      <c r="H29" s="717" t="s">
        <v>292</v>
      </c>
      <c r="I29" s="717" t="s">
        <v>292</v>
      </c>
      <c r="J29" s="717">
        <v>7.77</v>
      </c>
      <c r="K29" s="981" t="s">
        <v>292</v>
      </c>
      <c r="L29" s="981" t="s">
        <v>292</v>
      </c>
      <c r="M29" s="981">
        <v>13</v>
      </c>
      <c r="N29" s="1469"/>
      <c r="O29" s="965"/>
      <c r="Q29" s="965"/>
      <c r="R29" s="965"/>
      <c r="S29" s="965"/>
      <c r="T29" s="965"/>
    </row>
    <row r="30" spans="1:20" s="205" customFormat="1" ht="9.9499999999999993" customHeight="1">
      <c r="A30" s="308"/>
      <c r="B30" s="233" t="s">
        <v>349</v>
      </c>
      <c r="C30" s="232" t="s">
        <v>98</v>
      </c>
      <c r="D30" s="576">
        <v>7</v>
      </c>
      <c r="E30" s="576">
        <v>8.4499999999999993</v>
      </c>
      <c r="F30" s="967">
        <v>9</v>
      </c>
      <c r="G30" s="967" t="s">
        <v>292</v>
      </c>
      <c r="H30" s="576" t="s">
        <v>292</v>
      </c>
      <c r="I30" s="576" t="s">
        <v>292</v>
      </c>
      <c r="J30" s="576">
        <v>7.89</v>
      </c>
      <c r="K30" s="967" t="s">
        <v>292</v>
      </c>
      <c r="L30" s="967" t="s">
        <v>292</v>
      </c>
      <c r="M30" s="967">
        <v>13</v>
      </c>
      <c r="N30" s="1469"/>
      <c r="O30" s="965"/>
      <c r="Q30" s="965"/>
      <c r="R30" s="965"/>
      <c r="S30" s="965"/>
      <c r="T30" s="965"/>
    </row>
    <row r="31" spans="1:20" s="205" customFormat="1" ht="9.9499999999999993" customHeight="1">
      <c r="A31" s="982"/>
      <c r="B31" s="282" t="s">
        <v>293</v>
      </c>
      <c r="C31" s="978" t="s">
        <v>99</v>
      </c>
      <c r="D31" s="717" t="s">
        <v>292</v>
      </c>
      <c r="E31" s="717" t="s">
        <v>292</v>
      </c>
      <c r="F31" s="981">
        <v>8.4</v>
      </c>
      <c r="G31" s="981" t="s">
        <v>292</v>
      </c>
      <c r="H31" s="717" t="s">
        <v>292</v>
      </c>
      <c r="I31" s="717" t="s">
        <v>292</v>
      </c>
      <c r="J31" s="717">
        <v>7.71</v>
      </c>
      <c r="K31" s="981" t="s">
        <v>292</v>
      </c>
      <c r="L31" s="981" t="s">
        <v>292</v>
      </c>
      <c r="M31" s="981">
        <v>13</v>
      </c>
      <c r="N31" s="1469"/>
      <c r="O31" s="965"/>
      <c r="Q31" s="965"/>
      <c r="R31" s="965"/>
      <c r="S31" s="965"/>
      <c r="T31" s="965"/>
    </row>
    <row r="32" spans="1:20" s="205" customFormat="1" ht="9.9499999999999993" customHeight="1">
      <c r="A32" s="308"/>
      <c r="B32" s="233" t="s">
        <v>294</v>
      </c>
      <c r="C32" s="232" t="s">
        <v>353</v>
      </c>
      <c r="D32" s="576">
        <v>7.5</v>
      </c>
      <c r="E32" s="576" t="s">
        <v>292</v>
      </c>
      <c r="F32" s="967">
        <v>9.25</v>
      </c>
      <c r="G32" s="967" t="s">
        <v>292</v>
      </c>
      <c r="H32" s="576" t="s">
        <v>292</v>
      </c>
      <c r="I32" s="576">
        <v>6.81</v>
      </c>
      <c r="J32" s="576">
        <v>7.71</v>
      </c>
      <c r="K32" s="967">
        <v>9.44</v>
      </c>
      <c r="L32" s="967" t="s">
        <v>292</v>
      </c>
      <c r="M32" s="967">
        <v>13</v>
      </c>
      <c r="N32" s="1469"/>
      <c r="O32" s="965"/>
      <c r="Q32" s="965"/>
      <c r="R32" s="965"/>
      <c r="S32" s="965"/>
      <c r="T32" s="965"/>
    </row>
    <row r="33" spans="1:20" s="205" customFormat="1" ht="9.9499999999999993" customHeight="1">
      <c r="A33" s="982"/>
      <c r="B33" s="282" t="s">
        <v>2035</v>
      </c>
      <c r="C33" s="978" t="s">
        <v>347</v>
      </c>
      <c r="D33" s="981" t="s">
        <v>292</v>
      </c>
      <c r="E33" s="717" t="s">
        <v>292</v>
      </c>
      <c r="F33" s="981">
        <v>8.75</v>
      </c>
      <c r="G33" s="981" t="s">
        <v>292</v>
      </c>
      <c r="H33" s="717" t="s">
        <v>292</v>
      </c>
      <c r="I33" s="717" t="s">
        <v>292</v>
      </c>
      <c r="J33" s="717">
        <v>7.65</v>
      </c>
      <c r="K33" s="981" t="s">
        <v>292</v>
      </c>
      <c r="L33" s="981" t="s">
        <v>292</v>
      </c>
      <c r="M33" s="981" t="s">
        <v>292</v>
      </c>
      <c r="N33" s="1469"/>
      <c r="O33" s="965"/>
      <c r="Q33" s="965"/>
      <c r="R33" s="965"/>
      <c r="S33" s="965"/>
      <c r="T33" s="965"/>
    </row>
    <row r="34" spans="1:20" s="205" customFormat="1" ht="9.9499999999999993" customHeight="1">
      <c r="A34" s="308"/>
      <c r="B34" s="1467" t="s">
        <v>355</v>
      </c>
      <c r="C34" s="232" t="s">
        <v>731</v>
      </c>
      <c r="D34" s="967">
        <v>7.7</v>
      </c>
      <c r="E34" s="967">
        <v>8.4499999999999993</v>
      </c>
      <c r="F34" s="967">
        <v>8.75</v>
      </c>
      <c r="G34" s="967" t="s">
        <v>292</v>
      </c>
      <c r="H34" s="576">
        <v>8.89</v>
      </c>
      <c r="I34" s="576" t="s">
        <v>292</v>
      </c>
      <c r="J34" s="576" t="s">
        <v>52</v>
      </c>
      <c r="K34" s="967">
        <v>9.44</v>
      </c>
      <c r="L34" s="967" t="s">
        <v>292</v>
      </c>
      <c r="M34" s="967" t="s">
        <v>292</v>
      </c>
      <c r="N34" s="1469"/>
      <c r="O34" s="965"/>
      <c r="Q34" s="965"/>
      <c r="R34" s="965"/>
      <c r="S34" s="965"/>
      <c r="T34" s="965"/>
    </row>
    <row r="35" spans="1:20" s="205" customFormat="1" ht="10.5" customHeight="1">
      <c r="A35" s="982"/>
      <c r="B35" s="1468" t="s">
        <v>303</v>
      </c>
      <c r="C35" s="1468" t="s">
        <v>102</v>
      </c>
      <c r="D35" s="981" t="s">
        <v>292</v>
      </c>
      <c r="E35" s="981" t="s">
        <v>292</v>
      </c>
      <c r="F35" s="981" t="s">
        <v>292</v>
      </c>
      <c r="G35" s="981" t="s">
        <v>292</v>
      </c>
      <c r="H35" s="717" t="s">
        <v>292</v>
      </c>
      <c r="I35" s="717" t="s">
        <v>292</v>
      </c>
      <c r="J35" s="717" t="s">
        <v>292</v>
      </c>
      <c r="K35" s="981" t="s">
        <v>292</v>
      </c>
      <c r="L35" s="981" t="s">
        <v>292</v>
      </c>
      <c r="M35" s="981" t="s">
        <v>292</v>
      </c>
      <c r="N35" s="1469"/>
      <c r="O35" s="965"/>
      <c r="Q35" s="965"/>
      <c r="R35" s="965"/>
      <c r="S35" s="965"/>
      <c r="T35" s="965"/>
    </row>
    <row r="36" spans="1:20" s="205" customFormat="1" ht="9.9499999999999993" customHeight="1">
      <c r="A36" s="308"/>
      <c r="B36" s="1467" t="s">
        <v>304</v>
      </c>
      <c r="C36" s="1467" t="s">
        <v>103</v>
      </c>
      <c r="D36" s="967" t="s">
        <v>292</v>
      </c>
      <c r="E36" s="967" t="s">
        <v>292</v>
      </c>
      <c r="F36" s="967">
        <v>4</v>
      </c>
      <c r="G36" s="967" t="s">
        <v>292</v>
      </c>
      <c r="H36" s="576" t="s">
        <v>292</v>
      </c>
      <c r="I36" s="576" t="s">
        <v>292</v>
      </c>
      <c r="J36" s="576">
        <v>7.41</v>
      </c>
      <c r="K36" s="967" t="s">
        <v>292</v>
      </c>
      <c r="L36" s="967">
        <v>4.5</v>
      </c>
      <c r="M36" s="967" t="s">
        <v>292</v>
      </c>
      <c r="N36" s="1469"/>
      <c r="O36" s="965"/>
      <c r="Q36" s="965"/>
      <c r="R36" s="965"/>
      <c r="S36" s="965"/>
      <c r="T36" s="965"/>
    </row>
    <row r="37" spans="1:20" s="205" customFormat="1" ht="9.9499999999999993" customHeight="1">
      <c r="A37" s="982"/>
      <c r="B37" s="1468" t="s">
        <v>305</v>
      </c>
      <c r="C37" s="1468" t="s">
        <v>104</v>
      </c>
      <c r="D37" s="981" t="s">
        <v>292</v>
      </c>
      <c r="E37" s="981" t="s">
        <v>292</v>
      </c>
      <c r="F37" s="981" t="s">
        <v>292</v>
      </c>
      <c r="G37" s="981" t="s">
        <v>292</v>
      </c>
      <c r="H37" s="717" t="s">
        <v>292</v>
      </c>
      <c r="I37" s="717" t="s">
        <v>292</v>
      </c>
      <c r="J37" s="717">
        <v>7.05</v>
      </c>
      <c r="K37" s="981" t="s">
        <v>292</v>
      </c>
      <c r="L37" s="981" t="s">
        <v>292</v>
      </c>
      <c r="M37" s="981" t="s">
        <v>292</v>
      </c>
      <c r="N37" s="1469"/>
      <c r="O37" s="965"/>
      <c r="Q37" s="965"/>
      <c r="R37" s="965"/>
      <c r="S37" s="965"/>
      <c r="T37" s="965"/>
    </row>
    <row r="38" spans="1:20" s="205" customFormat="1" ht="9.9499999999999993" customHeight="1">
      <c r="A38" s="308"/>
      <c r="B38" s="1467" t="s">
        <v>306</v>
      </c>
      <c r="C38" s="1467" t="s">
        <v>105</v>
      </c>
      <c r="D38" s="967" t="s">
        <v>292</v>
      </c>
      <c r="E38" s="967" t="s">
        <v>292</v>
      </c>
      <c r="F38" s="967" t="s">
        <v>292</v>
      </c>
      <c r="G38" s="967" t="s">
        <v>292</v>
      </c>
      <c r="H38" s="576" t="s">
        <v>292</v>
      </c>
      <c r="I38" s="576" t="s">
        <v>292</v>
      </c>
      <c r="J38" s="576" t="s">
        <v>292</v>
      </c>
      <c r="K38" s="967" t="s">
        <v>292</v>
      </c>
      <c r="L38" s="967">
        <v>5</v>
      </c>
      <c r="M38" s="967" t="s">
        <v>292</v>
      </c>
      <c r="N38" s="1469"/>
      <c r="O38" s="965"/>
      <c r="Q38" s="965"/>
      <c r="R38" s="965"/>
      <c r="S38" s="965"/>
      <c r="T38" s="965"/>
    </row>
    <row r="39" spans="1:20" s="205" customFormat="1" ht="9.9499999999999993" customHeight="1">
      <c r="A39" s="982"/>
      <c r="B39" s="1468" t="s">
        <v>307</v>
      </c>
      <c r="C39" s="1468" t="s">
        <v>106</v>
      </c>
      <c r="D39" s="981" t="s">
        <v>292</v>
      </c>
      <c r="E39" s="717">
        <v>8.4499999999999993</v>
      </c>
      <c r="F39" s="981" t="s">
        <v>292</v>
      </c>
      <c r="G39" s="981" t="s">
        <v>292</v>
      </c>
      <c r="H39" s="717">
        <v>7.57</v>
      </c>
      <c r="I39" s="717">
        <v>5.8000000000000007</v>
      </c>
      <c r="J39" s="717" t="s">
        <v>292</v>
      </c>
      <c r="K39" s="981" t="s">
        <v>292</v>
      </c>
      <c r="L39" s="981" t="s">
        <v>292</v>
      </c>
      <c r="M39" s="981">
        <v>10</v>
      </c>
      <c r="N39" s="1469"/>
      <c r="O39" s="965"/>
      <c r="Q39" s="965"/>
      <c r="R39" s="965"/>
      <c r="S39" s="965"/>
      <c r="T39" s="965"/>
    </row>
    <row r="40" spans="1:20" s="205" customFormat="1" ht="9.9499999999999993" customHeight="1">
      <c r="A40" s="308"/>
      <c r="B40" s="1467" t="s">
        <v>308</v>
      </c>
      <c r="C40" s="1467" t="s">
        <v>107</v>
      </c>
      <c r="D40" s="967" t="s">
        <v>292</v>
      </c>
      <c r="E40" s="967" t="s">
        <v>292</v>
      </c>
      <c r="F40" s="967" t="s">
        <v>292</v>
      </c>
      <c r="G40" s="967" t="s">
        <v>292</v>
      </c>
      <c r="H40" s="576" t="s">
        <v>292</v>
      </c>
      <c r="I40" s="576" t="s">
        <v>292</v>
      </c>
      <c r="J40" s="576" t="s">
        <v>292</v>
      </c>
      <c r="K40" s="967" t="s">
        <v>292</v>
      </c>
      <c r="L40" s="967" t="s">
        <v>292</v>
      </c>
      <c r="M40" s="967" t="s">
        <v>292</v>
      </c>
      <c r="N40" s="1469"/>
      <c r="O40" s="965"/>
      <c r="Q40" s="965"/>
      <c r="R40" s="965"/>
      <c r="S40" s="965"/>
      <c r="T40" s="965"/>
    </row>
    <row r="41" spans="1:20" s="205" customFormat="1" ht="9.9499999999999993" customHeight="1">
      <c r="A41" s="982"/>
      <c r="B41" s="1468" t="s">
        <v>309</v>
      </c>
      <c r="C41" s="1468" t="s">
        <v>108</v>
      </c>
      <c r="D41" s="981">
        <v>8</v>
      </c>
      <c r="E41" s="981" t="s">
        <v>292</v>
      </c>
      <c r="F41" s="981">
        <v>6.5</v>
      </c>
      <c r="G41" s="981" t="s">
        <v>292</v>
      </c>
      <c r="H41" s="717">
        <v>8.77</v>
      </c>
      <c r="I41" s="717" t="s">
        <v>292</v>
      </c>
      <c r="J41" s="717">
        <v>6.63</v>
      </c>
      <c r="K41" s="981" t="s">
        <v>292</v>
      </c>
      <c r="L41" s="981" t="s">
        <v>292</v>
      </c>
      <c r="M41" s="981" t="s">
        <v>292</v>
      </c>
      <c r="N41" s="1469"/>
      <c r="O41" s="965"/>
      <c r="P41" s="245"/>
      <c r="Q41" s="965"/>
      <c r="R41" s="965"/>
      <c r="S41" s="965"/>
      <c r="T41" s="965"/>
    </row>
    <row r="42" spans="1:20" s="205" customFormat="1" ht="9.9499999999999993" customHeight="1">
      <c r="A42" s="1467"/>
      <c r="B42" s="1467" t="s">
        <v>310</v>
      </c>
      <c r="C42" s="1467" t="s">
        <v>109</v>
      </c>
      <c r="D42" s="967" t="s">
        <v>292</v>
      </c>
      <c r="E42" s="967" t="s">
        <v>292</v>
      </c>
      <c r="F42" s="967">
        <v>5</v>
      </c>
      <c r="G42" s="967" t="s">
        <v>292</v>
      </c>
      <c r="H42" s="576" t="s">
        <v>292</v>
      </c>
      <c r="I42" s="576" t="s">
        <v>292</v>
      </c>
      <c r="J42" s="576" t="s">
        <v>292</v>
      </c>
      <c r="K42" s="967" t="s">
        <v>292</v>
      </c>
      <c r="L42" s="967" t="s">
        <v>292</v>
      </c>
      <c r="M42" s="967" t="s">
        <v>292</v>
      </c>
      <c r="N42" s="1469"/>
      <c r="O42" s="965"/>
      <c r="Q42" s="965"/>
      <c r="R42" s="965"/>
      <c r="S42" s="965"/>
      <c r="T42" s="965"/>
    </row>
    <row r="43" spans="1:20" s="205" customFormat="1" ht="9.9499999999999993" customHeight="1">
      <c r="A43" s="1468"/>
      <c r="B43" s="1468" t="s">
        <v>458</v>
      </c>
      <c r="C43" s="1468" t="s">
        <v>459</v>
      </c>
      <c r="D43" s="717">
        <v>7.5</v>
      </c>
      <c r="E43" s="717">
        <v>8.4499999999999993</v>
      </c>
      <c r="F43" s="981">
        <v>6.5</v>
      </c>
      <c r="G43" s="981" t="s">
        <v>292</v>
      </c>
      <c r="H43" s="717" t="s">
        <v>292</v>
      </c>
      <c r="I43" s="717">
        <v>6.54</v>
      </c>
      <c r="J43" s="717">
        <v>7.71</v>
      </c>
      <c r="K43" s="981" t="s">
        <v>292</v>
      </c>
      <c r="L43" s="981">
        <v>13</v>
      </c>
      <c r="M43" s="981">
        <v>10</v>
      </c>
      <c r="N43" s="1469"/>
      <c r="O43" s="965"/>
      <c r="Q43" s="965"/>
      <c r="R43" s="965"/>
      <c r="S43" s="965"/>
      <c r="T43" s="965"/>
    </row>
    <row r="44" spans="1:20" s="205" customFormat="1" ht="9.9499999999999993" customHeight="1">
      <c r="A44" s="1467"/>
      <c r="B44" s="1467" t="s">
        <v>460</v>
      </c>
      <c r="C44" s="1467" t="s">
        <v>462</v>
      </c>
      <c r="D44" s="576">
        <v>7</v>
      </c>
      <c r="E44" s="576">
        <v>8.4499999999999993</v>
      </c>
      <c r="F44" s="967">
        <v>6.25</v>
      </c>
      <c r="G44" s="967" t="s">
        <v>292</v>
      </c>
      <c r="H44" s="576" t="s">
        <v>292</v>
      </c>
      <c r="I44" s="576">
        <v>7.3</v>
      </c>
      <c r="J44" s="576">
        <v>7.89</v>
      </c>
      <c r="K44" s="967" t="s">
        <v>292</v>
      </c>
      <c r="L44" s="967">
        <v>11</v>
      </c>
      <c r="M44" s="967">
        <v>10</v>
      </c>
      <c r="N44" s="1469"/>
      <c r="O44" s="965"/>
      <c r="Q44" s="965"/>
      <c r="R44" s="965"/>
      <c r="S44" s="965"/>
      <c r="T44" s="965"/>
    </row>
    <row r="45" spans="1:20" s="205" customFormat="1" ht="9.9499999999999993" customHeight="1">
      <c r="A45" s="1468"/>
      <c r="B45" s="1468" t="s">
        <v>463</v>
      </c>
      <c r="C45" s="968" t="s">
        <v>1811</v>
      </c>
      <c r="D45" s="717" t="s">
        <v>292</v>
      </c>
      <c r="E45" s="717" t="s">
        <v>292</v>
      </c>
      <c r="F45" s="717" t="s">
        <v>292</v>
      </c>
      <c r="G45" s="981" t="s">
        <v>292</v>
      </c>
      <c r="H45" s="717" t="s">
        <v>292</v>
      </c>
      <c r="I45" s="717">
        <v>7.4300000000000006</v>
      </c>
      <c r="J45" s="717" t="s">
        <v>292</v>
      </c>
      <c r="K45" s="981">
        <v>9.31</v>
      </c>
      <c r="L45" s="981">
        <v>13</v>
      </c>
      <c r="M45" s="981" t="s">
        <v>292</v>
      </c>
      <c r="N45" s="1469"/>
      <c r="O45" s="965"/>
      <c r="Q45" s="965"/>
      <c r="R45" s="965"/>
      <c r="S45" s="965"/>
      <c r="T45" s="965"/>
    </row>
    <row r="46" spans="1:20" s="205" customFormat="1" ht="9.9499999999999993" customHeight="1">
      <c r="A46" s="1467"/>
      <c r="B46" s="1467" t="s">
        <v>464</v>
      </c>
      <c r="C46" s="309" t="s">
        <v>732</v>
      </c>
      <c r="D46" s="576">
        <v>12</v>
      </c>
      <c r="E46" s="576">
        <v>8.4499999999999993</v>
      </c>
      <c r="F46" s="967">
        <v>12.6</v>
      </c>
      <c r="G46" s="967" t="s">
        <v>292</v>
      </c>
      <c r="H46" s="576" t="s">
        <v>292</v>
      </c>
      <c r="I46" s="576" t="s">
        <v>292</v>
      </c>
      <c r="J46" s="576">
        <v>6.93</v>
      </c>
      <c r="K46" s="967">
        <v>9.56</v>
      </c>
      <c r="L46" s="967">
        <v>11.5</v>
      </c>
      <c r="M46" s="967" t="s">
        <v>292</v>
      </c>
      <c r="N46" s="1469"/>
      <c r="O46" s="965"/>
      <c r="Q46" s="965"/>
      <c r="R46" s="965"/>
      <c r="S46" s="965"/>
      <c r="T46" s="965"/>
    </row>
    <row r="47" spans="1:20" s="205" customFormat="1" ht="9.9499999999999993" customHeight="1">
      <c r="A47" s="1468"/>
      <c r="B47" s="1468" t="s">
        <v>276</v>
      </c>
      <c r="C47" s="968" t="s">
        <v>733</v>
      </c>
      <c r="D47" s="717">
        <v>11</v>
      </c>
      <c r="E47" s="717">
        <v>8.4499999999999993</v>
      </c>
      <c r="F47" s="630">
        <v>12</v>
      </c>
      <c r="G47" s="630" t="s">
        <v>292</v>
      </c>
      <c r="H47" s="717">
        <v>7.91</v>
      </c>
      <c r="I47" s="717" t="s">
        <v>292</v>
      </c>
      <c r="J47" s="717">
        <v>6.93</v>
      </c>
      <c r="K47" s="630">
        <v>9.56</v>
      </c>
      <c r="L47" s="630">
        <v>10.75</v>
      </c>
      <c r="M47" s="630">
        <v>13.34</v>
      </c>
      <c r="N47" s="1469"/>
      <c r="O47" s="965"/>
      <c r="Q47" s="965"/>
      <c r="R47" s="965"/>
      <c r="S47" s="965"/>
      <c r="T47" s="965"/>
    </row>
    <row r="48" spans="1:20" s="205" customFormat="1" ht="9.9499999999999993" customHeight="1">
      <c r="A48" s="1467"/>
      <c r="B48" s="1467" t="s">
        <v>301</v>
      </c>
      <c r="C48" s="1467" t="s">
        <v>277</v>
      </c>
      <c r="D48" s="967">
        <v>7</v>
      </c>
      <c r="E48" s="576">
        <v>8.4499999999999993</v>
      </c>
      <c r="F48" s="967">
        <v>8.75</v>
      </c>
      <c r="G48" s="967" t="s">
        <v>292</v>
      </c>
      <c r="H48" s="576">
        <v>9.2525000000000013</v>
      </c>
      <c r="I48" s="576">
        <v>7.0900000000000007</v>
      </c>
      <c r="J48" s="576">
        <v>7.71</v>
      </c>
      <c r="K48" s="967">
        <v>9.5299999999999994</v>
      </c>
      <c r="L48" s="967" t="s">
        <v>292</v>
      </c>
      <c r="M48" s="967" t="s">
        <v>292</v>
      </c>
      <c r="N48" s="1469"/>
      <c r="O48" s="965"/>
      <c r="Q48" s="965"/>
      <c r="R48" s="965"/>
      <c r="S48" s="965"/>
      <c r="T48" s="965"/>
    </row>
    <row r="49" spans="1:20" s="205" customFormat="1" ht="9.9499999999999993" customHeight="1">
      <c r="A49" s="1468"/>
      <c r="B49" s="1468" t="s">
        <v>2036</v>
      </c>
      <c r="C49" s="1468" t="s">
        <v>2037</v>
      </c>
      <c r="D49" s="981">
        <v>3</v>
      </c>
      <c r="E49" s="717" t="s">
        <v>292</v>
      </c>
      <c r="F49" s="981">
        <v>5</v>
      </c>
      <c r="G49" s="966">
        <v>2.25</v>
      </c>
      <c r="H49" s="717">
        <v>2.2599999999999998</v>
      </c>
      <c r="I49" s="717" t="s">
        <v>292</v>
      </c>
      <c r="J49" s="717">
        <v>3.73</v>
      </c>
      <c r="K49" s="981" t="s">
        <v>292</v>
      </c>
      <c r="L49" s="981">
        <v>3</v>
      </c>
      <c r="M49" s="981">
        <v>2.5</v>
      </c>
      <c r="N49" s="1469"/>
      <c r="O49" s="965"/>
      <c r="Q49" s="965"/>
      <c r="R49" s="965"/>
      <c r="S49" s="965"/>
      <c r="T49" s="965"/>
    </row>
    <row r="50" spans="1:20" s="237" customFormat="1" ht="9.9499999999999993" customHeight="1">
      <c r="A50" s="985" t="s">
        <v>589</v>
      </c>
      <c r="B50" s="2572" t="s">
        <v>53</v>
      </c>
      <c r="C50" s="2572"/>
      <c r="D50" s="967" t="s">
        <v>292</v>
      </c>
      <c r="E50" s="576">
        <v>3.68</v>
      </c>
      <c r="F50" s="967" t="s">
        <v>292</v>
      </c>
      <c r="G50" s="967" t="s">
        <v>292</v>
      </c>
      <c r="H50" s="576" t="s">
        <v>292</v>
      </c>
      <c r="I50" s="576">
        <v>8.3000000000000007</v>
      </c>
      <c r="J50" s="576" t="s">
        <v>292</v>
      </c>
      <c r="K50" s="967">
        <v>7.55</v>
      </c>
      <c r="L50" s="967">
        <v>2</v>
      </c>
      <c r="M50" s="967" t="s">
        <v>292</v>
      </c>
      <c r="N50" s="1469"/>
      <c r="O50" s="965"/>
      <c r="Q50" s="965"/>
      <c r="R50" s="965"/>
      <c r="S50" s="965"/>
      <c r="T50" s="965"/>
    </row>
    <row r="51" spans="1:20" s="205" customFormat="1" ht="9.9499999999999993" customHeight="1">
      <c r="A51" s="980" t="s">
        <v>590</v>
      </c>
      <c r="B51" s="2573" t="s">
        <v>54</v>
      </c>
      <c r="C51" s="2573"/>
      <c r="D51" s="981" t="s">
        <v>292</v>
      </c>
      <c r="E51" s="981" t="s">
        <v>292</v>
      </c>
      <c r="F51" s="981" t="s">
        <v>292</v>
      </c>
      <c r="G51" s="981">
        <v>0</v>
      </c>
      <c r="H51" s="717" t="s">
        <v>292</v>
      </c>
      <c r="I51" s="717" t="s">
        <v>292</v>
      </c>
      <c r="J51" s="717" t="s">
        <v>292</v>
      </c>
      <c r="K51" s="981" t="s">
        <v>292</v>
      </c>
      <c r="L51" s="981" t="s">
        <v>292</v>
      </c>
      <c r="M51" s="981" t="s">
        <v>292</v>
      </c>
      <c r="N51" s="1469"/>
      <c r="O51" s="965"/>
      <c r="Q51" s="965"/>
      <c r="R51" s="965"/>
      <c r="S51" s="965"/>
      <c r="T51" s="965"/>
    </row>
    <row r="52" spans="1:20" s="205" customFormat="1" ht="11.25" customHeight="1">
      <c r="A52" s="308"/>
      <c r="B52" s="1467" t="s">
        <v>617</v>
      </c>
      <c r="C52" s="1467" t="s">
        <v>238</v>
      </c>
      <c r="D52" s="967" t="s">
        <v>292</v>
      </c>
      <c r="E52" s="967" t="s">
        <v>292</v>
      </c>
      <c r="F52" s="967" t="s">
        <v>292</v>
      </c>
      <c r="G52" s="967">
        <v>0</v>
      </c>
      <c r="H52" s="576" t="s">
        <v>292</v>
      </c>
      <c r="I52" s="576" t="s">
        <v>292</v>
      </c>
      <c r="J52" s="576" t="s">
        <v>292</v>
      </c>
      <c r="K52" s="967" t="s">
        <v>292</v>
      </c>
      <c r="L52" s="967" t="s">
        <v>292</v>
      </c>
      <c r="M52" s="967" t="s">
        <v>292</v>
      </c>
      <c r="N52" s="1469"/>
      <c r="O52" s="965"/>
      <c r="Q52" s="965"/>
      <c r="R52" s="965"/>
      <c r="S52" s="965"/>
      <c r="T52" s="965"/>
    </row>
    <row r="53" spans="1:20" s="205" customFormat="1" ht="9.9499999999999993" customHeight="1">
      <c r="A53" s="982"/>
      <c r="B53" s="1468"/>
      <c r="C53" s="1468" t="s">
        <v>362</v>
      </c>
      <c r="D53" s="717">
        <v>7.5</v>
      </c>
      <c r="E53" s="717">
        <v>8.4499999999999993</v>
      </c>
      <c r="F53" s="981">
        <v>6.5</v>
      </c>
      <c r="G53" s="981">
        <v>5</v>
      </c>
      <c r="H53" s="717">
        <v>8.6950000000000021</v>
      </c>
      <c r="I53" s="717" t="s">
        <v>292</v>
      </c>
      <c r="J53" s="717" t="s">
        <v>292</v>
      </c>
      <c r="K53" s="981">
        <v>10.07</v>
      </c>
      <c r="L53" s="981">
        <v>13</v>
      </c>
      <c r="M53" s="981">
        <v>10</v>
      </c>
      <c r="N53" s="1469"/>
      <c r="O53" s="965"/>
      <c r="P53" s="1465"/>
      <c r="Q53" s="965"/>
      <c r="R53" s="965"/>
      <c r="S53" s="965"/>
      <c r="T53" s="965"/>
    </row>
    <row r="54" spans="1:20" s="205" customFormat="1" ht="9.9499999999999993" customHeight="1">
      <c r="A54" s="308"/>
      <c r="B54" s="1467"/>
      <c r="C54" s="1467" t="s">
        <v>360</v>
      </c>
      <c r="D54" s="576">
        <v>8</v>
      </c>
      <c r="E54" s="576">
        <v>8.4499999999999993</v>
      </c>
      <c r="F54" s="967">
        <v>6.5</v>
      </c>
      <c r="G54" s="967" t="s">
        <v>292</v>
      </c>
      <c r="H54" s="576" t="s">
        <v>292</v>
      </c>
      <c r="I54" s="576" t="s">
        <v>292</v>
      </c>
      <c r="J54" s="576" t="s">
        <v>292</v>
      </c>
      <c r="K54" s="967" t="s">
        <v>292</v>
      </c>
      <c r="L54" s="967" t="s">
        <v>292</v>
      </c>
      <c r="M54" s="967">
        <v>10</v>
      </c>
      <c r="N54" s="1469"/>
      <c r="O54" s="965"/>
      <c r="Q54" s="965"/>
      <c r="R54" s="965"/>
      <c r="S54" s="965"/>
      <c r="T54" s="965"/>
    </row>
    <row r="55" spans="1:20" s="205" customFormat="1" ht="9.9499999999999993" customHeight="1">
      <c r="A55" s="982"/>
      <c r="B55" s="1468"/>
      <c r="C55" s="1468" t="s">
        <v>361</v>
      </c>
      <c r="D55" s="981" t="s">
        <v>292</v>
      </c>
      <c r="E55" s="717">
        <v>8.4499999999999993</v>
      </c>
      <c r="F55" s="981" t="s">
        <v>292</v>
      </c>
      <c r="G55" s="981" t="s">
        <v>292</v>
      </c>
      <c r="H55" s="717" t="s">
        <v>292</v>
      </c>
      <c r="I55" s="717" t="s">
        <v>292</v>
      </c>
      <c r="J55" s="717" t="s">
        <v>292</v>
      </c>
      <c r="K55" s="981" t="s">
        <v>292</v>
      </c>
      <c r="L55" s="981" t="s">
        <v>292</v>
      </c>
      <c r="M55" s="981" t="s">
        <v>292</v>
      </c>
      <c r="N55" s="1469"/>
      <c r="O55" s="965"/>
      <c r="Q55" s="965"/>
      <c r="R55" s="965"/>
      <c r="S55" s="965"/>
      <c r="T55" s="965"/>
    </row>
    <row r="56" spans="1:20" s="205" customFormat="1" ht="10.5" customHeight="1">
      <c r="A56" s="308"/>
      <c r="B56" s="1467" t="s">
        <v>619</v>
      </c>
      <c r="C56" s="1467" t="s">
        <v>363</v>
      </c>
      <c r="D56" s="967" t="s">
        <v>292</v>
      </c>
      <c r="E56" s="576">
        <v>8.4499999999999993</v>
      </c>
      <c r="F56" s="967" t="s">
        <v>292</v>
      </c>
      <c r="G56" s="967" t="s">
        <v>292</v>
      </c>
      <c r="H56" s="576" t="s">
        <v>292</v>
      </c>
      <c r="I56" s="576">
        <v>5.75</v>
      </c>
      <c r="J56" s="576">
        <v>6.62</v>
      </c>
      <c r="K56" s="967" t="s">
        <v>292</v>
      </c>
      <c r="L56" s="967">
        <v>11</v>
      </c>
      <c r="M56" s="967" t="s">
        <v>292</v>
      </c>
      <c r="N56" s="1469"/>
      <c r="O56" s="965"/>
      <c r="Q56" s="965"/>
      <c r="R56" s="965"/>
      <c r="S56" s="965"/>
      <c r="T56" s="965"/>
    </row>
    <row r="57" spans="1:20" s="425" customFormat="1" ht="10.5" customHeight="1" thickBot="1">
      <c r="A57" s="825"/>
      <c r="B57" s="826" t="s">
        <v>621</v>
      </c>
      <c r="C57" s="826" t="s">
        <v>55</v>
      </c>
      <c r="D57" s="783">
        <v>10</v>
      </c>
      <c r="E57" s="783">
        <v>8.4499999999999993</v>
      </c>
      <c r="F57" s="955">
        <v>11</v>
      </c>
      <c r="G57" s="955" t="s">
        <v>292</v>
      </c>
      <c r="H57" s="783">
        <v>9.82</v>
      </c>
      <c r="I57" s="783" t="s">
        <v>292</v>
      </c>
      <c r="J57" s="783">
        <v>7.17</v>
      </c>
      <c r="K57" s="955" t="s">
        <v>292</v>
      </c>
      <c r="L57" s="955">
        <v>6.25</v>
      </c>
      <c r="M57" s="955" t="s">
        <v>292</v>
      </c>
      <c r="N57" s="1469"/>
      <c r="O57" s="965"/>
      <c r="Q57" s="965"/>
      <c r="R57" s="965"/>
      <c r="S57" s="965"/>
      <c r="T57" s="965"/>
    </row>
    <row r="58" spans="1:20" s="29" customFormat="1" ht="9.75" customHeight="1">
      <c r="A58" s="2389" t="s">
        <v>1214</v>
      </c>
      <c r="B58" s="2575"/>
      <c r="C58" s="2575"/>
      <c r="D58" s="2575"/>
      <c r="E58" s="104"/>
      <c r="F58" s="104"/>
      <c r="G58" s="750"/>
      <c r="H58" s="104"/>
      <c r="I58" s="104"/>
      <c r="J58" s="104"/>
      <c r="S58" s="965"/>
    </row>
    <row r="59" spans="1:20" s="8" customFormat="1" ht="9" customHeight="1">
      <c r="A59" s="9"/>
      <c r="C59" s="51" t="s">
        <v>364</v>
      </c>
      <c r="D59" s="778"/>
      <c r="E59" s="778"/>
      <c r="F59" s="778"/>
      <c r="G59" s="201"/>
      <c r="H59" s="778"/>
      <c r="I59" s="778"/>
      <c r="J59" s="778"/>
    </row>
  </sheetData>
  <customSheetViews>
    <customSheetView guid="{A374FC54-96E3-45F0-9C12-8450400C12DF}" scale="150">
      <pane xSplit="3" ySplit="3" topLeftCell="D22" activePane="bottomRight" state="frozen"/>
      <selection pane="bottomRight" activeCell="O27" sqref="O27"/>
      <pageMargins left="0.47" right="0.314" top="0.52" bottom="0.157" header="0.18" footer="0.39300000000000002"/>
      <pageSetup paperSize="132" firstPageNumber="74" orientation="portrait" useFirstPageNumber="1" r:id="rId1"/>
      <headerFooter>
        <oddFooter>&amp;C&amp;"Times New Roman,Regular"&amp;8&amp;P</oddFooter>
      </headerFooter>
    </customSheetView>
  </customSheetViews>
  <mergeCells count="11">
    <mergeCell ref="A58:D58"/>
    <mergeCell ref="B16:C16"/>
    <mergeCell ref="B12:C12"/>
    <mergeCell ref="B5:C5"/>
    <mergeCell ref="A3:C3"/>
    <mergeCell ref="B4:C4"/>
    <mergeCell ref="A1:I1"/>
    <mergeCell ref="K1:M1"/>
    <mergeCell ref="B50:C50"/>
    <mergeCell ref="B51:C51"/>
    <mergeCell ref="K2:M2"/>
  </mergeCells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sheetPr codeName="Sheet1"/>
  <dimension ref="A1:AM70"/>
  <sheetViews>
    <sheetView zoomScale="130" zoomScaleNormal="130" workbookViewId="0">
      <pane xSplit="1" ySplit="5" topLeftCell="B15" activePane="bottomRight" state="frozen"/>
      <selection activeCell="X47" sqref="X47:X50"/>
      <selection pane="topRight" activeCell="X47" sqref="X47:X50"/>
      <selection pane="bottomLeft" activeCell="X47" sqref="X47:X50"/>
      <selection pane="bottomRight" activeCell="E33" sqref="E33"/>
    </sheetView>
  </sheetViews>
  <sheetFormatPr defaultRowHeight="11.25"/>
  <cols>
    <col min="1" max="1" width="7.7109375" style="15" customWidth="1"/>
    <col min="2" max="3" width="5.7109375" style="8" customWidth="1"/>
    <col min="4" max="4" width="5.28515625" style="8" customWidth="1"/>
    <col min="5" max="5" width="5.5703125" style="8" customWidth="1"/>
    <col min="6" max="13" width="6" style="8" customWidth="1"/>
    <col min="14" max="14" width="8" style="15" customWidth="1"/>
    <col min="15" max="26" width="5.7109375" style="8" customWidth="1"/>
    <col min="27" max="27" width="7.85546875" style="15" customWidth="1"/>
    <col min="28" max="37" width="5.85546875" style="8" customWidth="1"/>
    <col min="38" max="38" width="5.5703125" style="8" customWidth="1"/>
    <col min="39" max="39" width="5.85546875" style="8" customWidth="1"/>
    <col min="40" max="16384" width="9.140625" style="8"/>
  </cols>
  <sheetData>
    <row r="1" spans="1:39" s="19" customFormat="1" ht="35.25" customHeight="1">
      <c r="B1" s="2578" t="s">
        <v>57</v>
      </c>
      <c r="C1" s="2578"/>
      <c r="D1" s="2578"/>
      <c r="E1" s="2578"/>
      <c r="F1" s="2578"/>
      <c r="G1" s="2578"/>
      <c r="H1" s="2578"/>
      <c r="I1" s="2578"/>
      <c r="J1" s="1351"/>
      <c r="K1" s="2587" t="s">
        <v>600</v>
      </c>
      <c r="L1" s="2587"/>
      <c r="M1" s="2587"/>
      <c r="O1" s="2578" t="s">
        <v>17</v>
      </c>
      <c r="P1" s="2578"/>
      <c r="Q1" s="2578"/>
      <c r="R1" s="2578"/>
      <c r="S1" s="2578"/>
      <c r="T1" s="2578"/>
      <c r="U1" s="2578"/>
      <c r="V1" s="2578"/>
      <c r="W1" s="1351"/>
      <c r="X1" s="2587" t="s">
        <v>600</v>
      </c>
      <c r="Y1" s="2587"/>
      <c r="Z1" s="2587"/>
      <c r="AB1" s="2578" t="s">
        <v>18</v>
      </c>
      <c r="AC1" s="2578"/>
      <c r="AD1" s="2578"/>
      <c r="AE1" s="2578"/>
      <c r="AF1" s="2578"/>
      <c r="AG1" s="2578"/>
      <c r="AH1" s="2578"/>
      <c r="AI1" s="2578"/>
      <c r="AJ1" s="1351"/>
      <c r="AK1" s="2587" t="s">
        <v>604</v>
      </c>
      <c r="AL1" s="2587"/>
      <c r="AM1" s="2587"/>
    </row>
    <row r="2" spans="1:39" s="19" customFormat="1" ht="12" customHeight="1">
      <c r="B2" s="91"/>
      <c r="C2" s="91"/>
      <c r="D2" s="91"/>
      <c r="E2" s="91"/>
      <c r="F2" s="91"/>
      <c r="G2" s="91"/>
      <c r="H2" s="91"/>
      <c r="I2" s="91"/>
      <c r="J2" s="91"/>
      <c r="K2" s="2401" t="s">
        <v>507</v>
      </c>
      <c r="L2" s="2401"/>
      <c r="M2" s="2401"/>
      <c r="N2" s="72"/>
      <c r="O2" s="72"/>
      <c r="P2" s="72"/>
      <c r="Q2" s="72"/>
      <c r="R2" s="72"/>
      <c r="S2" s="72"/>
      <c r="T2" s="72"/>
      <c r="U2" s="72"/>
      <c r="V2" s="72"/>
      <c r="W2" s="72"/>
      <c r="X2" s="2579" t="s">
        <v>507</v>
      </c>
      <c r="Y2" s="2579"/>
      <c r="Z2" s="2579"/>
      <c r="AK2" s="2579" t="s">
        <v>507</v>
      </c>
      <c r="AL2" s="2579"/>
      <c r="AM2" s="2579"/>
    </row>
    <row r="3" spans="1:39" ht="12.75" customHeight="1">
      <c r="A3" s="2580" t="s">
        <v>481</v>
      </c>
      <c r="B3" s="2341" t="s">
        <v>1796</v>
      </c>
      <c r="C3" s="2342"/>
      <c r="D3" s="2342"/>
      <c r="E3" s="2342"/>
      <c r="F3" s="2342"/>
      <c r="G3" s="2342"/>
      <c r="H3" s="2342"/>
      <c r="I3" s="2342"/>
      <c r="J3" s="2342"/>
      <c r="K3" s="2342"/>
      <c r="L3" s="2342"/>
      <c r="M3" s="2343"/>
      <c r="N3" s="2580" t="s">
        <v>481</v>
      </c>
      <c r="O3" s="2341" t="s">
        <v>508</v>
      </c>
      <c r="P3" s="2342"/>
      <c r="Q3" s="2342"/>
      <c r="R3" s="2342"/>
      <c r="S3" s="2342"/>
      <c r="T3" s="2342"/>
      <c r="U3" s="2342"/>
      <c r="V3" s="2342"/>
      <c r="W3" s="2342"/>
      <c r="X3" s="2342"/>
      <c r="Y3" s="2342"/>
      <c r="Z3" s="2343"/>
      <c r="AA3" s="2580" t="s">
        <v>481</v>
      </c>
      <c r="AB3" s="2341" t="s">
        <v>508</v>
      </c>
      <c r="AC3" s="2342"/>
      <c r="AD3" s="2342"/>
      <c r="AE3" s="2342"/>
      <c r="AF3" s="2342"/>
      <c r="AG3" s="2342"/>
      <c r="AH3" s="2342"/>
      <c r="AI3" s="2342"/>
      <c r="AJ3" s="2342"/>
      <c r="AK3" s="2342"/>
      <c r="AL3" s="2342"/>
      <c r="AM3" s="2343"/>
    </row>
    <row r="4" spans="1:39" s="16" customFormat="1" ht="12.6" customHeight="1">
      <c r="A4" s="2581"/>
      <c r="B4" s="2582" t="s">
        <v>78</v>
      </c>
      <c r="C4" s="2583"/>
      <c r="D4" s="2584"/>
      <c r="E4" s="2582" t="s">
        <v>625</v>
      </c>
      <c r="F4" s="2583"/>
      <c r="G4" s="2584"/>
      <c r="H4" s="2582" t="s">
        <v>623</v>
      </c>
      <c r="I4" s="2583"/>
      <c r="J4" s="2584"/>
      <c r="K4" s="2582" t="s">
        <v>79</v>
      </c>
      <c r="L4" s="2583"/>
      <c r="M4" s="2584"/>
      <c r="N4" s="2581"/>
      <c r="O4" s="2582" t="s">
        <v>78</v>
      </c>
      <c r="P4" s="2583"/>
      <c r="Q4" s="2584"/>
      <c r="R4" s="2582" t="s">
        <v>625</v>
      </c>
      <c r="S4" s="2583"/>
      <c r="T4" s="2584"/>
      <c r="U4" s="2582" t="s">
        <v>623</v>
      </c>
      <c r="V4" s="2583"/>
      <c r="W4" s="2584"/>
      <c r="X4" s="2582" t="s">
        <v>79</v>
      </c>
      <c r="Y4" s="2583"/>
      <c r="Z4" s="2584"/>
      <c r="AA4" s="2581"/>
      <c r="AB4" s="2582" t="s">
        <v>78</v>
      </c>
      <c r="AC4" s="2583"/>
      <c r="AD4" s="2584"/>
      <c r="AE4" s="2582" t="s">
        <v>625</v>
      </c>
      <c r="AF4" s="2583"/>
      <c r="AG4" s="2584"/>
      <c r="AH4" s="2582" t="s">
        <v>623</v>
      </c>
      <c r="AI4" s="2583"/>
      <c r="AJ4" s="2584"/>
      <c r="AK4" s="2582" t="s">
        <v>79</v>
      </c>
      <c r="AL4" s="2583"/>
      <c r="AM4" s="2584"/>
    </row>
    <row r="5" spans="1:39" s="16" customFormat="1" ht="24.75" customHeight="1">
      <c r="A5" s="2488"/>
      <c r="B5" s="1349" t="s">
        <v>534</v>
      </c>
      <c r="C5" s="845" t="s">
        <v>80</v>
      </c>
      <c r="D5" s="108" t="s">
        <v>632</v>
      </c>
      <c r="E5" s="1349" t="s">
        <v>534</v>
      </c>
      <c r="F5" s="1350" t="s">
        <v>80</v>
      </c>
      <c r="G5" s="108" t="s">
        <v>632</v>
      </c>
      <c r="H5" s="1349" t="s">
        <v>534</v>
      </c>
      <c r="I5" s="1350" t="s">
        <v>80</v>
      </c>
      <c r="J5" s="108" t="s">
        <v>632</v>
      </c>
      <c r="K5" s="1349" t="s">
        <v>534</v>
      </c>
      <c r="L5" s="1350" t="s">
        <v>80</v>
      </c>
      <c r="M5" s="108" t="s">
        <v>632</v>
      </c>
      <c r="N5" s="2488"/>
      <c r="O5" s="1349" t="s">
        <v>534</v>
      </c>
      <c r="P5" s="1350" t="s">
        <v>80</v>
      </c>
      <c r="Q5" s="108" t="s">
        <v>632</v>
      </c>
      <c r="R5" s="1349" t="s">
        <v>534</v>
      </c>
      <c r="S5" s="1350" t="s">
        <v>80</v>
      </c>
      <c r="T5" s="108" t="s">
        <v>632</v>
      </c>
      <c r="U5" s="1349" t="s">
        <v>534</v>
      </c>
      <c r="V5" s="1350" t="s">
        <v>80</v>
      </c>
      <c r="W5" s="108" t="s">
        <v>632</v>
      </c>
      <c r="X5" s="1349" t="s">
        <v>534</v>
      </c>
      <c r="Y5" s="1350" t="s">
        <v>80</v>
      </c>
      <c r="Z5" s="108" t="s">
        <v>632</v>
      </c>
      <c r="AA5" s="2488"/>
      <c r="AB5" s="1349" t="s">
        <v>534</v>
      </c>
      <c r="AC5" s="1350" t="s">
        <v>80</v>
      </c>
      <c r="AD5" s="108" t="s">
        <v>632</v>
      </c>
      <c r="AE5" s="1349" t="s">
        <v>534</v>
      </c>
      <c r="AF5" s="1350" t="s">
        <v>80</v>
      </c>
      <c r="AG5" s="108" t="s">
        <v>632</v>
      </c>
      <c r="AH5" s="1349" t="s">
        <v>534</v>
      </c>
      <c r="AI5" s="1350" t="s">
        <v>80</v>
      </c>
      <c r="AJ5" s="108" t="s">
        <v>632</v>
      </c>
      <c r="AK5" s="1349" t="s">
        <v>534</v>
      </c>
      <c r="AL5" s="1350" t="s">
        <v>80</v>
      </c>
      <c r="AM5" s="108" t="s">
        <v>632</v>
      </c>
    </row>
    <row r="6" spans="1:39" s="239" customFormat="1" ht="12" customHeight="1">
      <c r="A6" s="271" t="s">
        <v>189</v>
      </c>
      <c r="B6" s="279">
        <v>0.16791666666666663</v>
      </c>
      <c r="C6" s="279">
        <v>0.24756944444444443</v>
      </c>
      <c r="D6" s="261">
        <v>0.43798611111111113</v>
      </c>
      <c r="E6" s="279">
        <v>0.33444444444444449</v>
      </c>
      <c r="F6" s="279">
        <v>0.39881944444444439</v>
      </c>
      <c r="G6" s="261">
        <v>0.64472222222222209</v>
      </c>
      <c r="H6" s="279">
        <v>0.50624999999999998</v>
      </c>
      <c r="I6" s="279">
        <v>0.66923611111111114</v>
      </c>
      <c r="J6" s="261">
        <v>0.94277777777777783</v>
      </c>
      <c r="K6" s="279">
        <v>0.73374999999999979</v>
      </c>
      <c r="L6" s="279">
        <v>0.93069444444444438</v>
      </c>
      <c r="M6" s="261">
        <v>1.0635416666666668</v>
      </c>
      <c r="N6" s="271" t="s">
        <v>189</v>
      </c>
      <c r="O6" s="279">
        <v>0.14000000000000004</v>
      </c>
      <c r="P6" s="279">
        <v>0.29643229166666668</v>
      </c>
      <c r="Q6" s="261">
        <v>0.40145833333333342</v>
      </c>
      <c r="R6" s="279">
        <v>0.19358333333333333</v>
      </c>
      <c r="S6" s="279">
        <v>0.41849999999999993</v>
      </c>
      <c r="T6" s="261">
        <v>0.53516666666666668</v>
      </c>
      <c r="U6" s="279">
        <v>0.28266666666666668</v>
      </c>
      <c r="V6" s="279">
        <v>0.55945833333333328</v>
      </c>
      <c r="W6" s="261">
        <v>0.64966666666666673</v>
      </c>
      <c r="X6" s="279">
        <v>0.5678333333333333</v>
      </c>
      <c r="Y6" s="279">
        <v>0.83166666666666655</v>
      </c>
      <c r="Z6" s="261">
        <v>0.87583333333333313</v>
      </c>
      <c r="AA6" s="271" t="s">
        <v>189</v>
      </c>
      <c r="AB6" s="279">
        <v>0.75583333333333336</v>
      </c>
      <c r="AC6" s="279">
        <v>0.28083333333333332</v>
      </c>
      <c r="AD6" s="261">
        <v>0.31277777777777777</v>
      </c>
      <c r="AE6" s="279">
        <v>1.0994444444444444</v>
      </c>
      <c r="AF6" s="279">
        <v>0.41625000000000001</v>
      </c>
      <c r="AG6" s="261">
        <v>0.53763888888888889</v>
      </c>
      <c r="AH6" s="279">
        <v>1.1913888888888888</v>
      </c>
      <c r="AI6" s="279">
        <v>0.5097222222222223</v>
      </c>
      <c r="AJ6" s="261">
        <v>0.62097222222222215</v>
      </c>
      <c r="AK6" s="279">
        <v>0.79916666666666647</v>
      </c>
      <c r="AL6" s="279">
        <v>0.54180555555555554</v>
      </c>
      <c r="AM6" s="261">
        <v>0.79249999999999998</v>
      </c>
    </row>
    <row r="7" spans="1:39" s="239" customFormat="1" ht="12" customHeight="1">
      <c r="A7" s="962" t="s">
        <v>701</v>
      </c>
      <c r="B7" s="13">
        <v>0.16916666666666666</v>
      </c>
      <c r="C7" s="13">
        <v>0.33805555555555555</v>
      </c>
      <c r="D7" s="26">
        <v>0.63222222222222213</v>
      </c>
      <c r="E7" s="13">
        <v>0.36666666666666664</v>
      </c>
      <c r="F7" s="13">
        <v>0.63055555555555565</v>
      </c>
      <c r="G7" s="26">
        <v>0.89583333333333337</v>
      </c>
      <c r="H7" s="13">
        <v>0.62444444444444447</v>
      </c>
      <c r="I7" s="13">
        <v>0.93444444444444441</v>
      </c>
      <c r="J7" s="26">
        <v>1.141388888888889</v>
      </c>
      <c r="K7" s="13">
        <v>0.8783333333333333</v>
      </c>
      <c r="L7" s="13">
        <v>1.2255555555555555</v>
      </c>
      <c r="M7" s="26">
        <v>1.3674999999999999</v>
      </c>
      <c r="N7" s="962" t="s">
        <v>701</v>
      </c>
      <c r="O7" s="13">
        <v>0.10250000000000002</v>
      </c>
      <c r="P7" s="13">
        <v>0.31416666666666665</v>
      </c>
      <c r="Q7" s="26">
        <v>0.57166666666666655</v>
      </c>
      <c r="R7" s="13">
        <v>0.21500000000000005</v>
      </c>
      <c r="S7" s="13">
        <v>0.50624999999999998</v>
      </c>
      <c r="T7" s="26">
        <v>0.72000000000000008</v>
      </c>
      <c r="U7" s="13">
        <v>0.34833333333333338</v>
      </c>
      <c r="V7" s="13">
        <v>0.65749999999999997</v>
      </c>
      <c r="W7" s="26">
        <v>0.81</v>
      </c>
      <c r="X7" s="13">
        <v>0.89416666666666655</v>
      </c>
      <c r="Y7" s="13">
        <v>0.95233333333333337</v>
      </c>
      <c r="Z7" s="26">
        <v>0.99500000000000011</v>
      </c>
      <c r="AA7" s="962" t="s">
        <v>701</v>
      </c>
      <c r="AB7" s="13">
        <v>0.55875000000000019</v>
      </c>
      <c r="AC7" s="13">
        <v>0.42166666666666669</v>
      </c>
      <c r="AD7" s="26">
        <v>0.5</v>
      </c>
      <c r="AE7" s="13">
        <v>1.0566666666666666</v>
      </c>
      <c r="AF7" s="13">
        <v>0.65499999999999992</v>
      </c>
      <c r="AG7" s="26">
        <v>0.75</v>
      </c>
      <c r="AH7" s="13">
        <v>1.4295833333333332</v>
      </c>
      <c r="AI7" s="13">
        <v>0.99749999999999972</v>
      </c>
      <c r="AJ7" s="26">
        <v>0.9312499999999998</v>
      </c>
      <c r="AK7" s="13">
        <v>1.1666666666666667</v>
      </c>
      <c r="AL7" s="13">
        <v>0.94083333333333341</v>
      </c>
      <c r="AM7" s="26">
        <v>1.25</v>
      </c>
    </row>
    <row r="8" spans="1:39" s="239" customFormat="1" ht="12" customHeight="1">
      <c r="A8" s="271" t="s">
        <v>809</v>
      </c>
      <c r="B8" s="279">
        <v>0.16958333333333339</v>
      </c>
      <c r="C8" s="279">
        <v>0.21965277777777778</v>
      </c>
      <c r="D8" s="261">
        <v>3.6111111111111114E-3</v>
      </c>
      <c r="E8" s="279">
        <v>0.19888888888888887</v>
      </c>
      <c r="F8" s="279">
        <v>0.28486111111111112</v>
      </c>
      <c r="G8" s="261">
        <v>5.0833333333333341E-2</v>
      </c>
      <c r="H8" s="279">
        <v>0.35916666666666669</v>
      </c>
      <c r="I8" s="279">
        <v>0.44350694444444455</v>
      </c>
      <c r="J8" s="261">
        <v>0.12611111111111115</v>
      </c>
      <c r="K8" s="279">
        <v>0.59020833333333322</v>
      </c>
      <c r="L8" s="279">
        <v>0.70586805555555554</v>
      </c>
      <c r="M8" s="261">
        <v>0.26034722222222223</v>
      </c>
      <c r="N8" s="271" t="s">
        <v>809</v>
      </c>
      <c r="O8" s="279">
        <v>9.2082500000000012E-2</v>
      </c>
      <c r="P8" s="279">
        <v>0.24228124999999998</v>
      </c>
      <c r="Q8" s="261">
        <v>0.18372943333333333</v>
      </c>
      <c r="R8" s="279">
        <v>0.18142521929166663</v>
      </c>
      <c r="S8" s="279">
        <v>0.38397137278333332</v>
      </c>
      <c r="T8" s="261">
        <v>0.29373464912499997</v>
      </c>
      <c r="U8" s="279">
        <v>0.29680622806666668</v>
      </c>
      <c r="V8" s="279">
        <v>0.43682707018333344</v>
      </c>
      <c r="W8" s="261">
        <v>0.38601997368333335</v>
      </c>
      <c r="X8" s="279">
        <v>0.80951328947222212</v>
      </c>
      <c r="Y8" s="279">
        <v>0.69534501314999997</v>
      </c>
      <c r="Z8" s="261">
        <v>0.51850818421666667</v>
      </c>
      <c r="AA8" s="271" t="s">
        <v>809</v>
      </c>
      <c r="AB8" s="279">
        <v>0.55041666666666667</v>
      </c>
      <c r="AC8" s="279">
        <v>0.39874999999999999</v>
      </c>
      <c r="AD8" s="261">
        <v>0.5</v>
      </c>
      <c r="AE8" s="279">
        <v>1.4790416666666666</v>
      </c>
      <c r="AF8" s="279">
        <v>0.55916666666666681</v>
      </c>
      <c r="AG8" s="261">
        <v>0.75</v>
      </c>
      <c r="AH8" s="279">
        <v>1.4741041666666668</v>
      </c>
      <c r="AI8" s="279">
        <v>0.68750000000000011</v>
      </c>
      <c r="AJ8" s="261">
        <v>0.62416666666666665</v>
      </c>
      <c r="AK8" s="279">
        <v>1.2992333333333332</v>
      </c>
      <c r="AL8" s="279">
        <v>0.85916666666666675</v>
      </c>
      <c r="AM8" s="261">
        <v>1.25</v>
      </c>
    </row>
    <row r="9" spans="1:39" s="152" customFormat="1" ht="12" customHeight="1">
      <c r="A9" s="300" t="s">
        <v>982</v>
      </c>
      <c r="B9" s="26">
        <v>6.9166666666666696E-2</v>
      </c>
      <c r="C9" s="26">
        <v>0.21207052083333333</v>
      </c>
      <c r="D9" s="26">
        <v>5.3333333333333337E-2</v>
      </c>
      <c r="E9" s="26">
        <v>4.8898611111111108E-2</v>
      </c>
      <c r="F9" s="26">
        <v>0.24257020833333334</v>
      </c>
      <c r="G9" s="26">
        <v>5.9166666666666666E-2</v>
      </c>
      <c r="H9" s="26">
        <v>0.10368437500000001</v>
      </c>
      <c r="I9" s="26">
        <v>0.331078125</v>
      </c>
      <c r="J9" s="26">
        <v>9.8393750000000002E-2</v>
      </c>
      <c r="K9" s="26">
        <v>0.28775562500000001</v>
      </c>
      <c r="L9" s="26">
        <v>0.54730156250000006</v>
      </c>
      <c r="M9" s="26">
        <v>0.19117562500000004</v>
      </c>
      <c r="N9" s="300" t="s">
        <v>982</v>
      </c>
      <c r="O9" s="26">
        <v>0.23060208333333335</v>
      </c>
      <c r="P9" s="26">
        <v>0.28789062500000001</v>
      </c>
      <c r="Q9" s="26">
        <v>0.19963549999999999</v>
      </c>
      <c r="R9" s="26">
        <v>0.2548333333333333</v>
      </c>
      <c r="S9" s="26">
        <v>0.41539350876666664</v>
      </c>
      <c r="T9" s="26">
        <v>0.2763631944444444</v>
      </c>
      <c r="U9" s="26">
        <v>0.39922916666666658</v>
      </c>
      <c r="V9" s="26">
        <v>0.48461499999999996</v>
      </c>
      <c r="W9" s="26">
        <v>0.38448833333333332</v>
      </c>
      <c r="X9" s="26">
        <v>0.6540076388888888</v>
      </c>
      <c r="Y9" s="26">
        <v>0.80578854166666669</v>
      </c>
      <c r="Z9" s="26">
        <v>0.50327416666666669</v>
      </c>
      <c r="AA9" s="300" t="s">
        <v>982</v>
      </c>
      <c r="AB9" s="26">
        <v>0.90791666666666659</v>
      </c>
      <c r="AC9" s="26">
        <v>0.38708333333333339</v>
      </c>
      <c r="AD9" s="26">
        <v>0.45583333333333326</v>
      </c>
      <c r="AE9" s="26">
        <v>1.1558333333333335</v>
      </c>
      <c r="AF9" s="26">
        <v>0.53583333333333349</v>
      </c>
      <c r="AG9" s="26">
        <v>0.66000000000000014</v>
      </c>
      <c r="AH9" s="26">
        <v>1.1683333333333334</v>
      </c>
      <c r="AI9" s="26">
        <v>0.61583333333333323</v>
      </c>
      <c r="AJ9" s="26">
        <v>0.76750000000000007</v>
      </c>
      <c r="AK9" s="26">
        <v>1.1204166666666668</v>
      </c>
      <c r="AL9" s="26">
        <v>0.79604166666666665</v>
      </c>
      <c r="AM9" s="26">
        <v>1.1550000000000002</v>
      </c>
    </row>
    <row r="10" spans="1:39" s="230" customFormat="1" ht="12" customHeight="1">
      <c r="A10" s="1348" t="s">
        <v>1033</v>
      </c>
      <c r="B10" s="401">
        <v>6.0833333333333323E-2</v>
      </c>
      <c r="C10" s="401">
        <v>0.2014565555</v>
      </c>
      <c r="D10" s="401">
        <v>0</v>
      </c>
      <c r="E10" s="401">
        <v>3.8953055555555553E-2</v>
      </c>
      <c r="F10" s="401">
        <v>0.25167252783333338</v>
      </c>
      <c r="G10" s="401">
        <v>1.7500000000000002E-2</v>
      </c>
      <c r="H10" s="401">
        <v>8.435333333333335E-2</v>
      </c>
      <c r="I10" s="401">
        <v>0.36996055550000001</v>
      </c>
      <c r="J10" s="401">
        <v>1.0833333333333334E-2</v>
      </c>
      <c r="K10" s="401">
        <v>0.25765302783333327</v>
      </c>
      <c r="L10" s="401">
        <v>0.57783030549999992</v>
      </c>
      <c r="M10" s="401">
        <v>5.1990729166666673E-2</v>
      </c>
      <c r="N10" s="1348" t="s">
        <v>1033</v>
      </c>
      <c r="O10" s="401">
        <v>0.417658549951267</v>
      </c>
      <c r="P10" s="401">
        <v>0.42778127485021789</v>
      </c>
      <c r="Q10" s="401">
        <v>0.25705915530303031</v>
      </c>
      <c r="R10" s="401">
        <v>0.39406351697994985</v>
      </c>
      <c r="S10" s="401">
        <v>0.5138648752314815</v>
      </c>
      <c r="T10" s="401">
        <v>0.27559262629540598</v>
      </c>
      <c r="U10" s="401">
        <v>0.71116524939227155</v>
      </c>
      <c r="V10" s="401">
        <v>0.68667745396825397</v>
      </c>
      <c r="W10" s="401">
        <v>0.4250588182539683</v>
      </c>
      <c r="X10" s="401">
        <v>0.81893196351991071</v>
      </c>
      <c r="Y10" s="401">
        <v>1.0508996562908497</v>
      </c>
      <c r="Z10" s="401">
        <v>0.52704765201465198</v>
      </c>
      <c r="AA10" s="1348" t="s">
        <v>1033</v>
      </c>
      <c r="AB10" s="401">
        <v>1.0156928895833335</v>
      </c>
      <c r="AC10" s="401">
        <v>0.41749176666666665</v>
      </c>
      <c r="AD10" s="401">
        <v>0.46336752083333338</v>
      </c>
      <c r="AE10" s="401">
        <v>1.1542176916666664</v>
      </c>
      <c r="AF10" s="401">
        <v>0.57261966666666686</v>
      </c>
      <c r="AG10" s="401">
        <v>0.58483106666666662</v>
      </c>
      <c r="AH10" s="401">
        <v>0.76716723611111093</v>
      </c>
      <c r="AI10" s="401">
        <v>0.67324468055555553</v>
      </c>
      <c r="AJ10" s="401">
        <v>0.98999999999999988</v>
      </c>
      <c r="AK10" s="401">
        <v>0.94661391388888882</v>
      </c>
      <c r="AL10" s="401">
        <v>0.87057560555555547</v>
      </c>
      <c r="AM10" s="401">
        <v>1.0833333333333333</v>
      </c>
    </row>
    <row r="11" spans="1:39" s="230" customFormat="1" ht="12" customHeight="1">
      <c r="A11" s="1347" t="s">
        <v>1154</v>
      </c>
      <c r="B11" s="495">
        <v>0.13249999999999998</v>
      </c>
      <c r="C11" s="495">
        <v>0.18583333333333332</v>
      </c>
      <c r="D11" s="495">
        <v>0</v>
      </c>
      <c r="E11" s="495">
        <v>0.19583333333333333</v>
      </c>
      <c r="F11" s="495">
        <v>0.24333333333333332</v>
      </c>
      <c r="G11" s="495">
        <v>0</v>
      </c>
      <c r="H11" s="495">
        <v>0.34833333333333333</v>
      </c>
      <c r="I11" s="495">
        <v>0.36833333333333335</v>
      </c>
      <c r="J11" s="495">
        <v>0</v>
      </c>
      <c r="K11" s="495">
        <v>0.53416666666666668</v>
      </c>
      <c r="L11" s="495">
        <v>0.53833333333333333</v>
      </c>
      <c r="M11" s="495">
        <v>0</v>
      </c>
      <c r="N11" s="1347" t="s">
        <v>1154</v>
      </c>
      <c r="O11" s="495">
        <v>0.43916666666666665</v>
      </c>
      <c r="P11" s="495">
        <v>0.4283333333333334</v>
      </c>
      <c r="Q11" s="495">
        <v>0.29750000000000004</v>
      </c>
      <c r="R11" s="495">
        <v>0.47166666666666668</v>
      </c>
      <c r="S11" s="495">
        <v>0.50166666666666659</v>
      </c>
      <c r="T11" s="495">
        <v>0.3066666666666667</v>
      </c>
      <c r="U11" s="495">
        <v>1.1066666666666667</v>
      </c>
      <c r="V11" s="495">
        <v>0.70416666666666661</v>
      </c>
      <c r="W11" s="495">
        <v>0.48750000000000004</v>
      </c>
      <c r="X11" s="495">
        <v>1.1833333333333333</v>
      </c>
      <c r="Y11" s="495">
        <v>0.90083333333333326</v>
      </c>
      <c r="Z11" s="495">
        <v>0.51250000000000007</v>
      </c>
      <c r="AA11" s="1347" t="s">
        <v>1154</v>
      </c>
      <c r="AB11" s="495">
        <v>1.0274999999999999</v>
      </c>
      <c r="AC11" s="495">
        <v>0.43500000000000005</v>
      </c>
      <c r="AD11" s="495">
        <v>0.51666666666666672</v>
      </c>
      <c r="AE11" s="495">
        <v>1.1783333333333332</v>
      </c>
      <c r="AF11" s="495">
        <v>0.65</v>
      </c>
      <c r="AG11" s="495">
        <v>0.63166666666666671</v>
      </c>
      <c r="AH11" s="495">
        <v>0.83250000000000002</v>
      </c>
      <c r="AI11" s="495">
        <v>0.71166666666666656</v>
      </c>
      <c r="AJ11" s="495">
        <v>0.9</v>
      </c>
      <c r="AK11" s="495">
        <v>0.9558333333333332</v>
      </c>
      <c r="AL11" s="495">
        <v>0.89583333333333337</v>
      </c>
      <c r="AM11" s="495">
        <v>1.0983333333333334</v>
      </c>
    </row>
    <row r="12" spans="1:39" s="230" customFormat="1" ht="12" customHeight="1">
      <c r="A12" s="1348" t="s">
        <v>1178</v>
      </c>
      <c r="B12" s="401">
        <v>0.46749999999999997</v>
      </c>
      <c r="C12" s="401">
        <v>3.1666666666666676E-2</v>
      </c>
      <c r="D12" s="401">
        <v>0</v>
      </c>
      <c r="E12" s="401">
        <v>0.56916666666666671</v>
      </c>
      <c r="F12" s="401">
        <v>0.2525</v>
      </c>
      <c r="G12" s="401">
        <v>0</v>
      </c>
      <c r="H12" s="401">
        <v>0.86916666666666675</v>
      </c>
      <c r="I12" s="401">
        <v>0.21083333333333334</v>
      </c>
      <c r="J12" s="401">
        <v>0</v>
      </c>
      <c r="K12" s="401">
        <v>1.095</v>
      </c>
      <c r="L12" s="401">
        <v>0.36166666666666664</v>
      </c>
      <c r="M12" s="401">
        <v>0</v>
      </c>
      <c r="N12" s="1348" t="s">
        <v>1178</v>
      </c>
      <c r="O12" s="401">
        <v>0.48500000000000004</v>
      </c>
      <c r="P12" s="401">
        <v>0.30583333333333335</v>
      </c>
      <c r="Q12" s="401">
        <v>0.32083333333333336</v>
      </c>
      <c r="R12" s="401">
        <v>0.85083333333333344</v>
      </c>
      <c r="S12" s="401">
        <v>0.37666666666666665</v>
      </c>
      <c r="T12" s="401">
        <v>0.25500000000000006</v>
      </c>
      <c r="U12" s="401">
        <v>0.90499999999999992</v>
      </c>
      <c r="V12" s="401">
        <v>0.50666666666666671</v>
      </c>
      <c r="W12" s="401">
        <v>0.38333333333333336</v>
      </c>
      <c r="X12" s="401">
        <v>1.0366666666666666</v>
      </c>
      <c r="Y12" s="401">
        <v>0.62916666666666676</v>
      </c>
      <c r="Z12" s="401">
        <v>0.46416666666666662</v>
      </c>
      <c r="AA12" s="1348" t="s">
        <v>1178</v>
      </c>
      <c r="AB12" s="401">
        <v>1.01</v>
      </c>
      <c r="AC12" s="401">
        <v>0.44416666666666665</v>
      </c>
      <c r="AD12" s="401">
        <v>0.49166666666666664</v>
      </c>
      <c r="AE12" s="401">
        <v>1.1283333333333334</v>
      </c>
      <c r="AF12" s="401">
        <v>0.58333333333333337</v>
      </c>
      <c r="AG12" s="401">
        <v>0.47666666666666657</v>
      </c>
      <c r="AH12" s="401">
        <v>0.86666666666666659</v>
      </c>
      <c r="AI12" s="401">
        <v>0.67249999999999999</v>
      </c>
      <c r="AJ12" s="401">
        <v>0.72916666666666663</v>
      </c>
      <c r="AK12" s="401">
        <v>1.0458333333333332</v>
      </c>
      <c r="AL12" s="401">
        <v>0.80000000000000016</v>
      </c>
      <c r="AM12" s="401">
        <v>0.9291666666666667</v>
      </c>
    </row>
    <row r="13" spans="1:39" s="230" customFormat="1" ht="12" customHeight="1">
      <c r="A13" s="1347" t="s">
        <v>1298</v>
      </c>
      <c r="B13" s="495">
        <v>1.0958333333333334</v>
      </c>
      <c r="C13" s="495">
        <v>0.17250000000000001</v>
      </c>
      <c r="D13" s="495">
        <v>0</v>
      </c>
      <c r="E13" s="495">
        <v>1.2591666666666668</v>
      </c>
      <c r="F13" s="495">
        <v>0.23833333333333337</v>
      </c>
      <c r="G13" s="495">
        <v>0</v>
      </c>
      <c r="H13" s="495">
        <v>1.7641666666666664</v>
      </c>
      <c r="I13" s="495">
        <v>0.40750000000000003</v>
      </c>
      <c r="J13" s="495">
        <v>0</v>
      </c>
      <c r="K13" s="495">
        <v>1.9741666666666668</v>
      </c>
      <c r="L13" s="495">
        <v>0.56000000000000005</v>
      </c>
      <c r="M13" s="495">
        <v>0</v>
      </c>
      <c r="N13" s="1347" t="s">
        <v>1298</v>
      </c>
      <c r="O13" s="495">
        <v>0.77499999999999991</v>
      </c>
      <c r="P13" s="495">
        <v>0.30499999999999999</v>
      </c>
      <c r="Q13" s="495">
        <v>0.16999999999999996</v>
      </c>
      <c r="R13" s="495">
        <v>1.6150000000000002</v>
      </c>
      <c r="S13" s="495">
        <v>0.38666666666666671</v>
      </c>
      <c r="T13" s="495">
        <v>0.17833333333333332</v>
      </c>
      <c r="U13" s="495">
        <v>0.98749999999999993</v>
      </c>
      <c r="V13" s="495">
        <v>0.5083333333333333</v>
      </c>
      <c r="W13" s="495">
        <v>0.24583333333333335</v>
      </c>
      <c r="X13" s="495">
        <v>1.0891666666666666</v>
      </c>
      <c r="Y13" s="495">
        <v>0.57500000000000007</v>
      </c>
      <c r="Z13" s="495">
        <v>0.31749999999999995</v>
      </c>
      <c r="AA13" s="1347" t="s">
        <v>1298</v>
      </c>
      <c r="AB13" s="495">
        <v>0.87833333333333341</v>
      </c>
      <c r="AC13" s="495">
        <v>0.53999999999999992</v>
      </c>
      <c r="AD13" s="495">
        <v>0.52083333333333337</v>
      </c>
      <c r="AE13" s="495">
        <v>0.79499999999999993</v>
      </c>
      <c r="AF13" s="495">
        <v>0.58083333333333342</v>
      </c>
      <c r="AG13" s="495">
        <v>0.38999999999999996</v>
      </c>
      <c r="AH13" s="495">
        <v>0.85083333333333322</v>
      </c>
      <c r="AI13" s="495">
        <v>0.66500000000000004</v>
      </c>
      <c r="AJ13" s="495">
        <v>0.57250000000000012</v>
      </c>
      <c r="AK13" s="495">
        <v>1.1216666666666666</v>
      </c>
      <c r="AL13" s="495">
        <v>0.76499999999999979</v>
      </c>
      <c r="AM13" s="495">
        <v>0.72166666666666668</v>
      </c>
    </row>
    <row r="14" spans="1:39" s="230" customFormat="1" ht="12" customHeight="1">
      <c r="A14" s="1348" t="s">
        <v>1407</v>
      </c>
      <c r="B14" s="401">
        <v>1.7266666666666666</v>
      </c>
      <c r="C14" s="401">
        <v>0.41750000000000004</v>
      </c>
      <c r="D14" s="401">
        <v>0</v>
      </c>
      <c r="E14" s="401">
        <v>1.8933333333333333</v>
      </c>
      <c r="F14" s="401">
        <v>0.51500000000000001</v>
      </c>
      <c r="G14" s="401">
        <v>0</v>
      </c>
      <c r="H14" s="401">
        <v>2.4766666666666661</v>
      </c>
      <c r="I14" s="401">
        <v>0.75499999999999989</v>
      </c>
      <c r="J14" s="401">
        <v>0</v>
      </c>
      <c r="K14" s="401">
        <v>2.6724999999999999</v>
      </c>
      <c r="L14" s="401">
        <v>0.89916666666666678</v>
      </c>
      <c r="M14" s="401">
        <v>0</v>
      </c>
      <c r="N14" s="1348" t="s">
        <v>1407</v>
      </c>
      <c r="O14" s="401">
        <v>1.3325</v>
      </c>
      <c r="P14" s="401">
        <v>0.35666666666666669</v>
      </c>
      <c r="Q14" s="401">
        <v>0.16249999999999998</v>
      </c>
      <c r="R14" s="401">
        <v>1.6400000000000003</v>
      </c>
      <c r="S14" s="401">
        <v>0.52083333333333337</v>
      </c>
      <c r="T14" s="401">
        <v>0.16749999999999998</v>
      </c>
      <c r="U14" s="401">
        <v>1.5008333333333335</v>
      </c>
      <c r="V14" s="401">
        <v>0.56500000000000006</v>
      </c>
      <c r="W14" s="401">
        <v>0.23916666666666667</v>
      </c>
      <c r="X14" s="401">
        <v>1.6074999999999999</v>
      </c>
      <c r="Y14" s="401">
        <v>0.69249999999999989</v>
      </c>
      <c r="Z14" s="401">
        <v>0.3116666666666667</v>
      </c>
      <c r="AA14" s="1348" t="s">
        <v>1407</v>
      </c>
      <c r="AB14" s="401">
        <v>1.0008333333333332</v>
      </c>
      <c r="AC14" s="401">
        <v>0.60750000000000004</v>
      </c>
      <c r="AD14" s="401">
        <v>0.54666666666666675</v>
      </c>
      <c r="AE14" s="401">
        <v>0.80083333333333329</v>
      </c>
      <c r="AF14" s="401">
        <v>0.63749999999999996</v>
      </c>
      <c r="AG14" s="401">
        <v>0.36333333333333334</v>
      </c>
      <c r="AH14" s="401">
        <v>1.0150000000000001</v>
      </c>
      <c r="AI14" s="401">
        <v>0.76250000000000007</v>
      </c>
      <c r="AJ14" s="401">
        <v>0.53000000000000014</v>
      </c>
      <c r="AK14" s="401">
        <v>1.280833333333333</v>
      </c>
      <c r="AL14" s="401">
        <v>0.83916666666666673</v>
      </c>
      <c r="AM14" s="401">
        <v>0.70000000000000007</v>
      </c>
    </row>
    <row r="15" spans="1:39" s="230" customFormat="1" ht="12" customHeight="1">
      <c r="A15" s="482" t="s">
        <v>1487</v>
      </c>
      <c r="B15" s="495">
        <v>1.2866666666666668</v>
      </c>
      <c r="C15" s="495">
        <v>0.34249999999999997</v>
      </c>
      <c r="D15" s="495">
        <v>0</v>
      </c>
      <c r="E15" s="495">
        <v>1.1883333333333332</v>
      </c>
      <c r="F15" s="495">
        <v>0.41916666666666669</v>
      </c>
      <c r="G15" s="495">
        <v>0</v>
      </c>
      <c r="H15" s="495">
        <v>1.4416666666666667</v>
      </c>
      <c r="I15" s="495">
        <v>0.5675</v>
      </c>
      <c r="J15" s="495">
        <v>0</v>
      </c>
      <c r="K15" s="495">
        <v>1.47</v>
      </c>
      <c r="L15" s="495">
        <v>0.66416666666666668</v>
      </c>
      <c r="M15" s="495">
        <v>0</v>
      </c>
      <c r="N15" s="482" t="s">
        <v>1487</v>
      </c>
      <c r="O15" s="495">
        <v>1.0566666666666669</v>
      </c>
      <c r="P15" s="495">
        <v>0.40333333333333338</v>
      </c>
      <c r="Q15" s="495">
        <v>0.22333333333333336</v>
      </c>
      <c r="R15" s="495">
        <v>1.1266666666666667</v>
      </c>
      <c r="S15" s="495">
        <v>0.55666666666666675</v>
      </c>
      <c r="T15" s="495">
        <v>0.19249999999999998</v>
      </c>
      <c r="U15" s="495">
        <v>1.1741666666666668</v>
      </c>
      <c r="V15" s="495">
        <v>0.53500000000000003</v>
      </c>
      <c r="W15" s="495">
        <v>0.255</v>
      </c>
      <c r="X15" s="495">
        <v>1.3241666666666667</v>
      </c>
      <c r="Y15" s="495">
        <v>0.6991666666666666</v>
      </c>
      <c r="Z15" s="495">
        <v>0.32</v>
      </c>
      <c r="AA15" s="482" t="s">
        <v>1487</v>
      </c>
      <c r="AB15" s="495">
        <v>0.82250000000000012</v>
      </c>
      <c r="AC15" s="495">
        <v>0.4941666666666667</v>
      </c>
      <c r="AD15" s="495">
        <v>0.52750000000000008</v>
      </c>
      <c r="AE15" s="495">
        <v>0.93583333333333352</v>
      </c>
      <c r="AF15" s="495">
        <v>0.6349999999999999</v>
      </c>
      <c r="AG15" s="495">
        <v>0.37916666666666671</v>
      </c>
      <c r="AH15" s="495">
        <v>0.9291666666666667</v>
      </c>
      <c r="AI15" s="495">
        <v>0.80750000000000011</v>
      </c>
      <c r="AJ15" s="495">
        <v>0.56666666666666676</v>
      </c>
      <c r="AK15" s="495">
        <v>1.1291666666666667</v>
      </c>
      <c r="AL15" s="495">
        <v>0.81083333333333341</v>
      </c>
      <c r="AM15" s="495">
        <v>0.75</v>
      </c>
    </row>
    <row r="16" spans="1:39" s="230" customFormat="1" ht="12" customHeight="1">
      <c r="A16" s="520" t="s">
        <v>1539</v>
      </c>
      <c r="B16" s="401">
        <v>0.13500000000000004</v>
      </c>
      <c r="C16" s="401">
        <v>5.2500000000000012E-2</v>
      </c>
      <c r="D16" s="401">
        <v>0</v>
      </c>
      <c r="E16" s="401">
        <v>0.18333333333333332</v>
      </c>
      <c r="F16" s="401">
        <v>7.4166666666666672E-2</v>
      </c>
      <c r="G16" s="401">
        <v>0</v>
      </c>
      <c r="H16" s="401">
        <v>0.18833333333333332</v>
      </c>
      <c r="I16" s="401">
        <v>0.10000000000000002</v>
      </c>
      <c r="J16" s="401">
        <v>0</v>
      </c>
      <c r="K16" s="401">
        <v>0.22583333333333333</v>
      </c>
      <c r="L16" s="401">
        <v>0.15250000000000002</v>
      </c>
      <c r="M16" s="401">
        <v>0</v>
      </c>
      <c r="N16" s="520" t="s">
        <v>1539</v>
      </c>
      <c r="O16" s="401">
        <v>0.27916666666666662</v>
      </c>
      <c r="P16" s="401">
        <v>0.12083333333333336</v>
      </c>
      <c r="Q16" s="401">
        <v>8.2500000000000018E-2</v>
      </c>
      <c r="R16" s="401">
        <v>0.46666666666666673</v>
      </c>
      <c r="S16" s="401">
        <v>0.27333333333333337</v>
      </c>
      <c r="T16" s="401">
        <v>0.14833333333333332</v>
      </c>
      <c r="U16" s="401">
        <v>0.46333333333333321</v>
      </c>
      <c r="V16" s="401">
        <v>0.31583333333333335</v>
      </c>
      <c r="W16" s="401">
        <v>0.22916666666666663</v>
      </c>
      <c r="X16" s="401">
        <v>0.69916666666666671</v>
      </c>
      <c r="Y16" s="401">
        <v>0.49</v>
      </c>
      <c r="Z16" s="401">
        <v>0.32</v>
      </c>
      <c r="AA16" s="520" t="s">
        <v>1539</v>
      </c>
      <c r="AB16" s="401">
        <v>0.48583333333333334</v>
      </c>
      <c r="AC16" s="401">
        <v>0.38250000000000001</v>
      </c>
      <c r="AD16" s="401">
        <v>0.54333333333333333</v>
      </c>
      <c r="AE16" s="401">
        <v>0.75083333333333346</v>
      </c>
      <c r="AF16" s="401">
        <v>0.46249999999999997</v>
      </c>
      <c r="AG16" s="401">
        <v>0.46249999999999997</v>
      </c>
      <c r="AH16" s="401">
        <v>0.57999999999999996</v>
      </c>
      <c r="AI16" s="401">
        <v>0.71999999999999986</v>
      </c>
      <c r="AJ16" s="401">
        <v>0.69499999999999995</v>
      </c>
      <c r="AK16" s="401">
        <v>0.6758333333333334</v>
      </c>
      <c r="AL16" s="401">
        <v>0.69750000000000012</v>
      </c>
      <c r="AM16" s="401">
        <v>0.92499999999999993</v>
      </c>
    </row>
    <row r="17" spans="1:39" s="230" customFormat="1" ht="12" customHeight="1">
      <c r="A17" s="482" t="s">
        <v>1810</v>
      </c>
      <c r="B17" s="495">
        <v>0.22071041666666669</v>
      </c>
      <c r="C17" s="495">
        <v>0.26952083333333332</v>
      </c>
      <c r="D17" s="495">
        <v>0</v>
      </c>
      <c r="E17" s="495">
        <v>0.38450166666666669</v>
      </c>
      <c r="F17" s="495">
        <v>0.39549374999999998</v>
      </c>
      <c r="G17" s="495">
        <v>0</v>
      </c>
      <c r="H17" s="495">
        <v>0.63203125000000004</v>
      </c>
      <c r="I17" s="495">
        <v>0.67972916666666672</v>
      </c>
      <c r="J17" s="495">
        <v>0</v>
      </c>
      <c r="K17" s="495">
        <v>0.89655624999999983</v>
      </c>
      <c r="L17" s="495">
        <v>0.42794375000000001</v>
      </c>
      <c r="M17" s="495">
        <v>0</v>
      </c>
      <c r="N17" s="482" t="s">
        <v>1810</v>
      </c>
      <c r="O17" s="495">
        <v>0.31532734749455343</v>
      </c>
      <c r="P17" s="495">
        <v>0.20017037878787883</v>
      </c>
      <c r="Q17" s="495">
        <v>3.4999999999999996E-2</v>
      </c>
      <c r="R17" s="495">
        <v>0.53182662782364398</v>
      </c>
      <c r="S17" s="495">
        <v>0.31519323717948705</v>
      </c>
      <c r="T17" s="495">
        <v>0.11994444444444451</v>
      </c>
      <c r="U17" s="495">
        <v>0.57585807870370376</v>
      </c>
      <c r="V17" s="495">
        <v>0.43620674464424458</v>
      </c>
      <c r="W17" s="495">
        <v>0.18409722222222216</v>
      </c>
      <c r="X17" s="495">
        <v>0.79956950202815014</v>
      </c>
      <c r="Y17" s="495">
        <v>0.44954711182336188</v>
      </c>
      <c r="Z17" s="495">
        <v>0.255</v>
      </c>
      <c r="AA17" s="482" t="s">
        <v>1810</v>
      </c>
      <c r="AB17" s="495">
        <v>0.42428055555555561</v>
      </c>
      <c r="AC17" s="495">
        <v>0.38284583333333333</v>
      </c>
      <c r="AD17" s="495">
        <v>0.53999999999999992</v>
      </c>
      <c r="AE17" s="495">
        <v>0.53083791666666669</v>
      </c>
      <c r="AF17" s="495">
        <v>0.47707499999999992</v>
      </c>
      <c r="AG17" s="495">
        <v>0.5</v>
      </c>
      <c r="AH17" s="495">
        <v>0.51206458333333338</v>
      </c>
      <c r="AI17" s="495">
        <v>0.64387083333333328</v>
      </c>
      <c r="AJ17" s="495">
        <v>0.75</v>
      </c>
      <c r="AK17" s="495">
        <v>0.57374375000000011</v>
      </c>
      <c r="AL17" s="495">
        <v>0.71373333333333344</v>
      </c>
      <c r="AM17" s="495">
        <v>1</v>
      </c>
    </row>
    <row r="18" spans="1:39" s="230" customFormat="1" ht="11.1" customHeight="1">
      <c r="A18" s="554" t="s">
        <v>2056</v>
      </c>
      <c r="B18" s="555">
        <v>2.81717254901961</v>
      </c>
      <c r="C18" s="555">
        <v>1.8811113636363599</v>
      </c>
      <c r="D18" s="555">
        <v>0</v>
      </c>
      <c r="E18" s="555">
        <v>3.15982352941176</v>
      </c>
      <c r="F18" s="555">
        <v>2.5495000000000001</v>
      </c>
      <c r="G18" s="555">
        <v>0</v>
      </c>
      <c r="H18" s="555">
        <v>3.9451955555555598</v>
      </c>
      <c r="I18" s="555">
        <v>3.0833078947368402</v>
      </c>
      <c r="J18" s="555">
        <v>0</v>
      </c>
      <c r="K18" s="555">
        <v>4.2595311111111096</v>
      </c>
      <c r="L18" s="555">
        <v>2.4236363636363598</v>
      </c>
      <c r="M18" s="555">
        <v>0</v>
      </c>
      <c r="N18" s="554" t="s">
        <v>2056</v>
      </c>
      <c r="O18" s="555">
        <v>2.0001386243386201</v>
      </c>
      <c r="P18" s="555">
        <v>1.5466645669291299</v>
      </c>
      <c r="Q18" s="555">
        <v>0.75281818181818205</v>
      </c>
      <c r="R18" s="555">
        <v>2.5074815789473699</v>
      </c>
      <c r="S18" s="555">
        <v>1.68806285714286</v>
      </c>
      <c r="T18" s="555">
        <v>0.79199350649350597</v>
      </c>
      <c r="U18" s="555">
        <v>2.7318236180904498</v>
      </c>
      <c r="V18" s="555">
        <v>1.9837176056338</v>
      </c>
      <c r="W18" s="555">
        <v>0.86837777777777803</v>
      </c>
      <c r="X18" s="555">
        <v>2.8690920212765998</v>
      </c>
      <c r="Y18" s="555">
        <v>1.9108186915887899</v>
      </c>
      <c r="Z18" s="555">
        <v>0.91788947368421003</v>
      </c>
      <c r="AA18" s="554" t="s">
        <v>2056</v>
      </c>
      <c r="AB18" s="555">
        <v>1.4918097560975601</v>
      </c>
      <c r="AC18" s="555">
        <v>1.0596965517241399</v>
      </c>
      <c r="AD18" s="555">
        <v>0.58391304347826101</v>
      </c>
      <c r="AE18" s="555">
        <v>1.78563157894737</v>
      </c>
      <c r="AF18" s="555">
        <v>1.1464483870967701</v>
      </c>
      <c r="AG18" s="555">
        <v>0.54166666666666696</v>
      </c>
      <c r="AH18" s="555">
        <v>1.8759152173913001</v>
      </c>
      <c r="AI18" s="555">
        <v>0.72546500000000003</v>
      </c>
      <c r="AJ18" s="555">
        <v>0.77083333333333304</v>
      </c>
      <c r="AK18" s="555">
        <v>1.76011956521739</v>
      </c>
      <c r="AL18" s="555">
        <v>0.70540000000000003</v>
      </c>
      <c r="AM18" s="555">
        <v>1</v>
      </c>
    </row>
    <row r="19" spans="1:39" s="230" customFormat="1" ht="11.1" customHeight="1">
      <c r="A19" s="507" t="s">
        <v>2188</v>
      </c>
      <c r="B19" s="1261">
        <v>3.7974085106383</v>
      </c>
      <c r="C19" s="1261">
        <v>3.7165897435897399</v>
      </c>
      <c r="D19" s="1261">
        <v>3.53978235294118</v>
      </c>
      <c r="E19" s="1261">
        <v>3.94682244897959</v>
      </c>
      <c r="F19" s="1261">
        <v>3.84361632653061</v>
      </c>
      <c r="G19" s="1261">
        <v>3.6967823529411801</v>
      </c>
      <c r="H19" s="1261">
        <v>4.0155583333333302</v>
      </c>
      <c r="I19" s="1261">
        <v>3.9551219512195099</v>
      </c>
      <c r="J19" s="1261">
        <v>3.62389411764706</v>
      </c>
      <c r="K19" s="1261">
        <v>3.9332937499999998</v>
      </c>
      <c r="L19" s="1261">
        <v>3.9066609756097601</v>
      </c>
      <c r="M19" s="1261">
        <v>3.1575470588235302</v>
      </c>
      <c r="N19" s="507" t="s">
        <v>2188</v>
      </c>
      <c r="O19" s="1261">
        <v>3.2881108695652199</v>
      </c>
      <c r="P19" s="1261">
        <v>2.9787982142857099</v>
      </c>
      <c r="Q19" s="1261">
        <v>2.2351999999999999</v>
      </c>
      <c r="R19" s="1261">
        <v>3.5833588888888901</v>
      </c>
      <c r="S19" s="1261">
        <v>3.12049787234043</v>
      </c>
      <c r="T19" s="1261">
        <v>2.33375825242718</v>
      </c>
      <c r="U19" s="1261">
        <v>3.70896354166667</v>
      </c>
      <c r="V19" s="1261">
        <v>3.0183157894736801</v>
      </c>
      <c r="W19" s="1261">
        <v>2.3466427184466001</v>
      </c>
      <c r="X19" s="1261">
        <v>3.9650945454545501</v>
      </c>
      <c r="Y19" s="1261">
        <v>3.2050150442477898</v>
      </c>
      <c r="Z19" s="1261">
        <v>2.2416427184466001</v>
      </c>
      <c r="AA19" s="507" t="s">
        <v>2188</v>
      </c>
      <c r="AB19" s="1261">
        <v>2.4610363636363601</v>
      </c>
      <c r="AC19" s="1261">
        <v>1.6897392857142901</v>
      </c>
      <c r="AD19" s="1261">
        <v>0.25</v>
      </c>
      <c r="AE19" s="1261">
        <v>2.7432280000000002</v>
      </c>
      <c r="AF19" s="1261">
        <v>1.91643928571429</v>
      </c>
      <c r="AG19" s="1261">
        <v>0.83589166666666703</v>
      </c>
      <c r="AH19" s="1261">
        <v>3.208682</v>
      </c>
      <c r="AI19" s="1261">
        <v>1.3811111111111101</v>
      </c>
      <c r="AJ19" s="1261">
        <v>0.991475</v>
      </c>
      <c r="AK19" s="1261">
        <v>3.4845280000000001</v>
      </c>
      <c r="AL19" s="1261">
        <v>1.7021052631578899</v>
      </c>
      <c r="AM19" s="1261">
        <v>1</v>
      </c>
    </row>
    <row r="20" spans="1:39" s="440" customFormat="1" ht="11.1" customHeight="1">
      <c r="A20" s="554" t="s">
        <v>2439</v>
      </c>
      <c r="B20" s="1376">
        <v>4.6889823529411796</v>
      </c>
      <c r="C20" s="1376">
        <v>4.6610647058823496</v>
      </c>
      <c r="D20" s="1376">
        <v>3.4026617647058801</v>
      </c>
      <c r="E20" s="1376">
        <v>4.3006456521739098</v>
      </c>
      <c r="F20" s="1376">
        <v>4.3884586956521696</v>
      </c>
      <c r="G20" s="1376">
        <v>3.2737088235294101</v>
      </c>
      <c r="H20" s="1376">
        <v>4.2263108695652196</v>
      </c>
      <c r="I20" s="1376">
        <v>4.28617826086957</v>
      </c>
      <c r="J20" s="1376">
        <v>3.15313529411765</v>
      </c>
      <c r="K20" s="1376">
        <v>3.9599652173913</v>
      </c>
      <c r="L20" s="1376">
        <v>4.0984934782608704</v>
      </c>
      <c r="M20" s="1376">
        <v>3.46591764705882</v>
      </c>
      <c r="N20" s="554" t="s">
        <v>2439</v>
      </c>
      <c r="O20" s="1376">
        <v>4.1319513888888899</v>
      </c>
      <c r="P20" s="1376">
        <v>4.1595259615384599</v>
      </c>
      <c r="Q20" s="1376">
        <v>2.4767383561643799</v>
      </c>
      <c r="R20" s="1376">
        <v>4.5173430232558101</v>
      </c>
      <c r="S20" s="1376">
        <v>4.34054459459459</v>
      </c>
      <c r="T20" s="1376">
        <v>3.14790161290323</v>
      </c>
      <c r="U20" s="1376">
        <v>4.4053385869565203</v>
      </c>
      <c r="V20" s="1376">
        <v>4.5919911764705903</v>
      </c>
      <c r="W20" s="1376">
        <v>3.1491637096774201</v>
      </c>
      <c r="X20" s="1376">
        <v>4.7592541436464098</v>
      </c>
      <c r="Y20" s="1376">
        <v>4.7499682432432397</v>
      </c>
      <c r="Z20" s="1376">
        <v>3.0814185483870999</v>
      </c>
      <c r="AA20" s="554" t="s">
        <v>2439</v>
      </c>
      <c r="AB20" s="1376">
        <v>2.68625111111111</v>
      </c>
      <c r="AC20" s="1376">
        <v>2.0951515151515201</v>
      </c>
      <c r="AD20" s="1376">
        <v>0.25</v>
      </c>
      <c r="AE20" s="1376">
        <v>3.1389595744680898</v>
      </c>
      <c r="AF20" s="1376">
        <v>1.9054038461538501</v>
      </c>
      <c r="AG20" s="1376">
        <v>1.04126428571429</v>
      </c>
      <c r="AH20" s="1376">
        <v>2.9709191489361699</v>
      </c>
      <c r="AI20" s="1376">
        <v>1.59526315789474</v>
      </c>
      <c r="AJ20" s="1376">
        <v>1.01005384615385</v>
      </c>
      <c r="AK20" s="1376">
        <v>3.2416456521739101</v>
      </c>
      <c r="AL20" s="1376">
        <v>1.7290000000000001</v>
      </c>
      <c r="AM20" s="1376">
        <v>1</v>
      </c>
    </row>
    <row r="21" spans="1:39" s="230" customFormat="1" ht="11.1" customHeight="1">
      <c r="A21" s="482" t="s">
        <v>559</v>
      </c>
      <c r="B21" s="1083">
        <v>5.16956666666667</v>
      </c>
      <c r="C21" s="1083">
        <v>4.9915333333333303</v>
      </c>
      <c r="D21" s="1083">
        <v>3.6126</v>
      </c>
      <c r="E21" s="1083">
        <v>5.0343749999999998</v>
      </c>
      <c r="F21" s="1083">
        <v>4.8780749999999999</v>
      </c>
      <c r="G21" s="1083">
        <v>3.6784333333333299</v>
      </c>
      <c r="H21" s="1083">
        <v>4.947025</v>
      </c>
      <c r="I21" s="1083">
        <v>4.8137749999999997</v>
      </c>
      <c r="J21" s="1083">
        <v>3.7364666666666699</v>
      </c>
      <c r="K21" s="1083">
        <v>4.8026999999999997</v>
      </c>
      <c r="L21" s="1083">
        <v>4.73325</v>
      </c>
      <c r="M21" s="1083">
        <v>3.7309666666666699</v>
      </c>
      <c r="N21" s="482" t="s">
        <v>559</v>
      </c>
      <c r="O21" s="1083">
        <v>4.8118916666666696</v>
      </c>
      <c r="P21" s="1083">
        <v>4.6291250000000002</v>
      </c>
      <c r="Q21" s="1083">
        <v>2.9321666666666699</v>
      </c>
      <c r="R21" s="1083">
        <v>5.4172857142857103</v>
      </c>
      <c r="S21" s="1083">
        <v>5.1455083333333302</v>
      </c>
      <c r="T21" s="1083">
        <v>3.96678</v>
      </c>
      <c r="U21" s="1083">
        <v>5.0134800000000004</v>
      </c>
      <c r="V21" s="1083">
        <v>5.0865818181818199</v>
      </c>
      <c r="W21" s="1083">
        <v>3.9213800000000001</v>
      </c>
      <c r="X21" s="1083">
        <v>5.0996499999999996</v>
      </c>
      <c r="Y21" s="1083">
        <v>4.9876583333333304</v>
      </c>
      <c r="Z21" s="1083">
        <v>3.7301199999999999</v>
      </c>
      <c r="AA21" s="482" t="s">
        <v>559</v>
      </c>
      <c r="AB21" s="1083">
        <v>2.93333333333333</v>
      </c>
      <c r="AC21" s="1083">
        <v>1.81</v>
      </c>
      <c r="AD21" s="1083">
        <v>0.25</v>
      </c>
      <c r="AE21" s="1083">
        <v>3.1428333333333298</v>
      </c>
      <c r="AF21" s="1083">
        <v>1.89605</v>
      </c>
      <c r="AG21" s="1083">
        <v>0.5</v>
      </c>
      <c r="AH21" s="1083">
        <v>2.7901333333333298</v>
      </c>
      <c r="AI21" s="1083">
        <v>0.85</v>
      </c>
      <c r="AJ21" s="1083">
        <v>0.75</v>
      </c>
      <c r="AK21" s="1083">
        <v>3.10896666666667</v>
      </c>
      <c r="AL21" s="1083">
        <v>1</v>
      </c>
      <c r="AM21" s="1083">
        <v>1</v>
      </c>
    </row>
    <row r="22" spans="1:39" s="230" customFormat="1" ht="11.1" customHeight="1">
      <c r="A22" s="520" t="s">
        <v>560</v>
      </c>
      <c r="B22" s="1078">
        <v>5.1390333333333302</v>
      </c>
      <c r="C22" s="1078">
        <v>4.8946333333333296</v>
      </c>
      <c r="D22" s="1078">
        <v>3.5764</v>
      </c>
      <c r="E22" s="1078">
        <v>4.7999000000000001</v>
      </c>
      <c r="F22" s="1078">
        <v>4.7067500000000004</v>
      </c>
      <c r="G22" s="1078">
        <v>3.59663333333333</v>
      </c>
      <c r="H22" s="1078">
        <v>4.6074999999999999</v>
      </c>
      <c r="I22" s="1078">
        <v>4.6124000000000001</v>
      </c>
      <c r="J22" s="1078">
        <v>3.6966000000000001</v>
      </c>
      <c r="K22" s="1078">
        <v>4.3525499999999999</v>
      </c>
      <c r="L22" s="1078">
        <v>4.4867499999999998</v>
      </c>
      <c r="M22" s="1078">
        <v>3.7426333333333299</v>
      </c>
      <c r="N22" s="520" t="s">
        <v>560</v>
      </c>
      <c r="O22" s="1078">
        <v>4.7751083333333302</v>
      </c>
      <c r="P22" s="1078">
        <v>4.6199888888888898</v>
      </c>
      <c r="Q22" s="1078">
        <v>2.9812857142857099</v>
      </c>
      <c r="R22" s="1078">
        <v>4.9425800000000004</v>
      </c>
      <c r="S22" s="1078">
        <v>4.7024307692307703</v>
      </c>
      <c r="T22" s="1078">
        <v>3.5796999999999999</v>
      </c>
      <c r="U22" s="1078">
        <v>4.6037812499999999</v>
      </c>
      <c r="V22" s="1078">
        <v>4.6600666666666699</v>
      </c>
      <c r="W22" s="1078">
        <v>3.5547090909090899</v>
      </c>
      <c r="X22" s="1078">
        <v>4.6447333333333303</v>
      </c>
      <c r="Y22" s="1078">
        <v>4.5978384615384602</v>
      </c>
      <c r="Z22" s="1078">
        <v>3.3920909090909102</v>
      </c>
      <c r="AA22" s="520" t="s">
        <v>560</v>
      </c>
      <c r="AB22" s="1078">
        <v>2.562875</v>
      </c>
      <c r="AC22" s="1078">
        <v>2.08</v>
      </c>
      <c r="AD22" s="1078">
        <v>0.25</v>
      </c>
      <c r="AE22" s="1078">
        <v>3.6611199999999999</v>
      </c>
      <c r="AF22" s="1078">
        <v>1.89605</v>
      </c>
      <c r="AG22" s="1078">
        <v>2.1688499999999999</v>
      </c>
      <c r="AH22" s="1078">
        <v>3.2853599999999998</v>
      </c>
      <c r="AI22" s="1078">
        <v>0.85</v>
      </c>
      <c r="AJ22" s="1078">
        <v>2.4653499999999999</v>
      </c>
      <c r="AK22" s="1078">
        <v>3.9967000000000001</v>
      </c>
      <c r="AL22" s="1078">
        <v>1</v>
      </c>
      <c r="AM22" s="1078">
        <v>1</v>
      </c>
    </row>
    <row r="23" spans="1:39" s="230" customFormat="1" ht="11.1" customHeight="1">
      <c r="A23" s="482" t="s">
        <v>554</v>
      </c>
      <c r="B23" s="1083">
        <v>4.9666666666666703</v>
      </c>
      <c r="C23" s="1083">
        <v>4.8666666666666698</v>
      </c>
      <c r="D23" s="1083">
        <v>3.5533333333333301</v>
      </c>
      <c r="E23" s="1083">
        <v>4.4524999999999997</v>
      </c>
      <c r="F23" s="1083">
        <v>4.58</v>
      </c>
      <c r="G23" s="1083">
        <v>3.5233333333333299</v>
      </c>
      <c r="H23" s="1083">
        <v>4.2</v>
      </c>
      <c r="I23" s="1083">
        <v>4.46</v>
      </c>
      <c r="J23" s="1083">
        <v>3.6533333333333302</v>
      </c>
      <c r="K23" s="1083">
        <v>3.875</v>
      </c>
      <c r="L23" s="1083">
        <v>4.2699999999999996</v>
      </c>
      <c r="M23" s="1083">
        <v>3.74</v>
      </c>
      <c r="N23" s="482" t="s">
        <v>554</v>
      </c>
      <c r="O23" s="1083">
        <v>4.7300000000000004</v>
      </c>
      <c r="P23" s="1083">
        <v>4.8122222222222204</v>
      </c>
      <c r="Q23" s="1083">
        <v>3.1614285714285701</v>
      </c>
      <c r="R23" s="1083">
        <v>4.8706250000000004</v>
      </c>
      <c r="S23" s="1083">
        <v>4.70571428571429</v>
      </c>
      <c r="T23" s="1083">
        <v>3.6416666666666702</v>
      </c>
      <c r="U23" s="1083">
        <v>4.52764705882353</v>
      </c>
      <c r="V23" s="1083">
        <v>4.7676923076923101</v>
      </c>
      <c r="W23" s="1083">
        <v>3.5883333333333298</v>
      </c>
      <c r="X23" s="1083">
        <v>4.5575000000000001</v>
      </c>
      <c r="Y23" s="1083">
        <v>4.6285714285714299</v>
      </c>
      <c r="Z23" s="1083">
        <v>3.3849999999999998</v>
      </c>
      <c r="AA23" s="482" t="s">
        <v>554</v>
      </c>
      <c r="AB23" s="1083">
        <v>3.05</v>
      </c>
      <c r="AC23" s="1083">
        <v>2.08</v>
      </c>
      <c r="AD23" s="1083">
        <v>0.25</v>
      </c>
      <c r="AE23" s="1083">
        <v>3.89</v>
      </c>
      <c r="AF23" s="1083">
        <v>1.895</v>
      </c>
      <c r="AG23" s="1083">
        <v>0.5</v>
      </c>
      <c r="AH23" s="1083">
        <v>3.56</v>
      </c>
      <c r="AI23" s="1083">
        <v>1.7350000000000001</v>
      </c>
      <c r="AJ23" s="1083">
        <v>0.75</v>
      </c>
      <c r="AK23" s="1083">
        <v>4.0599999999999996</v>
      </c>
      <c r="AL23" s="1083">
        <v>1.81</v>
      </c>
      <c r="AM23" s="1083">
        <v>1</v>
      </c>
    </row>
    <row r="24" spans="1:39" s="230" customFormat="1" ht="11.1" customHeight="1">
      <c r="A24" s="520" t="s">
        <v>561</v>
      </c>
      <c r="B24" s="1078">
        <v>4.7967000000000004</v>
      </c>
      <c r="C24" s="1078">
        <v>4.8071666666666699</v>
      </c>
      <c r="D24" s="1078">
        <v>3.4466666666666699</v>
      </c>
      <c r="E24" s="1078">
        <v>4.3926999999999996</v>
      </c>
      <c r="F24" s="1078">
        <v>4.4880500000000003</v>
      </c>
      <c r="G24" s="1078">
        <v>3.44363333333333</v>
      </c>
      <c r="H24" s="1078">
        <v>4.2055749999999996</v>
      </c>
      <c r="I24" s="1078">
        <v>4.3808249999999997</v>
      </c>
      <c r="J24" s="1078">
        <v>3.5790000000000002</v>
      </c>
      <c r="K24" s="1078">
        <v>3.9902250000000001</v>
      </c>
      <c r="L24" s="1078">
        <v>4.2134</v>
      </c>
      <c r="M24" s="1078">
        <v>3.71396666666667</v>
      </c>
      <c r="N24" s="520" t="s">
        <v>561</v>
      </c>
      <c r="O24" s="1078">
        <v>4.1333166666666701</v>
      </c>
      <c r="P24" s="1078">
        <v>3.9248500000000002</v>
      </c>
      <c r="Q24" s="1078">
        <v>2.7008999999999999</v>
      </c>
      <c r="R24" s="1078">
        <v>4.6265266666666696</v>
      </c>
      <c r="S24" s="1078">
        <v>4.35826153846154</v>
      </c>
      <c r="T24" s="1078">
        <v>3.3367181818181799</v>
      </c>
      <c r="U24" s="1078">
        <v>4.51268125</v>
      </c>
      <c r="V24" s="1078">
        <v>4.62845</v>
      </c>
      <c r="W24" s="1078">
        <v>3.2988272727272698</v>
      </c>
      <c r="X24" s="1078">
        <v>4.8381375000000002</v>
      </c>
      <c r="Y24" s="1078">
        <v>4.7903307692307697</v>
      </c>
      <c r="Z24" s="1078">
        <v>3.14236363636364</v>
      </c>
      <c r="AA24" s="520" t="s">
        <v>561</v>
      </c>
      <c r="AB24" s="1078">
        <v>3.4010333333333298</v>
      </c>
      <c r="AC24" s="1078">
        <v>2.87</v>
      </c>
      <c r="AD24" s="1078">
        <v>0</v>
      </c>
      <c r="AE24" s="1078">
        <v>3.8405999999999998</v>
      </c>
      <c r="AF24" s="1078">
        <v>2.8220999999999998</v>
      </c>
      <c r="AG24" s="1078">
        <v>0</v>
      </c>
      <c r="AH24" s="1078">
        <v>3.4137</v>
      </c>
      <c r="AI24" s="1078">
        <v>2.62</v>
      </c>
      <c r="AJ24" s="1078">
        <v>0</v>
      </c>
      <c r="AK24" s="1078">
        <v>3.8274333333333299</v>
      </c>
      <c r="AL24" s="1078">
        <v>2.62</v>
      </c>
      <c r="AM24" s="1078">
        <v>0</v>
      </c>
    </row>
    <row r="25" spans="1:39" s="230" customFormat="1" ht="11.1" customHeight="1">
      <c r="A25" s="482" t="s">
        <v>562</v>
      </c>
      <c r="B25" s="1083">
        <v>4.69586666666667</v>
      </c>
      <c r="C25" s="1083">
        <v>4.7277333333333296</v>
      </c>
      <c r="D25" s="1083">
        <v>3.3045666666666702</v>
      </c>
      <c r="E25" s="1083">
        <v>4.3407499999999999</v>
      </c>
      <c r="F25" s="1083">
        <v>4.4904000000000002</v>
      </c>
      <c r="G25" s="1083">
        <v>3.3125666666666702</v>
      </c>
      <c r="H25" s="1083">
        <v>4.2642499999999997</v>
      </c>
      <c r="I25" s="1083">
        <v>4.4045249999999996</v>
      </c>
      <c r="J25" s="1083">
        <v>3.4712666666666698</v>
      </c>
      <c r="K25" s="1083">
        <v>4.1870500000000002</v>
      </c>
      <c r="L25" s="1083">
        <v>4.3330000000000002</v>
      </c>
      <c r="M25" s="1083">
        <v>3.6627666666666698</v>
      </c>
      <c r="N25" s="482" t="s">
        <v>562</v>
      </c>
      <c r="O25" s="1083">
        <v>4.0729583333333297</v>
      </c>
      <c r="P25" s="1083">
        <v>5.4267555555555598</v>
      </c>
      <c r="Q25" s="1083">
        <v>2.6264166666666702</v>
      </c>
      <c r="R25" s="1083">
        <v>4.4883866666666696</v>
      </c>
      <c r="S25" s="1083">
        <v>4.4543307692307703</v>
      </c>
      <c r="T25" s="1083">
        <v>3.1280000000000001</v>
      </c>
      <c r="U25" s="1083">
        <v>4.4474562500000001</v>
      </c>
      <c r="V25" s="1083">
        <v>4.76525833333333</v>
      </c>
      <c r="W25" s="1083">
        <v>3.077</v>
      </c>
      <c r="X25" s="1083">
        <v>4.9042750000000002</v>
      </c>
      <c r="Y25" s="1083">
        <v>4.9519076923076897</v>
      </c>
      <c r="Z25" s="1083">
        <v>2.9280909090909102</v>
      </c>
      <c r="AA25" s="482" t="s">
        <v>562</v>
      </c>
      <c r="AB25" s="1083">
        <v>2.8154499999999998</v>
      </c>
      <c r="AC25" s="1083">
        <v>2.08</v>
      </c>
      <c r="AD25" s="1083">
        <v>0.25</v>
      </c>
      <c r="AE25" s="1083">
        <v>2.9290500000000002</v>
      </c>
      <c r="AF25" s="1083">
        <v>1.7860499999999999</v>
      </c>
      <c r="AG25" s="1083">
        <v>0.5</v>
      </c>
      <c r="AH25" s="1083">
        <v>2.9327000000000001</v>
      </c>
      <c r="AI25" s="1083">
        <v>1.7350000000000001</v>
      </c>
      <c r="AJ25" s="1083">
        <v>0.75</v>
      </c>
      <c r="AK25" s="1083">
        <v>3.2932250000000001</v>
      </c>
      <c r="AL25" s="1083">
        <v>1.81</v>
      </c>
      <c r="AM25" s="1083">
        <v>1</v>
      </c>
    </row>
    <row r="26" spans="1:39" s="230" customFormat="1" ht="11.1" customHeight="1">
      <c r="A26" s="520" t="s">
        <v>555</v>
      </c>
      <c r="B26" s="1078">
        <v>5.5872999999999999</v>
      </c>
      <c r="C26" s="1078">
        <v>5.7050000000000001</v>
      </c>
      <c r="D26" s="1078">
        <v>4.2415000000000003</v>
      </c>
      <c r="E26" s="1078">
        <v>4.82466666666667</v>
      </c>
      <c r="F26" s="1078">
        <v>5.0868000000000002</v>
      </c>
      <c r="G26" s="1078">
        <v>4.0268499999999996</v>
      </c>
      <c r="H26" s="1078">
        <v>4.7838000000000003</v>
      </c>
      <c r="I26" s="1078">
        <v>5.0344666666666704</v>
      </c>
      <c r="J26" s="1078">
        <v>4.2477</v>
      </c>
      <c r="K26" s="1078">
        <v>4.8132000000000001</v>
      </c>
      <c r="L26" s="1078">
        <v>5.0307333333333304</v>
      </c>
      <c r="M26" s="1078">
        <v>4.4970999999999997</v>
      </c>
      <c r="N26" s="520" t="s">
        <v>555</v>
      </c>
      <c r="O26" s="1078">
        <v>3.9750416666666699</v>
      </c>
      <c r="P26" s="1078">
        <v>3.9260125000000001</v>
      </c>
      <c r="Q26" s="1078">
        <v>2.5684999999999998</v>
      </c>
      <c r="R26" s="1078">
        <v>4.5892384615384598</v>
      </c>
      <c r="S26" s="1078">
        <v>4.5416090909090903</v>
      </c>
      <c r="T26" s="1078">
        <v>3.39333333333333</v>
      </c>
      <c r="U26" s="1078">
        <v>4.5474214285714298</v>
      </c>
      <c r="V26" s="1078">
        <v>4.9363000000000001</v>
      </c>
      <c r="W26" s="1078">
        <v>3.3611111111111098</v>
      </c>
      <c r="X26" s="1078">
        <v>5.1140214285714301</v>
      </c>
      <c r="Y26" s="1078">
        <v>5.1727909090909101</v>
      </c>
      <c r="Z26" s="1078">
        <v>3.2686666666666699</v>
      </c>
      <c r="AA26" s="520" t="s">
        <v>555</v>
      </c>
      <c r="AB26" s="1078">
        <v>2.5163250000000001</v>
      </c>
      <c r="AC26" s="1078">
        <v>2.08</v>
      </c>
      <c r="AD26" s="1078">
        <v>0.25</v>
      </c>
      <c r="AE26" s="1078">
        <v>2.899775</v>
      </c>
      <c r="AF26" s="1078">
        <v>2.0640333333333301</v>
      </c>
      <c r="AG26" s="1078">
        <v>0.5</v>
      </c>
      <c r="AH26" s="1078">
        <v>2.9028749999999999</v>
      </c>
      <c r="AI26" s="1078">
        <v>0.85</v>
      </c>
      <c r="AJ26" s="1078">
        <v>0.75</v>
      </c>
      <c r="AK26" s="1078">
        <v>3.2528999999999999</v>
      </c>
      <c r="AL26" s="1078">
        <v>1.81</v>
      </c>
      <c r="AM26" s="1078">
        <v>1</v>
      </c>
    </row>
    <row r="27" spans="1:39" s="230" customFormat="1" ht="11.1" customHeight="1">
      <c r="A27" s="482" t="s">
        <v>563</v>
      </c>
      <c r="B27" s="1083">
        <v>4.4917666666666696</v>
      </c>
      <c r="C27" s="1083">
        <v>4.6459000000000001</v>
      </c>
      <c r="D27" s="1083">
        <v>3.1322666666666699</v>
      </c>
      <c r="E27" s="1083">
        <v>4.1377249999999997</v>
      </c>
      <c r="F27" s="1083">
        <v>4.3699750000000002</v>
      </c>
      <c r="G27" s="1083">
        <v>2.9827333333333299</v>
      </c>
      <c r="H27" s="1083">
        <v>4.0996499999999996</v>
      </c>
      <c r="I27" s="1083">
        <v>4.3178999999999998</v>
      </c>
      <c r="J27" s="1083">
        <v>3.2287333333333299</v>
      </c>
      <c r="K27" s="1083">
        <v>4.1094999999999997</v>
      </c>
      <c r="L27" s="1083">
        <v>4.3078500000000002</v>
      </c>
      <c r="M27" s="1083">
        <v>3.411</v>
      </c>
      <c r="N27" s="482" t="s">
        <v>563</v>
      </c>
      <c r="O27" s="1083">
        <v>3.9446416666666702</v>
      </c>
      <c r="P27" s="1083">
        <v>3.94854444444444</v>
      </c>
      <c r="Q27" s="1083">
        <v>2.4821666666666702</v>
      </c>
      <c r="R27" s="1083">
        <v>4.3626800000000001</v>
      </c>
      <c r="S27" s="1083">
        <v>4.2859538461538502</v>
      </c>
      <c r="T27" s="1083">
        <v>3.1098727272727298</v>
      </c>
      <c r="U27" s="1083">
        <v>4.3372687499999998</v>
      </c>
      <c r="V27" s="1083">
        <v>4.5917500000000002</v>
      </c>
      <c r="W27" s="1083">
        <v>3.1208454545454498</v>
      </c>
      <c r="X27" s="1083">
        <v>4.8390062499999997</v>
      </c>
      <c r="Y27" s="1083">
        <v>4.81477692307692</v>
      </c>
      <c r="Z27" s="1083">
        <v>3.0703181818181799</v>
      </c>
      <c r="AA27" s="482" t="s">
        <v>563</v>
      </c>
      <c r="AB27" s="1083">
        <v>2.5326</v>
      </c>
      <c r="AC27" s="1083">
        <v>1.81</v>
      </c>
      <c r="AD27" s="1083">
        <v>0.25</v>
      </c>
      <c r="AE27" s="1083">
        <v>2.8116333333333299</v>
      </c>
      <c r="AF27" s="1083">
        <v>1.72655</v>
      </c>
      <c r="AG27" s="1083">
        <v>0.5</v>
      </c>
      <c r="AH27" s="1083">
        <v>2.6269999999999998</v>
      </c>
      <c r="AI27" s="1083">
        <v>0.85</v>
      </c>
      <c r="AJ27" s="1083">
        <v>0.75</v>
      </c>
      <c r="AK27" s="1083">
        <v>3.0471333333333299</v>
      </c>
      <c r="AL27" s="1083">
        <v>1</v>
      </c>
      <c r="AM27" s="1083">
        <v>1</v>
      </c>
    </row>
    <row r="28" spans="1:39" s="230" customFormat="1" ht="11.1" customHeight="1">
      <c r="A28" s="520" t="s">
        <v>564</v>
      </c>
      <c r="B28" s="1078">
        <v>4.48783333333333</v>
      </c>
      <c r="C28" s="1078">
        <v>4.5194999999999999</v>
      </c>
      <c r="D28" s="1078">
        <v>3.5251333333333301</v>
      </c>
      <c r="E28" s="1078">
        <v>4.11355</v>
      </c>
      <c r="F28" s="1078">
        <v>4.2717999999999998</v>
      </c>
      <c r="G28" s="1078">
        <v>3.3393333333333302</v>
      </c>
      <c r="H28" s="1078">
        <v>4.1348500000000001</v>
      </c>
      <c r="I28" s="1078">
        <v>4.15665</v>
      </c>
      <c r="J28" s="1078">
        <v>2.95366666666667</v>
      </c>
      <c r="K28" s="1078">
        <v>3.8154249999999998</v>
      </c>
      <c r="L28" s="1078">
        <v>3.9024749999999999</v>
      </c>
      <c r="M28" s="1078">
        <v>3.4262666666666699</v>
      </c>
      <c r="N28" s="520" t="s">
        <v>564</v>
      </c>
      <c r="O28" s="1078">
        <v>3.8255499999999998</v>
      </c>
      <c r="P28" s="1078">
        <v>3.80904444444444</v>
      </c>
      <c r="Q28" s="1078">
        <v>2.1671666666666698</v>
      </c>
      <c r="R28" s="1078">
        <v>4.2266285714285701</v>
      </c>
      <c r="S28" s="1078">
        <v>4.0450583333333299</v>
      </c>
      <c r="T28" s="1078">
        <v>2.8180999999999998</v>
      </c>
      <c r="U28" s="1078">
        <v>4.2045133333333302</v>
      </c>
      <c r="V28" s="1078">
        <v>4.4046272727272697</v>
      </c>
      <c r="W28" s="1078">
        <v>2.8316499999999998</v>
      </c>
      <c r="X28" s="1078">
        <v>4.7423599999999997</v>
      </c>
      <c r="Y28" s="1078">
        <v>4.6980083333333296</v>
      </c>
      <c r="Z28" s="1078">
        <v>2.8566500000000001</v>
      </c>
      <c r="AA28" s="520" t="s">
        <v>564</v>
      </c>
      <c r="AB28" s="1078">
        <v>2.4417</v>
      </c>
      <c r="AC28" s="1078">
        <v>2.08</v>
      </c>
      <c r="AD28" s="1078">
        <v>0.25</v>
      </c>
      <c r="AE28" s="1078">
        <v>2.9494250000000002</v>
      </c>
      <c r="AF28" s="1078">
        <v>1.72655</v>
      </c>
      <c r="AG28" s="1078">
        <v>1.56</v>
      </c>
      <c r="AH28" s="1078">
        <v>2.8395250000000001</v>
      </c>
      <c r="AI28" s="1078">
        <v>1.7350000000000001</v>
      </c>
      <c r="AJ28" s="1078">
        <v>0.75</v>
      </c>
      <c r="AK28" s="1078">
        <v>3.0522499999999999</v>
      </c>
      <c r="AL28" s="1078">
        <v>1.81</v>
      </c>
      <c r="AM28" s="1078">
        <v>1</v>
      </c>
    </row>
    <row r="29" spans="1:39" s="230" customFormat="1" ht="11.1" customHeight="1">
      <c r="A29" s="482" t="s">
        <v>556</v>
      </c>
      <c r="B29" s="1083">
        <v>4.4905333333333299</v>
      </c>
      <c r="C29" s="1083">
        <v>4.4875999999999996</v>
      </c>
      <c r="D29" s="1083">
        <v>3.4519000000000002</v>
      </c>
      <c r="E29" s="1083">
        <v>4.0581500000000004</v>
      </c>
      <c r="F29" s="1083">
        <v>4.2551249999999996</v>
      </c>
      <c r="G29" s="1083">
        <v>3.2294999999999998</v>
      </c>
      <c r="H29" s="1083">
        <v>4.0883250000000002</v>
      </c>
      <c r="I29" s="1083">
        <v>4.1486999999999998</v>
      </c>
      <c r="J29" s="1083">
        <v>2.7806999999999999</v>
      </c>
      <c r="K29" s="1083">
        <v>3.6951749999999999</v>
      </c>
      <c r="L29" s="1083">
        <v>3.8405749999999999</v>
      </c>
      <c r="M29" s="1083">
        <v>3.3246333333333302</v>
      </c>
      <c r="N29" s="482" t="s">
        <v>556</v>
      </c>
      <c r="O29" s="1083">
        <v>3.825075</v>
      </c>
      <c r="P29" s="1083">
        <v>3.7993777777777802</v>
      </c>
      <c r="Q29" s="1083">
        <v>2.0781666666666698</v>
      </c>
      <c r="R29" s="1083">
        <v>4.2203499999999998</v>
      </c>
      <c r="S29" s="1083">
        <v>4.0314416666666704</v>
      </c>
      <c r="T29" s="1083">
        <v>2.7435499999999999</v>
      </c>
      <c r="U29" s="1083">
        <v>4.1868600000000002</v>
      </c>
      <c r="V29" s="1083">
        <v>4.38983636363636</v>
      </c>
      <c r="W29" s="1083">
        <v>2.7829799999999998</v>
      </c>
      <c r="X29" s="1083">
        <v>4.7019133333333301</v>
      </c>
      <c r="Y29" s="1083">
        <v>4.6705583333333296</v>
      </c>
      <c r="Z29" s="1083">
        <v>2.8223799999999999</v>
      </c>
      <c r="AA29" s="482" t="s">
        <v>556</v>
      </c>
      <c r="AB29" s="1083">
        <v>2.6023749999999999</v>
      </c>
      <c r="AC29" s="1083">
        <v>2.08</v>
      </c>
      <c r="AD29" s="1083">
        <v>0.25</v>
      </c>
      <c r="AE29" s="1083">
        <v>2.9453</v>
      </c>
      <c r="AF29" s="1083">
        <v>1.72655</v>
      </c>
      <c r="AG29" s="1083">
        <v>1.56</v>
      </c>
      <c r="AH29" s="1083">
        <v>2.9932750000000001</v>
      </c>
      <c r="AI29" s="1083">
        <v>1.7350000000000001</v>
      </c>
      <c r="AJ29" s="1083">
        <v>0.75</v>
      </c>
      <c r="AK29" s="1083">
        <v>2.8603999999999998</v>
      </c>
      <c r="AL29" s="1083">
        <v>1.81</v>
      </c>
      <c r="AM29" s="1083">
        <v>1</v>
      </c>
    </row>
    <row r="30" spans="1:39" s="230" customFormat="1" ht="11.1" customHeight="1">
      <c r="A30" s="520" t="s">
        <v>565</v>
      </c>
      <c r="B30" s="1078">
        <v>3.3182999999999998</v>
      </c>
      <c r="C30" s="1078">
        <v>3.3648500000000001</v>
      </c>
      <c r="D30" s="1078">
        <v>2.33</v>
      </c>
      <c r="E30" s="1078">
        <v>3.3267333333333302</v>
      </c>
      <c r="F30" s="1078">
        <v>3.4805999999999999</v>
      </c>
      <c r="G30" s="1078">
        <v>2.46075</v>
      </c>
      <c r="H30" s="1078">
        <v>3.3444333333333298</v>
      </c>
      <c r="I30" s="1078">
        <v>3.2917333333333301</v>
      </c>
      <c r="J30" s="1078">
        <v>1.6835</v>
      </c>
      <c r="K30" s="1078">
        <v>2.8611</v>
      </c>
      <c r="L30" s="1078">
        <v>2.99033333333333</v>
      </c>
      <c r="M30" s="1078">
        <v>2.3505500000000001</v>
      </c>
      <c r="N30" s="520" t="s">
        <v>565</v>
      </c>
      <c r="O30" s="1078">
        <v>3.7728636363636401</v>
      </c>
      <c r="P30" s="1078">
        <v>3.6548875000000001</v>
      </c>
      <c r="Q30" s="1078">
        <v>1.9510000000000001</v>
      </c>
      <c r="R30" s="1078">
        <v>4.1551153846153799</v>
      </c>
      <c r="S30" s="1078">
        <v>3.9460636363636401</v>
      </c>
      <c r="T30" s="1078">
        <v>2.69082222222222</v>
      </c>
      <c r="U30" s="1078">
        <v>4.1100214285714296</v>
      </c>
      <c r="V30" s="1078">
        <v>4.3078700000000003</v>
      </c>
      <c r="W30" s="1078">
        <v>2.7236333333333298</v>
      </c>
      <c r="X30" s="1078">
        <v>4.5516285714285702</v>
      </c>
      <c r="Y30" s="1078">
        <v>4.5732999999999997</v>
      </c>
      <c r="Z30" s="1078">
        <v>2.76976666666667</v>
      </c>
      <c r="AA30" s="520" t="s">
        <v>565</v>
      </c>
      <c r="AB30" s="1078">
        <v>2.6230500000000001</v>
      </c>
      <c r="AC30" s="1078">
        <v>2.08</v>
      </c>
      <c r="AD30" s="1078">
        <v>0.25</v>
      </c>
      <c r="AE30" s="1078">
        <v>2.7846000000000002</v>
      </c>
      <c r="AF30" s="1078">
        <v>1.7172499999999999</v>
      </c>
      <c r="AG30" s="1078">
        <v>0.5</v>
      </c>
      <c r="AH30" s="1078">
        <v>2.7126749999999999</v>
      </c>
      <c r="AI30" s="1078">
        <v>1.7350000000000001</v>
      </c>
      <c r="AJ30" s="1078">
        <v>0.75</v>
      </c>
      <c r="AK30" s="1078">
        <v>2.6412249999999999</v>
      </c>
      <c r="AL30" s="1078">
        <v>1.81</v>
      </c>
      <c r="AM30" s="1078">
        <v>1</v>
      </c>
    </row>
    <row r="31" spans="1:39" s="230" customFormat="1" ht="11.1" customHeight="1">
      <c r="A31" s="482" t="s">
        <v>566</v>
      </c>
      <c r="B31" s="1083">
        <v>4.4744999999999999</v>
      </c>
      <c r="C31" s="1083">
        <v>4.4362333333333304</v>
      </c>
      <c r="D31" s="1083">
        <v>3.3376333333333301</v>
      </c>
      <c r="E31" s="1083">
        <v>3.9732249999999998</v>
      </c>
      <c r="F31" s="1083">
        <v>3.97865</v>
      </c>
      <c r="G31" s="1083">
        <v>2.90683333333333</v>
      </c>
      <c r="H31" s="1083">
        <v>3.9324750000000002</v>
      </c>
      <c r="I31" s="1083">
        <v>3.865675</v>
      </c>
      <c r="J31" s="1083">
        <v>2.41686666666667</v>
      </c>
      <c r="K31" s="1083">
        <v>3.419025</v>
      </c>
      <c r="L31" s="1083">
        <v>3.4878499999999999</v>
      </c>
      <c r="M31" s="1083">
        <v>3.0528666666666702</v>
      </c>
      <c r="N31" s="482" t="s">
        <v>566</v>
      </c>
      <c r="O31" s="1083">
        <v>3.8201499999999999</v>
      </c>
      <c r="P31" s="1083">
        <v>3.6708777777777799</v>
      </c>
      <c r="Q31" s="1083">
        <v>1.92116666666667</v>
      </c>
      <c r="R31" s="1083">
        <v>4.11042857142857</v>
      </c>
      <c r="S31" s="1083">
        <v>3.8958666666666701</v>
      </c>
      <c r="T31" s="1083">
        <v>2.6109</v>
      </c>
      <c r="U31" s="1083">
        <v>4.1452999999999998</v>
      </c>
      <c r="V31" s="1083">
        <v>4.2801272727272703</v>
      </c>
      <c r="W31" s="1083">
        <v>2.6978399999999998</v>
      </c>
      <c r="X31" s="1083">
        <v>4.5964866666666699</v>
      </c>
      <c r="Y31" s="1083">
        <v>4.5987083333333301</v>
      </c>
      <c r="Z31" s="1083">
        <v>2.7630499999999998</v>
      </c>
      <c r="AA31" s="482" t="s">
        <v>566</v>
      </c>
      <c r="AB31" s="1083">
        <v>2.51085</v>
      </c>
      <c r="AC31" s="1083">
        <v>2.08</v>
      </c>
      <c r="AD31" s="1083">
        <v>0.25</v>
      </c>
      <c r="AE31" s="1083">
        <v>2.807175</v>
      </c>
      <c r="AF31" s="1083">
        <v>1.9643666666666699</v>
      </c>
      <c r="AG31" s="1083">
        <v>0.5</v>
      </c>
      <c r="AH31" s="1083">
        <v>2.6908750000000001</v>
      </c>
      <c r="AI31" s="1083">
        <v>1.7350000000000001</v>
      </c>
      <c r="AJ31" s="1083">
        <v>0.75</v>
      </c>
      <c r="AK31" s="1083">
        <v>2.812875</v>
      </c>
      <c r="AL31" s="1083">
        <v>1.81</v>
      </c>
      <c r="AM31" s="1083">
        <v>1</v>
      </c>
    </row>
    <row r="32" spans="1:39" s="230" customFormat="1" ht="11.1" customHeight="1">
      <c r="A32" s="520" t="s">
        <v>557</v>
      </c>
      <c r="B32" s="1078">
        <v>4.4922666666666702</v>
      </c>
      <c r="C32" s="1078">
        <v>4.4018666666666704</v>
      </c>
      <c r="D32" s="1078">
        <v>3.242</v>
      </c>
      <c r="E32" s="1078">
        <v>4.0410000000000004</v>
      </c>
      <c r="F32" s="1078">
        <v>4.0228999999999999</v>
      </c>
      <c r="G32" s="1078">
        <v>2.7639666666666698</v>
      </c>
      <c r="H32" s="1078">
        <v>4.0267499999999998</v>
      </c>
      <c r="I32" s="1078">
        <v>3.8859499999999998</v>
      </c>
      <c r="J32" s="1078">
        <v>2.2647666666666701</v>
      </c>
      <c r="K32" s="1078">
        <v>3.5372249999999998</v>
      </c>
      <c r="L32" s="1078">
        <v>3.541725</v>
      </c>
      <c r="M32" s="1078">
        <v>2.9102000000000001</v>
      </c>
      <c r="N32" s="520" t="s">
        <v>557</v>
      </c>
      <c r="O32" s="1078">
        <v>3.8170583333333301</v>
      </c>
      <c r="P32" s="1078">
        <v>3.6367111111111101</v>
      </c>
      <c r="Q32" s="1078">
        <v>1.86466666666667</v>
      </c>
      <c r="R32" s="1078">
        <v>4.1020071428571399</v>
      </c>
      <c r="S32" s="1078">
        <v>3.8607499999999999</v>
      </c>
      <c r="T32" s="1078">
        <v>2.5791900000000001</v>
      </c>
      <c r="U32" s="1078">
        <v>4.1824533333333296</v>
      </c>
      <c r="V32" s="1078">
        <v>4.2336272727272704</v>
      </c>
      <c r="W32" s="1078">
        <v>2.67699</v>
      </c>
      <c r="X32" s="1078">
        <v>4.5470466666666702</v>
      </c>
      <c r="Y32" s="1078">
        <v>4.5430000000000001</v>
      </c>
      <c r="Z32" s="1078">
        <v>2.7546499999999998</v>
      </c>
      <c r="AA32" s="520" t="s">
        <v>557</v>
      </c>
      <c r="AB32" s="1078">
        <v>2.4474749999999998</v>
      </c>
      <c r="AC32" s="1078">
        <v>2.08</v>
      </c>
      <c r="AD32" s="1078">
        <v>0.25</v>
      </c>
      <c r="AE32" s="1078">
        <v>2.7822499999999999</v>
      </c>
      <c r="AF32" s="1078">
        <v>1.9643666666666699</v>
      </c>
      <c r="AG32" s="1078">
        <v>0.5</v>
      </c>
      <c r="AH32" s="1078">
        <v>2.6565500000000002</v>
      </c>
      <c r="AI32" s="1078">
        <v>1.7350000000000001</v>
      </c>
      <c r="AJ32" s="1078">
        <v>0.72499999999999998</v>
      </c>
      <c r="AK32" s="1078">
        <v>2.8067000000000002</v>
      </c>
      <c r="AL32" s="1078">
        <v>1.81</v>
      </c>
      <c r="AM32" s="1078">
        <v>1</v>
      </c>
    </row>
    <row r="33" spans="1:39" s="230" customFormat="1" ht="11.1" customHeight="1">
      <c r="A33" s="507" t="s">
        <v>2664</v>
      </c>
      <c r="B33" s="1722">
        <v>3.5052071428571399</v>
      </c>
      <c r="C33" s="1722">
        <v>3.4574071428571398</v>
      </c>
      <c r="D33" s="1722">
        <v>3.2071571428571399</v>
      </c>
      <c r="E33" s="1722">
        <v>3.1890395833333298</v>
      </c>
      <c r="F33" s="1722">
        <v>3.2121437500000001</v>
      </c>
      <c r="G33" s="1722">
        <v>2.2891181818181798</v>
      </c>
      <c r="H33" s="1722">
        <v>3.5977854166666701</v>
      </c>
      <c r="I33" s="1722">
        <v>3.6460041666666698</v>
      </c>
      <c r="J33" s="1722">
        <v>2.8399586206896599</v>
      </c>
      <c r="K33" s="1722">
        <v>3.6323583333333298</v>
      </c>
      <c r="L33" s="1722">
        <v>3.6210833333333299</v>
      </c>
      <c r="M33" s="1722">
        <v>2.1201620689655201</v>
      </c>
      <c r="N33" s="507" t="s">
        <v>2664</v>
      </c>
      <c r="O33" s="1722">
        <v>3.6136372549019602</v>
      </c>
      <c r="P33" s="1722">
        <v>3.3499849206349199</v>
      </c>
      <c r="Q33" s="1722">
        <v>1.7699847826087001</v>
      </c>
      <c r="R33" s="1722">
        <v>4.3566240223463701</v>
      </c>
      <c r="S33" s="1722">
        <v>4.3345708029197096</v>
      </c>
      <c r="T33" s="1722">
        <v>2.646315</v>
      </c>
      <c r="U33" s="1722">
        <v>4.1250613636363598</v>
      </c>
      <c r="V33" s="1722">
        <v>3.6326617834394899</v>
      </c>
      <c r="W33" s="1722">
        <v>2.4971891666666699</v>
      </c>
      <c r="X33" s="1722">
        <v>4.11769217877095</v>
      </c>
      <c r="Y33" s="1722">
        <v>4.0039081481481498</v>
      </c>
      <c r="Z33" s="1722">
        <v>2.5611883333333298</v>
      </c>
      <c r="AA33" s="507" t="s">
        <v>2664</v>
      </c>
      <c r="AB33" s="1722">
        <v>1.947775</v>
      </c>
      <c r="AC33" s="1722">
        <v>1.61478260869565</v>
      </c>
      <c r="AD33" s="1722">
        <v>0.25</v>
      </c>
      <c r="AE33" s="1722">
        <v>2.09112272727273</v>
      </c>
      <c r="AF33" s="1722">
        <v>1.6368421052631601</v>
      </c>
      <c r="AG33" s="1722">
        <v>1</v>
      </c>
      <c r="AH33" s="1722">
        <v>2.0245325581395299</v>
      </c>
      <c r="AI33" s="1722">
        <v>1.57988965517241</v>
      </c>
      <c r="AJ33" s="1722">
        <v>0.793333333333333</v>
      </c>
      <c r="AK33" s="1722">
        <v>1.8191232558139501</v>
      </c>
      <c r="AL33" s="1722">
        <v>1.4650000000000001</v>
      </c>
      <c r="AM33" s="1722">
        <v>0.80312499999999998</v>
      </c>
    </row>
    <row r="34" spans="1:39" s="230" customFormat="1" ht="11.1" customHeight="1">
      <c r="A34" s="520" t="s">
        <v>559</v>
      </c>
      <c r="B34" s="1078">
        <v>4.5040666666666702</v>
      </c>
      <c r="C34" s="1078">
        <v>4.4084666666666701</v>
      </c>
      <c r="D34" s="1078">
        <v>3.2128000000000001</v>
      </c>
      <c r="E34" s="1078">
        <v>3.3925999999999998</v>
      </c>
      <c r="F34" s="1078">
        <v>3.3682750000000001</v>
      </c>
      <c r="G34" s="1078">
        <v>2.7522333333333302</v>
      </c>
      <c r="H34" s="1078">
        <v>4.0016499999999997</v>
      </c>
      <c r="I34" s="1078">
        <v>3.890625</v>
      </c>
      <c r="J34" s="1078">
        <v>2.6184333333333298</v>
      </c>
      <c r="K34" s="1078">
        <v>3.9269250000000002</v>
      </c>
      <c r="L34" s="1078">
        <v>3.7744249999999999</v>
      </c>
      <c r="M34" s="1078">
        <v>2.1063000000000001</v>
      </c>
      <c r="N34" s="520" t="s">
        <v>559</v>
      </c>
      <c r="O34" s="1078">
        <v>3.5448692307692302</v>
      </c>
      <c r="P34" s="1078">
        <v>3.2452100000000002</v>
      </c>
      <c r="Q34" s="1078">
        <v>1.61918571428571</v>
      </c>
      <c r="R34" s="1078">
        <v>4.5489533333333299</v>
      </c>
      <c r="S34" s="1078">
        <v>4.5184499999999996</v>
      </c>
      <c r="T34" s="1078">
        <v>2.7360099999999998</v>
      </c>
      <c r="U34" s="1078">
        <v>4.0887428571428597</v>
      </c>
      <c r="V34" s="1078">
        <v>3.8192833333333298</v>
      </c>
      <c r="W34" s="1078">
        <v>2.55403</v>
      </c>
      <c r="X34" s="1078">
        <v>4.1743666666666703</v>
      </c>
      <c r="Y34" s="1078">
        <v>4.1916454545454496</v>
      </c>
      <c r="Z34" s="1078">
        <v>2.6513499999999999</v>
      </c>
      <c r="AA34" s="520" t="s">
        <v>559</v>
      </c>
      <c r="AB34" s="1078">
        <v>2.599475</v>
      </c>
      <c r="AC34" s="1078">
        <v>2.08</v>
      </c>
      <c r="AD34" s="1078">
        <v>0.25</v>
      </c>
      <c r="AE34" s="1078">
        <v>2.5686249999999999</v>
      </c>
      <c r="AF34" s="1078">
        <v>1.81</v>
      </c>
      <c r="AG34" s="1078">
        <v>1</v>
      </c>
      <c r="AH34" s="1078">
        <v>2.5667</v>
      </c>
      <c r="AI34" s="1078">
        <v>1.92736666666667</v>
      </c>
      <c r="AJ34" s="1078">
        <v>0.5</v>
      </c>
      <c r="AK34" s="1078">
        <v>2.3647749999999998</v>
      </c>
      <c r="AL34" s="1078">
        <v>1.7350000000000001</v>
      </c>
      <c r="AM34" s="1078">
        <v>0.72499999999999998</v>
      </c>
    </row>
    <row r="35" spans="1:39" s="230" customFormat="1" ht="11.1" customHeight="1">
      <c r="A35" s="482" t="s">
        <v>560</v>
      </c>
      <c r="B35" s="1083">
        <v>4.4843000000000002</v>
      </c>
      <c r="C35" s="1083">
        <v>4.2844333333333298</v>
      </c>
      <c r="D35" s="1083">
        <v>3.1105</v>
      </c>
      <c r="E35" s="1083">
        <v>3.3622749999999999</v>
      </c>
      <c r="F35" s="1083">
        <v>3.3470249999999999</v>
      </c>
      <c r="G35" s="1083">
        <v>2.5756000000000001</v>
      </c>
      <c r="H35" s="1083">
        <v>3.9290250000000002</v>
      </c>
      <c r="I35" s="1083">
        <v>3.7645749999999998</v>
      </c>
      <c r="J35" s="1083">
        <v>2.46153333333333</v>
      </c>
      <c r="K35" s="1083">
        <v>3.9060250000000001</v>
      </c>
      <c r="L35" s="1083">
        <v>3.759125</v>
      </c>
      <c r="M35" s="1083">
        <v>1.92523333333333</v>
      </c>
      <c r="N35" s="482" t="s">
        <v>560</v>
      </c>
      <c r="O35" s="1083">
        <v>3.5732923076923102</v>
      </c>
      <c r="P35" s="1083">
        <v>3.3301400000000001</v>
      </c>
      <c r="Q35" s="1083">
        <v>1.6248571428571399</v>
      </c>
      <c r="R35" s="1083">
        <v>4.3481666666666703</v>
      </c>
      <c r="S35" s="1083">
        <v>4.4475818181818196</v>
      </c>
      <c r="T35" s="1083">
        <v>2.7138</v>
      </c>
      <c r="U35" s="1083">
        <v>4.0841399999999997</v>
      </c>
      <c r="V35" s="1083">
        <v>3.8154076923076898</v>
      </c>
      <c r="W35" s="1083">
        <v>2.5374500000000002</v>
      </c>
      <c r="X35" s="1083">
        <v>4.2406187500000003</v>
      </c>
      <c r="Y35" s="1083">
        <v>4.1865909090909099</v>
      </c>
      <c r="Z35" s="1083">
        <v>2.6271499999999999</v>
      </c>
      <c r="AA35" s="482" t="s">
        <v>560</v>
      </c>
      <c r="AB35" s="1083">
        <v>2.3208500000000001</v>
      </c>
      <c r="AC35" s="1083">
        <v>2.08</v>
      </c>
      <c r="AD35" s="1083">
        <v>0.25</v>
      </c>
      <c r="AE35" s="1083">
        <v>2.5451999999999999</v>
      </c>
      <c r="AF35" s="1083">
        <v>1</v>
      </c>
      <c r="AG35" s="1083">
        <v>1</v>
      </c>
      <c r="AH35" s="1083">
        <v>2.60405</v>
      </c>
      <c r="AI35" s="1083">
        <v>1.92736666666667</v>
      </c>
      <c r="AJ35" s="1083">
        <v>0.5</v>
      </c>
      <c r="AK35" s="1083">
        <v>2.34165</v>
      </c>
      <c r="AL35" s="1083">
        <v>1.7350000000000001</v>
      </c>
      <c r="AM35" s="1083">
        <v>0.72499999999999998</v>
      </c>
    </row>
    <row r="36" spans="1:39" s="230" customFormat="1" ht="11.1" customHeight="1">
      <c r="A36" s="520" t="s">
        <v>554</v>
      </c>
      <c r="B36" s="1078">
        <v>4.3474333333333304</v>
      </c>
      <c r="C36" s="1078">
        <v>4.2247666666666701</v>
      </c>
      <c r="D36" s="1078">
        <v>3.0774666666666701</v>
      </c>
      <c r="E36" s="1078">
        <v>3.2338749999999998</v>
      </c>
      <c r="F36" s="1078">
        <v>3.3762750000000001</v>
      </c>
      <c r="G36" s="1078">
        <v>2.4319000000000002</v>
      </c>
      <c r="H36" s="1078">
        <v>3.8108249999999999</v>
      </c>
      <c r="I36" s="1078">
        <v>3.8472499999999998</v>
      </c>
      <c r="J36" s="1078">
        <v>2.4535</v>
      </c>
      <c r="K36" s="1078">
        <v>3.7962750000000001</v>
      </c>
      <c r="L36" s="1078">
        <v>3.8040500000000002</v>
      </c>
      <c r="M36" s="1078">
        <v>1.89346666666667</v>
      </c>
      <c r="N36" s="520" t="s">
        <v>554</v>
      </c>
      <c r="O36" s="1078">
        <v>3.5155923076923101</v>
      </c>
      <c r="P36" s="1078">
        <v>3.3241200000000002</v>
      </c>
      <c r="Q36" s="1078">
        <v>1.63414285714286</v>
      </c>
      <c r="R36" s="1078">
        <v>4.3564466666666704</v>
      </c>
      <c r="S36" s="1078">
        <v>4.4503454545454497</v>
      </c>
      <c r="T36" s="1078">
        <v>2.7195299999999998</v>
      </c>
      <c r="U36" s="1078">
        <v>4.0202066666666703</v>
      </c>
      <c r="V36" s="1078">
        <v>3.8139076923076898</v>
      </c>
      <c r="W36" s="1078">
        <v>2.52874</v>
      </c>
      <c r="X36" s="1078">
        <v>4.20034375</v>
      </c>
      <c r="Y36" s="1078">
        <v>4.1843545454545499</v>
      </c>
      <c r="Z36" s="1078">
        <v>2.6289799999999999</v>
      </c>
      <c r="AA36" s="520" t="s">
        <v>554</v>
      </c>
      <c r="AB36" s="1078">
        <v>2.126125</v>
      </c>
      <c r="AC36" s="1078">
        <v>2.08</v>
      </c>
      <c r="AD36" s="1078">
        <v>0.25</v>
      </c>
      <c r="AE36" s="1078">
        <v>2.26715</v>
      </c>
      <c r="AF36" s="1078">
        <v>1.81</v>
      </c>
      <c r="AG36" s="1078">
        <v>1</v>
      </c>
      <c r="AH36" s="1078">
        <v>2.3014999999999999</v>
      </c>
      <c r="AI36" s="1078">
        <v>1.92736666666667</v>
      </c>
      <c r="AJ36" s="1078">
        <v>0.6</v>
      </c>
      <c r="AK36" s="1078">
        <v>1.990575</v>
      </c>
      <c r="AL36" s="1078">
        <v>1.7350000000000001</v>
      </c>
      <c r="AM36" s="1078">
        <v>0.75</v>
      </c>
    </row>
    <row r="37" spans="1:39" s="230" customFormat="1" ht="11.1" customHeight="1">
      <c r="A37" s="482" t="s">
        <v>561</v>
      </c>
      <c r="B37" s="1083">
        <v>4.2787333333333297</v>
      </c>
      <c r="C37" s="1083">
        <v>4.1664666666666701</v>
      </c>
      <c r="D37" s="1083">
        <v>3.0034000000000001</v>
      </c>
      <c r="E37" s="1083">
        <v>3.1541250000000001</v>
      </c>
      <c r="F37" s="1083">
        <v>3.2967</v>
      </c>
      <c r="G37" s="1083">
        <v>2.2946</v>
      </c>
      <c r="H37" s="1083">
        <v>3.6712250000000002</v>
      </c>
      <c r="I37" s="1083">
        <v>3.7915000000000001</v>
      </c>
      <c r="J37" s="1083">
        <v>2.4111333333333298</v>
      </c>
      <c r="K37" s="1083">
        <v>3.6659999999999999</v>
      </c>
      <c r="L37" s="1083">
        <v>3.695875</v>
      </c>
      <c r="M37" s="1083">
        <v>1.83046666666667</v>
      </c>
      <c r="N37" s="482" t="s">
        <v>561</v>
      </c>
      <c r="O37" s="1083">
        <v>3.3894153846153801</v>
      </c>
      <c r="P37" s="1083">
        <v>2.96915</v>
      </c>
      <c r="Q37" s="1083">
        <v>1.4277142857142899</v>
      </c>
      <c r="R37" s="1083">
        <v>4.26209333333333</v>
      </c>
      <c r="S37" s="1083">
        <v>4.1618727272727298</v>
      </c>
      <c r="T37" s="1083">
        <v>2.51674</v>
      </c>
      <c r="U37" s="1083">
        <v>3.9758466666666701</v>
      </c>
      <c r="V37" s="1083">
        <v>3.4840307692307699</v>
      </c>
      <c r="W37" s="1083">
        <v>2.3917000000000002</v>
      </c>
      <c r="X37" s="1083">
        <v>4.0242666666666702</v>
      </c>
      <c r="Y37" s="1083">
        <v>3.8350363636363598</v>
      </c>
      <c r="Z37" s="1083">
        <v>2.4522499999999998</v>
      </c>
      <c r="AA37" s="482" t="s">
        <v>561</v>
      </c>
      <c r="AB37" s="1083">
        <v>2.0984250000000002</v>
      </c>
      <c r="AC37" s="1083">
        <v>2.08</v>
      </c>
      <c r="AD37" s="1083">
        <v>0.25</v>
      </c>
      <c r="AE37" s="1083">
        <v>2.2621000000000002</v>
      </c>
      <c r="AF37" s="1083">
        <v>1.81</v>
      </c>
      <c r="AG37" s="1083">
        <v>1</v>
      </c>
      <c r="AH37" s="1083">
        <v>2.2047750000000002</v>
      </c>
      <c r="AI37" s="1083">
        <v>1.9040333333333299</v>
      </c>
      <c r="AJ37" s="1083">
        <v>0.6</v>
      </c>
      <c r="AK37" s="1083">
        <v>1.909475</v>
      </c>
      <c r="AL37" s="1083">
        <v>1.7350000000000001</v>
      </c>
      <c r="AM37" s="1083">
        <v>0.75</v>
      </c>
    </row>
    <row r="38" spans="1:39" s="230" customFormat="1" ht="11.1" customHeight="1">
      <c r="A38" s="520" t="s">
        <v>562</v>
      </c>
      <c r="B38" s="1078">
        <v>2.9163000000000001</v>
      </c>
      <c r="C38" s="1078">
        <v>2.8694999999999999</v>
      </c>
      <c r="D38" s="1078">
        <v>1.6550499999999999</v>
      </c>
      <c r="E38" s="1078">
        <v>3.1600999999999999</v>
      </c>
      <c r="F38" s="1078">
        <v>3.2136749999999998</v>
      </c>
      <c r="G38" s="1078">
        <v>2.1897333333333302</v>
      </c>
      <c r="H38" s="1078">
        <v>3.65625</v>
      </c>
      <c r="I38" s="1078">
        <v>3.7462</v>
      </c>
      <c r="J38" s="1078">
        <v>2.3836666666666702</v>
      </c>
      <c r="K38" s="1078">
        <v>3.645775</v>
      </c>
      <c r="L38" s="1078">
        <v>3.6246999999999998</v>
      </c>
      <c r="M38" s="1078">
        <v>1.79433333333333</v>
      </c>
      <c r="N38" s="520" t="s">
        <v>562</v>
      </c>
      <c r="O38" s="1078">
        <v>3.30770769230769</v>
      </c>
      <c r="P38" s="1078">
        <v>2.8839899999999998</v>
      </c>
      <c r="Q38" s="1078">
        <v>1.4170125</v>
      </c>
      <c r="R38" s="1078">
        <v>4.1343800000000002</v>
      </c>
      <c r="S38" s="1078">
        <v>4.09924545454545</v>
      </c>
      <c r="T38" s="1078">
        <v>2.2658800000000001</v>
      </c>
      <c r="U38" s="1078">
        <v>3.8159133333333299</v>
      </c>
      <c r="V38" s="1078">
        <v>3.3136538461538501</v>
      </c>
      <c r="W38" s="1078">
        <v>2.1556000000000002</v>
      </c>
      <c r="X38" s="1078">
        <v>3.8805066666666699</v>
      </c>
      <c r="Y38" s="1078">
        <v>3.5813000000000001</v>
      </c>
      <c r="Z38" s="1078">
        <v>2.1956899999999999</v>
      </c>
      <c r="AA38" s="520" t="s">
        <v>562</v>
      </c>
      <c r="AB38" s="1078">
        <v>2.0651000000000002</v>
      </c>
      <c r="AC38" s="1078">
        <v>1.52</v>
      </c>
      <c r="AD38" s="1078">
        <v>0.25</v>
      </c>
      <c r="AE38" s="1078">
        <v>2.0731999999999999</v>
      </c>
      <c r="AF38" s="1078">
        <v>2</v>
      </c>
      <c r="AG38" s="1078">
        <v>1</v>
      </c>
      <c r="AH38" s="1078">
        <v>1.9056249999999999</v>
      </c>
      <c r="AI38" s="1078">
        <v>1.5460499999999999</v>
      </c>
      <c r="AJ38" s="1078">
        <v>1.75</v>
      </c>
      <c r="AK38" s="1078">
        <v>1.568025</v>
      </c>
      <c r="AL38" s="1078">
        <v>0.85</v>
      </c>
      <c r="AM38" s="1078">
        <v>0.75</v>
      </c>
    </row>
    <row r="39" spans="1:39" s="230" customFormat="1" ht="11.1" customHeight="1">
      <c r="A39" s="482" t="s">
        <v>555</v>
      </c>
      <c r="B39" s="1083">
        <v>2.7969499999999998</v>
      </c>
      <c r="C39" s="1083">
        <v>2.7921999999999998</v>
      </c>
      <c r="D39" s="1083">
        <v>3.6150000000000002</v>
      </c>
      <c r="E39" s="1083">
        <v>3.1212249999999999</v>
      </c>
      <c r="F39" s="1083">
        <v>3.1196250000000001</v>
      </c>
      <c r="G39" s="1083">
        <v>2.1045333333333298</v>
      </c>
      <c r="H39" s="1083">
        <v>3.6060249999999998</v>
      </c>
      <c r="I39" s="1083">
        <v>3.600425</v>
      </c>
      <c r="J39" s="1083">
        <v>3.5786500000000001</v>
      </c>
      <c r="K39" s="1083">
        <v>3.5949</v>
      </c>
      <c r="L39" s="1083">
        <v>3.3803999999999998</v>
      </c>
      <c r="M39" s="1083">
        <v>2.6852499999999999</v>
      </c>
      <c r="N39" s="482" t="s">
        <v>555</v>
      </c>
      <c r="O39" s="1083">
        <v>3.43994615384615</v>
      </c>
      <c r="P39" s="1083">
        <v>3.1817500000000001</v>
      </c>
      <c r="Q39" s="1083">
        <v>1.7152624999999999</v>
      </c>
      <c r="R39" s="1083">
        <v>4.1580733333333297</v>
      </c>
      <c r="S39" s="1083">
        <v>4.1448999999999998</v>
      </c>
      <c r="T39" s="1083">
        <v>2.5114999999999998</v>
      </c>
      <c r="U39" s="1083">
        <v>3.97278666666667</v>
      </c>
      <c r="V39" s="1083">
        <v>3.5340384615384601</v>
      </c>
      <c r="W39" s="1083">
        <v>2.38727</v>
      </c>
      <c r="X39" s="1083">
        <v>3.92794</v>
      </c>
      <c r="Y39" s="1083">
        <v>3.76260833333333</v>
      </c>
      <c r="Z39" s="1083">
        <v>2.4190700000000001</v>
      </c>
      <c r="AA39" s="482" t="s">
        <v>555</v>
      </c>
      <c r="AB39" s="1083">
        <v>1.5653999999999999</v>
      </c>
      <c r="AC39" s="1083">
        <v>1.56</v>
      </c>
      <c r="AD39" s="1083">
        <v>0.25</v>
      </c>
      <c r="AE39" s="1083">
        <v>2.13015</v>
      </c>
      <c r="AF39" s="1083">
        <v>1.81</v>
      </c>
      <c r="AG39" s="1083">
        <v>1</v>
      </c>
      <c r="AH39" s="1083">
        <v>2.178375</v>
      </c>
      <c r="AI39" s="1083">
        <v>1.9040333333333299</v>
      </c>
      <c r="AJ39" s="1083">
        <v>0.5</v>
      </c>
      <c r="AK39" s="1083">
        <v>1.496575</v>
      </c>
      <c r="AL39" s="1083">
        <v>0.85</v>
      </c>
      <c r="AM39" s="1083">
        <v>0.72499999999999998</v>
      </c>
    </row>
    <row r="40" spans="1:39" s="9" customFormat="1" ht="11.1" customHeight="1">
      <c r="A40" s="520" t="s">
        <v>563</v>
      </c>
      <c r="B40" s="1078">
        <v>3</v>
      </c>
      <c r="C40" s="1078">
        <v>3</v>
      </c>
      <c r="D40" s="1078">
        <v>4</v>
      </c>
      <c r="E40" s="1078">
        <v>3.25</v>
      </c>
      <c r="F40" s="1078">
        <v>3.25</v>
      </c>
      <c r="G40" s="1078">
        <v>2.3333333333333299</v>
      </c>
      <c r="H40" s="1078">
        <v>3.5</v>
      </c>
      <c r="I40" s="1078">
        <v>3.75</v>
      </c>
      <c r="J40" s="1078">
        <v>3.5</v>
      </c>
      <c r="K40" s="1078">
        <v>3.5</v>
      </c>
      <c r="L40" s="1078">
        <v>3.75</v>
      </c>
      <c r="M40" s="1078">
        <v>2.5</v>
      </c>
      <c r="N40" s="520" t="s">
        <v>563</v>
      </c>
      <c r="O40" s="1078">
        <v>4.3333333333333304</v>
      </c>
      <c r="P40" s="1078">
        <v>3.9090909090909101</v>
      </c>
      <c r="Q40" s="1078">
        <v>2.25</v>
      </c>
      <c r="R40" s="1078">
        <v>4.9285714285714297</v>
      </c>
      <c r="S40" s="1078">
        <v>4.5833333333333304</v>
      </c>
      <c r="T40" s="1078">
        <v>2.8</v>
      </c>
      <c r="U40" s="1078">
        <v>4.71428571428571</v>
      </c>
      <c r="V40" s="1078">
        <v>3.9230769230769198</v>
      </c>
      <c r="W40" s="1078">
        <v>2.7</v>
      </c>
      <c r="X40" s="1078">
        <v>4.5714285714285703</v>
      </c>
      <c r="Y40" s="1078">
        <v>4.3636363636363598</v>
      </c>
      <c r="Z40" s="1078">
        <v>2.7</v>
      </c>
      <c r="AA40" s="520" t="s">
        <v>563</v>
      </c>
      <c r="AB40" s="1078">
        <v>2</v>
      </c>
      <c r="AC40" s="1078">
        <v>1</v>
      </c>
      <c r="AD40" s="1078">
        <v>0</v>
      </c>
      <c r="AE40" s="1078">
        <v>2</v>
      </c>
      <c r="AF40" s="1078">
        <v>2</v>
      </c>
      <c r="AG40" s="1078">
        <v>1</v>
      </c>
      <c r="AH40" s="1078">
        <v>1.6666666666666701</v>
      </c>
      <c r="AI40" s="1078">
        <v>1.5</v>
      </c>
      <c r="AJ40" s="1078">
        <v>1</v>
      </c>
      <c r="AK40" s="1078">
        <v>1.75</v>
      </c>
      <c r="AL40" s="1078">
        <v>1</v>
      </c>
      <c r="AM40" s="1078">
        <v>1</v>
      </c>
    </row>
    <row r="41" spans="1:39" s="9" customFormat="1" ht="11.1" customHeight="1">
      <c r="A41" s="482" t="s">
        <v>564</v>
      </c>
      <c r="B41" s="1083">
        <v>3</v>
      </c>
      <c r="C41" s="1083">
        <v>3</v>
      </c>
      <c r="D41" s="1083">
        <v>4</v>
      </c>
      <c r="E41" s="1083">
        <v>3.25</v>
      </c>
      <c r="F41" s="1083">
        <v>3</v>
      </c>
      <c r="G41" s="1083">
        <v>3</v>
      </c>
      <c r="H41" s="1083">
        <v>3.5</v>
      </c>
      <c r="I41" s="1083">
        <v>3.75</v>
      </c>
      <c r="J41" s="1083">
        <v>3.5</v>
      </c>
      <c r="K41" s="1083">
        <v>3.75</v>
      </c>
      <c r="L41" s="1083">
        <v>3.5</v>
      </c>
      <c r="M41" s="1083">
        <v>2.5</v>
      </c>
      <c r="N41" s="482" t="s">
        <v>564</v>
      </c>
      <c r="O41" s="1083">
        <v>4.3333333333333304</v>
      </c>
      <c r="P41" s="1083">
        <v>3.8181818181818201</v>
      </c>
      <c r="Q41" s="1083">
        <v>2.25</v>
      </c>
      <c r="R41" s="1083">
        <v>4.4666666666666703</v>
      </c>
      <c r="S41" s="1083">
        <v>4.25</v>
      </c>
      <c r="T41" s="1083">
        <v>2.8</v>
      </c>
      <c r="U41" s="1083">
        <v>4.71428571428571</v>
      </c>
      <c r="V41" s="1083">
        <v>3.6428571428571401</v>
      </c>
      <c r="W41" s="1083">
        <v>2.7</v>
      </c>
      <c r="X41" s="1083">
        <v>4.78571428571429</v>
      </c>
      <c r="Y41" s="1083">
        <v>4</v>
      </c>
      <c r="Z41" s="1083">
        <v>2.7</v>
      </c>
      <c r="AA41" s="482" t="s">
        <v>564</v>
      </c>
      <c r="AB41" s="1083">
        <v>1.6666666666666701</v>
      </c>
      <c r="AC41" s="1083">
        <v>1</v>
      </c>
      <c r="AD41" s="1083">
        <v>0</v>
      </c>
      <c r="AE41" s="1083">
        <v>2</v>
      </c>
      <c r="AF41" s="1083">
        <v>1</v>
      </c>
      <c r="AG41" s="1083">
        <v>1</v>
      </c>
      <c r="AH41" s="1083">
        <v>1.6666666666666701</v>
      </c>
      <c r="AI41" s="1083">
        <v>1.5</v>
      </c>
      <c r="AJ41" s="1083">
        <v>1</v>
      </c>
      <c r="AK41" s="1083">
        <v>1.6666666666666701</v>
      </c>
      <c r="AL41" s="1083">
        <v>1</v>
      </c>
      <c r="AM41" s="1083">
        <v>1</v>
      </c>
    </row>
    <row r="42" spans="1:39" s="9" customFormat="1" ht="11.1" customHeight="1">
      <c r="A42" s="520" t="s">
        <v>556</v>
      </c>
      <c r="B42" s="1078">
        <v>3</v>
      </c>
      <c r="C42" s="1078">
        <v>3</v>
      </c>
      <c r="D42" s="1078">
        <v>4</v>
      </c>
      <c r="E42" s="1078">
        <v>3.25</v>
      </c>
      <c r="F42" s="1078">
        <v>3</v>
      </c>
      <c r="G42" s="1078">
        <v>3</v>
      </c>
      <c r="H42" s="1078">
        <v>3.5</v>
      </c>
      <c r="I42" s="1078">
        <v>3.5</v>
      </c>
      <c r="J42" s="1078">
        <v>3.5</v>
      </c>
      <c r="K42" s="1078">
        <v>3.5</v>
      </c>
      <c r="L42" s="1078">
        <v>3.5</v>
      </c>
      <c r="M42" s="1078">
        <v>2.5</v>
      </c>
      <c r="N42" s="520" t="s">
        <v>556</v>
      </c>
      <c r="O42" s="1078">
        <v>4.25</v>
      </c>
      <c r="P42" s="1078">
        <v>3.8181818181818201</v>
      </c>
      <c r="Q42" s="1078">
        <v>2.125</v>
      </c>
      <c r="R42" s="1078">
        <v>4.5999999999999996</v>
      </c>
      <c r="S42" s="1078">
        <v>4.4166666666666696</v>
      </c>
      <c r="T42" s="1078">
        <v>3</v>
      </c>
      <c r="U42" s="1078">
        <v>4.6428571428571397</v>
      </c>
      <c r="V42" s="1078">
        <v>3.6428571428571401</v>
      </c>
      <c r="W42" s="1078">
        <v>2.8</v>
      </c>
      <c r="X42" s="1078">
        <v>4.4285714285714297</v>
      </c>
      <c r="Y42" s="1078">
        <v>4.1666666666666696</v>
      </c>
      <c r="Z42" s="1078">
        <v>2.9</v>
      </c>
      <c r="AA42" s="520" t="s">
        <v>556</v>
      </c>
      <c r="AB42" s="1078">
        <v>1.6666666666666701</v>
      </c>
      <c r="AC42" s="1078">
        <v>1</v>
      </c>
      <c r="AD42" s="1078">
        <v>0</v>
      </c>
      <c r="AE42" s="1078">
        <v>2</v>
      </c>
      <c r="AF42" s="1078">
        <v>1</v>
      </c>
      <c r="AG42" s="1078">
        <v>1</v>
      </c>
      <c r="AH42" s="1078">
        <v>1.6666666666666701</v>
      </c>
      <c r="AI42" s="1078">
        <v>1.5</v>
      </c>
      <c r="AJ42" s="1078">
        <v>1</v>
      </c>
      <c r="AK42" s="1078">
        <v>1.6666666666666701</v>
      </c>
      <c r="AL42" s="1078">
        <v>1</v>
      </c>
      <c r="AM42" s="1078">
        <v>1</v>
      </c>
    </row>
    <row r="43" spans="1:39">
      <c r="A43" s="482" t="s">
        <v>565</v>
      </c>
      <c r="B43" s="1083">
        <v>2.6600999999999999</v>
      </c>
      <c r="C43" s="1083">
        <v>2.6947000000000001</v>
      </c>
      <c r="D43" s="1083">
        <v>3.6686000000000001</v>
      </c>
      <c r="E43" s="1083">
        <v>3.0086750000000002</v>
      </c>
      <c r="F43" s="1083">
        <v>3.1757499999999999</v>
      </c>
      <c r="G43" s="1083">
        <v>1.5207666666666699</v>
      </c>
      <c r="H43" s="1083">
        <v>3.3406500000000001</v>
      </c>
      <c r="I43" s="1083">
        <v>3.3876750000000002</v>
      </c>
      <c r="J43" s="1083">
        <v>2.8866000000000001</v>
      </c>
      <c r="K43" s="1083">
        <v>3.4528249999999998</v>
      </c>
      <c r="L43" s="1083">
        <v>3.5954000000000002</v>
      </c>
      <c r="M43" s="1083">
        <v>2.06155</v>
      </c>
      <c r="N43" s="482" t="s">
        <v>565</v>
      </c>
      <c r="O43" s="1083">
        <v>3.3182615384615399</v>
      </c>
      <c r="P43" s="1083">
        <v>3.2219545454545502</v>
      </c>
      <c r="Q43" s="1083">
        <v>1.6778375000000001</v>
      </c>
      <c r="R43" s="1083">
        <v>4.1684066666666704</v>
      </c>
      <c r="S43" s="1083">
        <v>4.3401818181818204</v>
      </c>
      <c r="T43" s="1083">
        <v>2.5818099999999999</v>
      </c>
      <c r="U43" s="1083">
        <v>3.8542066666666699</v>
      </c>
      <c r="V43" s="1083">
        <v>3.5481307692307702</v>
      </c>
      <c r="W43" s="1083">
        <v>2.3885900000000002</v>
      </c>
      <c r="X43" s="1083">
        <v>3.6238533333333298</v>
      </c>
      <c r="Y43" s="1083">
        <v>3.9631636363636402</v>
      </c>
      <c r="Z43" s="1083">
        <v>2.4819900000000001</v>
      </c>
      <c r="AA43" s="482" t="s">
        <v>565</v>
      </c>
      <c r="AB43" s="1083">
        <v>1.74016666666667</v>
      </c>
      <c r="AC43" s="1083">
        <v>0.5</v>
      </c>
      <c r="AD43" s="1083">
        <v>0.25</v>
      </c>
      <c r="AE43" s="1083">
        <v>1.8606</v>
      </c>
      <c r="AF43" s="1083">
        <v>1.81</v>
      </c>
      <c r="AG43" s="1083">
        <v>1</v>
      </c>
      <c r="AH43" s="1083">
        <v>1.574675</v>
      </c>
      <c r="AI43" s="1083">
        <v>1.4925999999999999</v>
      </c>
      <c r="AJ43" s="1083">
        <v>0.5</v>
      </c>
      <c r="AK43" s="1083">
        <v>1.6405000000000001</v>
      </c>
      <c r="AL43" s="1083">
        <v>0.85</v>
      </c>
      <c r="AM43" s="1083">
        <v>0.75</v>
      </c>
    </row>
    <row r="44" spans="1:39" ht="12.75" customHeight="1">
      <c r="A44" s="520" t="s">
        <v>566</v>
      </c>
      <c r="B44" s="1078">
        <v>2.62615</v>
      </c>
      <c r="C44" s="1078">
        <v>2.6810499999999999</v>
      </c>
      <c r="D44" s="1078">
        <v>3.6978</v>
      </c>
      <c r="E44" s="1078">
        <v>3.0062500000000001</v>
      </c>
      <c r="F44" s="1078">
        <v>3.1783000000000001</v>
      </c>
      <c r="G44" s="1078">
        <v>1.5089999999999999</v>
      </c>
      <c r="H44" s="1078">
        <v>3.3569749999999998</v>
      </c>
      <c r="I44" s="1078">
        <v>3.3749250000000002</v>
      </c>
      <c r="J44" s="1078">
        <v>2.8660999999999999</v>
      </c>
      <c r="K44" s="1078">
        <v>3.4089</v>
      </c>
      <c r="L44" s="1078">
        <v>3.5584750000000001</v>
      </c>
      <c r="M44" s="1078">
        <v>2.06115</v>
      </c>
      <c r="N44" s="520" t="s">
        <v>566</v>
      </c>
      <c r="O44" s="1078">
        <v>3.3026076923076899</v>
      </c>
      <c r="P44" s="1078">
        <v>3.2077454545454498</v>
      </c>
      <c r="Q44" s="1078">
        <v>1.6764625</v>
      </c>
      <c r="R44" s="1078">
        <v>4.16449333333333</v>
      </c>
      <c r="S44" s="1078">
        <v>4.3235272727272704</v>
      </c>
      <c r="T44" s="1078">
        <v>2.5609600000000001</v>
      </c>
      <c r="U44" s="1078">
        <v>3.85374666666667</v>
      </c>
      <c r="V44" s="1078">
        <v>3.53560769230769</v>
      </c>
      <c r="W44" s="1078">
        <v>2.39439</v>
      </c>
      <c r="X44" s="1078">
        <v>3.65581333333333</v>
      </c>
      <c r="Y44" s="1078">
        <v>3.93270909090909</v>
      </c>
      <c r="Z44" s="1078">
        <v>2.4798499999999999</v>
      </c>
      <c r="AA44" s="520" t="s">
        <v>566</v>
      </c>
      <c r="AB44" s="1078">
        <v>1.540125</v>
      </c>
      <c r="AC44" s="1078">
        <v>0.5</v>
      </c>
      <c r="AD44" s="1078">
        <v>0.25</v>
      </c>
      <c r="AE44" s="1078">
        <v>1.63</v>
      </c>
      <c r="AF44" s="1078">
        <v>1</v>
      </c>
      <c r="AG44" s="1078">
        <v>1</v>
      </c>
      <c r="AH44" s="1078">
        <v>1.78616666666667</v>
      </c>
      <c r="AI44" s="1078">
        <v>0.49225000000000002</v>
      </c>
      <c r="AJ44" s="1078">
        <v>0.5</v>
      </c>
      <c r="AK44" s="1078">
        <v>1.6396999999999999</v>
      </c>
      <c r="AL44" s="1078">
        <v>1.7350000000000001</v>
      </c>
      <c r="AM44" s="1078">
        <v>0.75</v>
      </c>
    </row>
    <row r="45" spans="1:39" ht="10.5" customHeight="1">
      <c r="A45" s="1720" t="s">
        <v>557</v>
      </c>
      <c r="B45" s="1721">
        <v>2.6516000000000002</v>
      </c>
      <c r="C45" s="1721">
        <v>2.7400500000000001</v>
      </c>
      <c r="D45" s="1721">
        <v>3.8462999999999998</v>
      </c>
      <c r="E45" s="1721">
        <v>3.0793499999999998</v>
      </c>
      <c r="F45" s="1721">
        <v>3.2201</v>
      </c>
      <c r="G45" s="1721">
        <v>2.2029000000000001</v>
      </c>
      <c r="H45" s="1721">
        <v>3.3008000000000002</v>
      </c>
      <c r="I45" s="1721">
        <v>3.348875</v>
      </c>
      <c r="J45" s="1721">
        <v>2.8556499999999998</v>
      </c>
      <c r="K45" s="1721">
        <v>3.4406750000000001</v>
      </c>
      <c r="L45" s="1721">
        <v>3.5105499999999998</v>
      </c>
      <c r="M45" s="1721">
        <v>2.1097000000000001</v>
      </c>
      <c r="N45" s="1720" t="s">
        <v>557</v>
      </c>
      <c r="O45" s="1721">
        <v>3.21496153846154</v>
      </c>
      <c r="P45" s="1721">
        <v>3.1843454545454501</v>
      </c>
      <c r="Q45" s="1721">
        <v>1.7255875000000001</v>
      </c>
      <c r="R45" s="1721">
        <v>4.18136666666667</v>
      </c>
      <c r="S45" s="1721">
        <v>4.25688181818182</v>
      </c>
      <c r="T45" s="1721">
        <v>2.54955</v>
      </c>
      <c r="U45" s="1721">
        <v>3.8743799999999999</v>
      </c>
      <c r="V45" s="1721">
        <v>3.5318769230769198</v>
      </c>
      <c r="W45" s="1721">
        <v>2.4285000000000001</v>
      </c>
      <c r="X45" s="1721">
        <v>3.9806866666666698</v>
      </c>
      <c r="Y45" s="1721">
        <v>3.8866818181818199</v>
      </c>
      <c r="Z45" s="1721">
        <v>2.4979300000000002</v>
      </c>
      <c r="AA45" s="1720" t="s">
        <v>557</v>
      </c>
      <c r="AB45" s="1721">
        <v>1.73986666666667</v>
      </c>
      <c r="AC45" s="1721">
        <v>0.5</v>
      </c>
      <c r="AD45" s="1721">
        <v>0.25</v>
      </c>
      <c r="AE45" s="1721">
        <v>1.6304749999999999</v>
      </c>
      <c r="AF45" s="1721">
        <v>1</v>
      </c>
      <c r="AG45" s="1721">
        <v>1</v>
      </c>
      <c r="AH45" s="1721">
        <v>1.78453333333333</v>
      </c>
      <c r="AI45" s="1721">
        <v>0.49225000000000002</v>
      </c>
      <c r="AJ45" s="1721">
        <v>0.5</v>
      </c>
      <c r="AK45" s="1721">
        <v>1.5658000000000001</v>
      </c>
      <c r="AL45" s="1721">
        <v>1.7350000000000001</v>
      </c>
      <c r="AM45" s="1721">
        <v>0.75</v>
      </c>
    </row>
    <row r="46" spans="1:39">
      <c r="A46" s="112" t="s">
        <v>368</v>
      </c>
      <c r="B46" s="2418" t="s">
        <v>1208</v>
      </c>
      <c r="C46" s="2418"/>
      <c r="D46" s="2418"/>
      <c r="E46" s="2418"/>
      <c r="F46" s="2418"/>
      <c r="G46" s="792"/>
      <c r="H46" s="778"/>
      <c r="I46" s="778"/>
      <c r="J46" s="778"/>
      <c r="K46" s="778"/>
      <c r="L46" s="778"/>
      <c r="M46" s="778"/>
      <c r="N46" s="112" t="s">
        <v>368</v>
      </c>
      <c r="O46" s="2418" t="s">
        <v>1208</v>
      </c>
      <c r="P46" s="2418"/>
      <c r="Q46" s="2418"/>
      <c r="R46" s="2418"/>
      <c r="S46" s="2418"/>
      <c r="T46" s="2418"/>
      <c r="AA46" s="112" t="s">
        <v>367</v>
      </c>
      <c r="AB46" s="2577" t="s">
        <v>1208</v>
      </c>
      <c r="AC46" s="2577"/>
      <c r="AD46" s="2577"/>
      <c r="AE46" s="2577"/>
      <c r="AF46" s="2577"/>
      <c r="AG46" s="24"/>
      <c r="AH46" s="24"/>
      <c r="AI46" s="24"/>
      <c r="AJ46" s="24"/>
      <c r="AK46" s="24"/>
      <c r="AL46" s="24"/>
    </row>
    <row r="47" spans="1:39">
      <c r="A47" s="40" t="s">
        <v>369</v>
      </c>
      <c r="B47" s="2577"/>
      <c r="C47" s="2577"/>
      <c r="D47" s="2577"/>
      <c r="E47" s="51"/>
      <c r="F47" s="51"/>
      <c r="G47" s="51"/>
      <c r="H47" s="778"/>
      <c r="I47" s="778"/>
      <c r="J47" s="778"/>
      <c r="K47" s="778"/>
      <c r="L47" s="778"/>
      <c r="M47" s="778"/>
      <c r="N47" s="109" t="s">
        <v>224</v>
      </c>
      <c r="O47" s="2585"/>
      <c r="P47" s="2585"/>
      <c r="Q47" s="2585"/>
      <c r="R47" s="690"/>
      <c r="S47" s="690"/>
      <c r="T47" s="113"/>
      <c r="U47" s="111"/>
      <c r="V47" s="111"/>
      <c r="W47" s="111"/>
      <c r="X47" s="111"/>
      <c r="Y47" s="111"/>
      <c r="Z47" s="111"/>
      <c r="AA47" s="15" t="s">
        <v>365</v>
      </c>
      <c r="AB47" s="2586"/>
      <c r="AC47" s="2586"/>
      <c r="AD47" s="2586"/>
      <c r="AE47" s="81"/>
      <c r="AF47" s="81"/>
      <c r="AG47" s="24"/>
      <c r="AH47" s="24"/>
      <c r="AI47" s="24"/>
      <c r="AJ47" s="24"/>
      <c r="AK47" s="24"/>
      <c r="AL47" s="24"/>
    </row>
    <row r="48" spans="1:39"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</row>
    <row r="49" spans="1:39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"/>
      <c r="AA49" s="8"/>
    </row>
    <row r="50" spans="1:39">
      <c r="A50" s="83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</row>
    <row r="51" spans="1:39">
      <c r="A51" s="83"/>
      <c r="B51" s="83"/>
      <c r="C51" s="83"/>
      <c r="D51" s="83"/>
    </row>
    <row r="52" spans="1:39">
      <c r="A52" s="83"/>
      <c r="B52" s="83"/>
    </row>
    <row r="53" spans="1:39">
      <c r="A53" s="83"/>
      <c r="B53" s="83"/>
      <c r="C53" s="83"/>
      <c r="D53" s="83"/>
      <c r="E53" s="83"/>
    </row>
    <row r="54" spans="1:39">
      <c r="A54" s="83"/>
      <c r="B54" s="83"/>
      <c r="C54" s="83"/>
    </row>
    <row r="55" spans="1:39">
      <c r="A55" s="83"/>
      <c r="B55" s="83"/>
      <c r="C55" s="83"/>
      <c r="D55" s="83"/>
    </row>
    <row r="56" spans="1:39">
      <c r="A56" s="83"/>
      <c r="B56" s="83"/>
      <c r="C56" s="83"/>
      <c r="N56" s="8"/>
      <c r="AA56" s="8"/>
    </row>
    <row r="57" spans="1:39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</row>
    <row r="58" spans="1:39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</row>
    <row r="59" spans="1:39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</row>
    <row r="60" spans="1:39">
      <c r="A60" s="8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</row>
    <row r="61" spans="1:39">
      <c r="A61" s="8"/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</row>
    <row r="62" spans="1:39">
      <c r="A62" s="8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</row>
    <row r="63" spans="1:39">
      <c r="A63" s="8"/>
      <c r="N63" s="8"/>
      <c r="AA63" s="8"/>
    </row>
    <row r="64" spans="1:39">
      <c r="A64" s="8"/>
      <c r="N64" s="8"/>
      <c r="AA64" s="8"/>
    </row>
    <row r="65" spans="2:37"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1084"/>
      <c r="O65" s="1084"/>
      <c r="P65" s="1084"/>
      <c r="Q65" s="1084"/>
      <c r="R65" s="1084"/>
      <c r="S65" s="1084"/>
      <c r="T65" s="1084"/>
      <c r="U65" s="1084"/>
      <c r="V65" s="1084"/>
      <c r="W65" s="1084"/>
      <c r="X65" s="1084"/>
      <c r="Y65" s="1084"/>
      <c r="Z65" s="1084"/>
      <c r="AA65" s="1084"/>
      <c r="AB65" s="1084"/>
      <c r="AC65" s="1084"/>
      <c r="AD65" s="1084"/>
      <c r="AE65" s="1084"/>
      <c r="AF65" s="1084"/>
      <c r="AG65" s="1084"/>
      <c r="AH65" s="1084"/>
      <c r="AI65" s="1084"/>
      <c r="AJ65" s="1084"/>
      <c r="AK65" s="1084"/>
    </row>
    <row r="66" spans="2:37"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1084"/>
      <c r="O66" s="1084"/>
      <c r="P66" s="1084"/>
      <c r="Q66" s="1084"/>
      <c r="R66" s="1084"/>
      <c r="S66" s="1084"/>
      <c r="T66" s="1084"/>
      <c r="U66" s="1084"/>
      <c r="V66" s="1084"/>
      <c r="W66" s="1084"/>
      <c r="X66" s="1084"/>
      <c r="Y66" s="1084"/>
      <c r="Z66" s="1084"/>
      <c r="AA66" s="1084"/>
      <c r="AB66" s="1084"/>
      <c r="AC66" s="1084"/>
      <c r="AD66" s="1084"/>
      <c r="AE66" s="1084"/>
      <c r="AF66" s="1084"/>
      <c r="AG66" s="1084"/>
      <c r="AH66" s="1084"/>
      <c r="AI66" s="1084"/>
      <c r="AJ66" s="1084"/>
      <c r="AK66" s="1084"/>
    </row>
    <row r="67" spans="2:37"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1084"/>
      <c r="O67" s="1084"/>
      <c r="P67" s="1084"/>
      <c r="Q67" s="1084"/>
      <c r="R67" s="1084"/>
      <c r="S67" s="1084"/>
      <c r="T67" s="1084"/>
      <c r="U67" s="1084"/>
      <c r="V67" s="1084"/>
      <c r="W67" s="1084"/>
      <c r="X67" s="1084"/>
      <c r="Y67" s="1084"/>
      <c r="Z67" s="1084"/>
      <c r="AA67" s="1084"/>
      <c r="AB67" s="1084"/>
      <c r="AC67" s="1084"/>
      <c r="AD67" s="1084"/>
      <c r="AE67" s="1084"/>
      <c r="AF67" s="1084"/>
      <c r="AG67" s="1084"/>
      <c r="AH67" s="1084"/>
      <c r="AI67" s="1084"/>
      <c r="AJ67" s="1084"/>
      <c r="AK67" s="1084"/>
    </row>
    <row r="68" spans="2:37"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1084"/>
      <c r="O68" s="1084"/>
      <c r="P68" s="1084"/>
      <c r="Q68" s="1084"/>
      <c r="R68" s="1084"/>
      <c r="S68" s="1084"/>
      <c r="T68" s="1084"/>
      <c r="U68" s="1084"/>
      <c r="V68" s="1084"/>
      <c r="W68" s="1084"/>
      <c r="X68" s="1084"/>
      <c r="Y68" s="1084"/>
      <c r="Z68" s="1084"/>
      <c r="AA68" s="1084"/>
      <c r="AB68" s="1084"/>
      <c r="AC68" s="1084"/>
      <c r="AD68" s="1084"/>
      <c r="AE68" s="1084"/>
      <c r="AF68" s="1084"/>
      <c r="AG68" s="1084"/>
      <c r="AH68" s="1084"/>
      <c r="AI68" s="1084"/>
      <c r="AJ68" s="1084"/>
      <c r="AK68" s="1084"/>
    </row>
    <row r="69" spans="2:37"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</row>
    <row r="70" spans="2:37"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</row>
  </sheetData>
  <customSheetViews>
    <customSheetView guid="{A374FC54-96E3-45F0-9C12-8450400C12DF}" scale="130">
      <pane xSplit="1" ySplit="5" topLeftCell="B38" activePane="bottomRight" state="frozen"/>
      <selection pane="bottomRight" activeCell="L51" sqref="L51"/>
      <pageMargins left="0.59055118110236204" right="0.511811023622047" top="0.511811023622047" bottom="0.511811023622047" header="0" footer="0.43307086614173201"/>
      <pageSetup paperSize="132" firstPageNumber="75" orientation="portrait" useFirstPageNumber="1" r:id="rId1"/>
      <headerFooter>
        <oddFooter>&amp;C&amp;"Times New Roman,Regular"&amp;8&amp;P</oddFooter>
      </headerFooter>
    </customSheetView>
  </customSheetViews>
  <mergeCells count="33">
    <mergeCell ref="B47:D47"/>
    <mergeCell ref="O47:Q47"/>
    <mergeCell ref="AB47:AD47"/>
    <mergeCell ref="AK2:AM2"/>
    <mergeCell ref="K1:M1"/>
    <mergeCell ref="X1:Z1"/>
    <mergeCell ref="U4:W4"/>
    <mergeCell ref="X4:Z4"/>
    <mergeCell ref="AB3:AM3"/>
    <mergeCell ref="AK1:AM1"/>
    <mergeCell ref="AA3:AA5"/>
    <mergeCell ref="R4:T4"/>
    <mergeCell ref="AK4:AM4"/>
    <mergeCell ref="AB4:AD4"/>
    <mergeCell ref="AH4:AJ4"/>
    <mergeCell ref="AE4:AG4"/>
    <mergeCell ref="A3:A5"/>
    <mergeCell ref="B3:M3"/>
    <mergeCell ref="N3:N5"/>
    <mergeCell ref="O3:Z3"/>
    <mergeCell ref="B4:D4"/>
    <mergeCell ref="O4:Q4"/>
    <mergeCell ref="K4:M4"/>
    <mergeCell ref="H4:J4"/>
    <mergeCell ref="E4:G4"/>
    <mergeCell ref="B46:F46"/>
    <mergeCell ref="O46:T46"/>
    <mergeCell ref="AB46:AF46"/>
    <mergeCell ref="B1:I1"/>
    <mergeCell ref="O1:V1"/>
    <mergeCell ref="AB1:AI1"/>
    <mergeCell ref="K2:M2"/>
    <mergeCell ref="X2:Z2"/>
  </mergeCells>
  <phoneticPr fontId="44" type="noConversion"/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sheetPr codeName="Sheet29"/>
  <dimension ref="A1:O59"/>
  <sheetViews>
    <sheetView showWhiteSpace="0" topLeftCell="A22" zoomScale="130" zoomScaleNormal="130" workbookViewId="0">
      <selection activeCell="C53" sqref="C53"/>
    </sheetView>
  </sheetViews>
  <sheetFormatPr defaultColWidth="9.140625" defaultRowHeight="11.25"/>
  <cols>
    <col min="1" max="1" width="7.7109375" style="8" customWidth="1"/>
    <col min="2" max="2" width="9.28515625" style="8" customWidth="1"/>
    <col min="3" max="3" width="10.85546875" style="8" customWidth="1"/>
    <col min="4" max="4" width="11.42578125" style="8" customWidth="1"/>
    <col min="5" max="5" width="12.28515625" style="8" customWidth="1"/>
    <col min="6" max="6" width="12.85546875" style="8" customWidth="1"/>
    <col min="7" max="7" width="14.85546875" style="8" customWidth="1"/>
    <col min="8" max="16384" width="9.140625" style="8"/>
  </cols>
  <sheetData>
    <row r="1" spans="1:15" s="31" customFormat="1" ht="30.75" customHeight="1">
      <c r="B1" s="2588" t="s">
        <v>1353</v>
      </c>
      <c r="C1" s="2588"/>
      <c r="D1" s="2588"/>
      <c r="E1" s="2588"/>
      <c r="F1" s="2589" t="s">
        <v>344</v>
      </c>
      <c r="G1" s="2589"/>
    </row>
    <row r="2" spans="1:15" ht="11.25" customHeight="1">
      <c r="A2" s="2590"/>
      <c r="B2" s="2590"/>
      <c r="C2" s="2590"/>
      <c r="D2" s="2590"/>
      <c r="E2" s="2590"/>
      <c r="F2" s="2591" t="s">
        <v>507</v>
      </c>
      <c r="G2" s="2591"/>
      <c r="I2" s="31"/>
      <c r="J2" s="31"/>
      <c r="K2" s="31"/>
      <c r="L2" s="31"/>
    </row>
    <row r="3" spans="1:15" s="37" customFormat="1" ht="14.25" customHeight="1">
      <c r="A3" s="2592" t="s">
        <v>481</v>
      </c>
      <c r="B3" s="2593" t="s">
        <v>509</v>
      </c>
      <c r="C3" s="2594"/>
      <c r="D3" s="2594"/>
      <c r="E3" s="2594" t="s">
        <v>512</v>
      </c>
      <c r="F3" s="2594"/>
      <c r="G3" s="2594"/>
    </row>
    <row r="4" spans="1:15" s="37" customFormat="1" ht="14.25" customHeight="1">
      <c r="A4" s="2592"/>
      <c r="B4" s="1204" t="s">
        <v>510</v>
      </c>
      <c r="C4" s="1206" t="s">
        <v>511</v>
      </c>
      <c r="D4" s="1200" t="s">
        <v>480</v>
      </c>
      <c r="E4" s="1201" t="s">
        <v>510</v>
      </c>
      <c r="F4" s="1201" t="s">
        <v>511</v>
      </c>
      <c r="G4" s="1201" t="s">
        <v>480</v>
      </c>
    </row>
    <row r="5" spans="1:15" s="153" customFormat="1" ht="10.9" customHeight="1">
      <c r="A5" s="1202">
        <v>2012</v>
      </c>
      <c r="B5" s="279">
        <v>22</v>
      </c>
      <c r="C5" s="279">
        <v>3</v>
      </c>
      <c r="D5" s="279">
        <v>12.822499999999998</v>
      </c>
      <c r="E5" s="279">
        <v>22</v>
      </c>
      <c r="F5" s="279">
        <v>3</v>
      </c>
      <c r="G5" s="279">
        <v>12.822499999999998</v>
      </c>
    </row>
    <row r="6" spans="1:15" s="152" customFormat="1" ht="10.9" customHeight="1">
      <c r="A6" s="139">
        <v>2013</v>
      </c>
      <c r="B6" s="26">
        <v>13</v>
      </c>
      <c r="C6" s="26">
        <v>5.0999999999999996</v>
      </c>
      <c r="D6" s="26">
        <v>7.775833333333332</v>
      </c>
      <c r="E6" s="26">
        <v>13</v>
      </c>
      <c r="F6" s="26">
        <v>5.0999999999999996</v>
      </c>
      <c r="G6" s="26">
        <v>7.775833333333332</v>
      </c>
    </row>
    <row r="7" spans="1:15" s="152" customFormat="1" ht="10.9" customHeight="1">
      <c r="A7" s="273">
        <v>2014</v>
      </c>
      <c r="B7" s="261">
        <v>9.9</v>
      </c>
      <c r="C7" s="261">
        <v>5</v>
      </c>
      <c r="D7" s="261">
        <v>7.1399999999999979</v>
      </c>
      <c r="E7" s="261">
        <v>9.9</v>
      </c>
      <c r="F7" s="261">
        <v>5</v>
      </c>
      <c r="G7" s="261">
        <v>7.1399999999999979</v>
      </c>
    </row>
    <row r="8" spans="1:15" s="152" customFormat="1" ht="10.9" customHeight="1">
      <c r="A8" s="139">
        <v>2015</v>
      </c>
      <c r="B8" s="26">
        <v>9.9</v>
      </c>
      <c r="C8" s="26">
        <v>1.25</v>
      </c>
      <c r="D8" s="26">
        <v>6.1983333333333333</v>
      </c>
      <c r="E8" s="26">
        <v>9.9</v>
      </c>
      <c r="F8" s="26">
        <v>1.25</v>
      </c>
      <c r="G8" s="26">
        <v>6.145833333333333</v>
      </c>
    </row>
    <row r="9" spans="1:15" s="410" customFormat="1" ht="10.9" customHeight="1">
      <c r="A9" s="354">
        <v>2016</v>
      </c>
      <c r="B9" s="261">
        <v>5</v>
      </c>
      <c r="C9" s="261">
        <v>1</v>
      </c>
      <c r="D9" s="261">
        <v>3.6691666666666669</v>
      </c>
      <c r="E9" s="261">
        <v>5</v>
      </c>
      <c r="F9" s="261">
        <v>1</v>
      </c>
      <c r="G9" s="261">
        <v>3.6691666666666669</v>
      </c>
      <c r="H9" s="152"/>
      <c r="I9" s="224"/>
      <c r="J9" s="152"/>
      <c r="K9" s="152"/>
      <c r="L9" s="152"/>
      <c r="M9" s="152"/>
      <c r="N9" s="152"/>
      <c r="O9" s="152"/>
    </row>
    <row r="10" spans="1:15" s="410" customFormat="1" ht="10.9" customHeight="1">
      <c r="A10" s="340">
        <v>2017</v>
      </c>
      <c r="B10" s="26">
        <v>4.5</v>
      </c>
      <c r="C10" s="26">
        <v>1.5</v>
      </c>
      <c r="D10" s="26">
        <v>3.7674999999999996</v>
      </c>
      <c r="E10" s="26">
        <v>4.5</v>
      </c>
      <c r="F10" s="26">
        <v>1.5</v>
      </c>
      <c r="G10" s="26">
        <v>3.7674999999999996</v>
      </c>
      <c r="H10" s="152"/>
      <c r="I10" s="224"/>
      <c r="J10" s="152"/>
      <c r="K10" s="152"/>
      <c r="L10" s="152"/>
      <c r="M10" s="152"/>
      <c r="N10" s="152"/>
      <c r="O10" s="152"/>
    </row>
    <row r="11" spans="1:15" s="152" customFormat="1" ht="10.9" customHeight="1">
      <c r="A11" s="354">
        <v>2018</v>
      </c>
      <c r="B11" s="261">
        <v>5.5</v>
      </c>
      <c r="C11" s="261">
        <v>0.1</v>
      </c>
      <c r="D11" s="261">
        <v>3.6691666666666669</v>
      </c>
      <c r="E11" s="261">
        <v>5.5</v>
      </c>
      <c r="F11" s="261">
        <v>0.1</v>
      </c>
      <c r="G11" s="261">
        <v>3.6691666666666669</v>
      </c>
    </row>
    <row r="12" spans="1:15" s="9" customFormat="1" ht="10.9" customHeight="1">
      <c r="A12" s="340">
        <v>2019</v>
      </c>
      <c r="B12" s="26">
        <v>5.5</v>
      </c>
      <c r="C12" s="26">
        <v>0.75</v>
      </c>
      <c r="D12" s="26">
        <v>4.4274999999999993</v>
      </c>
      <c r="E12" s="26">
        <v>5.5</v>
      </c>
      <c r="F12" s="26">
        <v>0.75</v>
      </c>
      <c r="G12" s="26">
        <v>4.4274999999999993</v>
      </c>
    </row>
    <row r="13" spans="1:15" s="152" customFormat="1" ht="10.9" customHeight="1">
      <c r="A13" s="354">
        <v>2020</v>
      </c>
      <c r="B13" s="261">
        <v>5.5</v>
      </c>
      <c r="C13" s="261">
        <v>0.3</v>
      </c>
      <c r="D13" s="261">
        <v>4.0091666666666663</v>
      </c>
      <c r="E13" s="261">
        <v>5.5</v>
      </c>
      <c r="F13" s="261">
        <v>0.3</v>
      </c>
      <c r="G13" s="261">
        <v>4.0091666666666663</v>
      </c>
    </row>
    <row r="14" spans="1:15" s="152" customFormat="1" ht="10.9" customHeight="1">
      <c r="A14" s="1365">
        <v>2021</v>
      </c>
      <c r="B14" s="26">
        <v>5.25</v>
      </c>
      <c r="C14" s="26">
        <v>1</v>
      </c>
      <c r="D14" s="26">
        <v>2.1041666666666665</v>
      </c>
      <c r="E14" s="26">
        <v>5.25</v>
      </c>
      <c r="F14" s="26">
        <v>1</v>
      </c>
      <c r="G14" s="26">
        <v>2.1041666666666665</v>
      </c>
    </row>
    <row r="15" spans="1:15" s="152" customFormat="1" ht="10.9" customHeight="1">
      <c r="A15" s="1203">
        <v>2022</v>
      </c>
      <c r="B15" s="264">
        <v>7.75</v>
      </c>
      <c r="C15" s="264">
        <v>1</v>
      </c>
      <c r="D15" s="264">
        <v>4.6524999999999999</v>
      </c>
      <c r="E15" s="264">
        <v>7.75</v>
      </c>
      <c r="F15" s="264">
        <v>1</v>
      </c>
      <c r="G15" s="264">
        <v>4.6524999999999999</v>
      </c>
    </row>
    <row r="16" spans="1:15" s="152" customFormat="1" ht="10.9" customHeight="1">
      <c r="A16" s="763">
        <v>2023</v>
      </c>
      <c r="B16" s="140">
        <v>9.75</v>
      </c>
      <c r="C16" s="140">
        <v>4.25</v>
      </c>
      <c r="D16" s="140">
        <v>6.6816666666666658</v>
      </c>
      <c r="E16" s="140">
        <v>9.75</v>
      </c>
      <c r="F16" s="140">
        <v>4.25</v>
      </c>
      <c r="G16" s="140">
        <v>6.6816666666666658</v>
      </c>
    </row>
    <row r="17" spans="1:7" s="152" customFormat="1" ht="10.9" customHeight="1">
      <c r="A17" s="1203">
        <v>2024</v>
      </c>
      <c r="B17" s="264">
        <f>MAX(B18:B29)</f>
        <v>11</v>
      </c>
      <c r="C17" s="264">
        <f>MIN(C18:C29)</f>
        <v>6.75</v>
      </c>
      <c r="D17" s="264">
        <f>AVERAGE(D18:D29)</f>
        <v>9.2416666666666654</v>
      </c>
      <c r="E17" s="264">
        <f>MAX(E18:E29)</f>
        <v>11</v>
      </c>
      <c r="F17" s="264">
        <f>MIN(F18:F29)</f>
        <v>6.75</v>
      </c>
      <c r="G17" s="264">
        <f>AVERAGE(G18:G29)</f>
        <v>9.2416666666666654</v>
      </c>
    </row>
    <row r="18" spans="1:7" s="152" customFormat="1" ht="10.9" customHeight="1">
      <c r="A18" s="340" t="s">
        <v>563</v>
      </c>
      <c r="B18" s="231">
        <v>10</v>
      </c>
      <c r="C18" s="231">
        <v>7.75</v>
      </c>
      <c r="D18" s="231">
        <v>9.3800000000000008</v>
      </c>
      <c r="E18" s="231">
        <v>10</v>
      </c>
      <c r="F18" s="231">
        <v>7.75</v>
      </c>
      <c r="G18" s="231">
        <v>9.3800000000000008</v>
      </c>
    </row>
    <row r="19" spans="1:7" s="152" customFormat="1" ht="10.9" customHeight="1">
      <c r="A19" s="354" t="s">
        <v>564</v>
      </c>
      <c r="B19" s="256">
        <v>9.5</v>
      </c>
      <c r="C19" s="256">
        <v>8</v>
      </c>
      <c r="D19" s="256">
        <v>9.3000000000000007</v>
      </c>
      <c r="E19" s="256">
        <v>9.5</v>
      </c>
      <c r="F19" s="256">
        <v>8</v>
      </c>
      <c r="G19" s="256">
        <v>9.3000000000000007</v>
      </c>
    </row>
    <row r="20" spans="1:7" s="152" customFormat="1" ht="10.9" customHeight="1">
      <c r="A20" s="340" t="s">
        <v>556</v>
      </c>
      <c r="B20" s="231">
        <v>9.5</v>
      </c>
      <c r="C20" s="231">
        <v>6.75</v>
      </c>
      <c r="D20" s="231">
        <v>8.75</v>
      </c>
      <c r="E20" s="231">
        <v>9.5</v>
      </c>
      <c r="F20" s="231">
        <v>6.75</v>
      </c>
      <c r="G20" s="231">
        <v>8.75</v>
      </c>
    </row>
    <row r="21" spans="1:7" s="152" customFormat="1" ht="10.9" customHeight="1">
      <c r="A21" s="354" t="s">
        <v>565</v>
      </c>
      <c r="B21" s="256">
        <v>9.5</v>
      </c>
      <c r="C21" s="256">
        <v>7.9</v>
      </c>
      <c r="D21" s="256">
        <v>8.81</v>
      </c>
      <c r="E21" s="256">
        <v>9.5</v>
      </c>
      <c r="F21" s="256">
        <v>7.9</v>
      </c>
      <c r="G21" s="256">
        <v>8.81</v>
      </c>
    </row>
    <row r="22" spans="1:7" s="152" customFormat="1" ht="10.9" customHeight="1">
      <c r="A22" s="85" t="s">
        <v>566</v>
      </c>
      <c r="B22" s="231">
        <v>10</v>
      </c>
      <c r="C22" s="231">
        <v>8</v>
      </c>
      <c r="D22" s="231">
        <v>9.08</v>
      </c>
      <c r="E22" s="231">
        <v>10</v>
      </c>
      <c r="F22" s="231">
        <v>8</v>
      </c>
      <c r="G22" s="231">
        <v>9.08</v>
      </c>
    </row>
    <row r="23" spans="1:7" s="152" customFormat="1" ht="10.9" customHeight="1">
      <c r="A23" s="1262" t="s">
        <v>557</v>
      </c>
      <c r="B23" s="256">
        <v>10</v>
      </c>
      <c r="C23" s="256">
        <v>8.5</v>
      </c>
      <c r="D23" s="256">
        <v>9.08</v>
      </c>
      <c r="E23" s="256">
        <v>10</v>
      </c>
      <c r="F23" s="256">
        <v>8.5</v>
      </c>
      <c r="G23" s="256">
        <v>9.08</v>
      </c>
    </row>
    <row r="24" spans="1:7" s="152" customFormat="1" ht="10.9" customHeight="1">
      <c r="A24" s="1267" t="s">
        <v>559</v>
      </c>
      <c r="B24" s="231">
        <v>10</v>
      </c>
      <c r="C24" s="231">
        <v>7.75</v>
      </c>
      <c r="D24" s="231">
        <v>8.86</v>
      </c>
      <c r="E24" s="231">
        <v>10</v>
      </c>
      <c r="F24" s="231">
        <v>7.75</v>
      </c>
      <c r="G24" s="231">
        <v>8.86</v>
      </c>
    </row>
    <row r="25" spans="1:7" s="152" customFormat="1" ht="10.9" customHeight="1">
      <c r="A25" s="1262" t="s">
        <v>560</v>
      </c>
      <c r="B25" s="256">
        <v>10.5</v>
      </c>
      <c r="C25" s="256">
        <v>8.3000000000000007</v>
      </c>
      <c r="D25" s="256">
        <v>8.7799999999999994</v>
      </c>
      <c r="E25" s="256">
        <v>10.5</v>
      </c>
      <c r="F25" s="256">
        <v>8.3000000000000007</v>
      </c>
      <c r="G25" s="256">
        <v>8.7799999999999994</v>
      </c>
    </row>
    <row r="26" spans="1:7" s="152" customFormat="1" ht="10.9" customHeight="1">
      <c r="A26" s="1267" t="s">
        <v>554</v>
      </c>
      <c r="B26" s="231">
        <v>10.5</v>
      </c>
      <c r="C26" s="231">
        <v>8.5</v>
      </c>
      <c r="D26" s="231">
        <v>9.14</v>
      </c>
      <c r="E26" s="231">
        <v>10.5</v>
      </c>
      <c r="F26" s="231">
        <v>8.5</v>
      </c>
      <c r="G26" s="231">
        <v>9.14</v>
      </c>
    </row>
    <row r="27" spans="1:7" s="152" customFormat="1" ht="10.9" customHeight="1">
      <c r="A27" s="1262" t="s">
        <v>561</v>
      </c>
      <c r="B27" s="256">
        <v>11</v>
      </c>
      <c r="C27" s="256">
        <v>9</v>
      </c>
      <c r="D27" s="256">
        <v>9.66</v>
      </c>
      <c r="E27" s="256">
        <v>11</v>
      </c>
      <c r="F27" s="256">
        <v>9</v>
      </c>
      <c r="G27" s="256">
        <v>9.66</v>
      </c>
    </row>
    <row r="28" spans="1:7" s="152" customFormat="1" ht="10.9" customHeight="1">
      <c r="A28" s="1267" t="s">
        <v>562</v>
      </c>
      <c r="B28" s="231">
        <v>11</v>
      </c>
      <c r="C28" s="231">
        <v>8.9499999999999993</v>
      </c>
      <c r="D28" s="231">
        <v>9.99</v>
      </c>
      <c r="E28" s="231">
        <v>11</v>
      </c>
      <c r="F28" s="231">
        <v>8.9499999999999993</v>
      </c>
      <c r="G28" s="231">
        <v>9.99</v>
      </c>
    </row>
    <row r="29" spans="1:7" s="152" customFormat="1" ht="10.9" customHeight="1">
      <c r="A29" s="1262" t="s">
        <v>555</v>
      </c>
      <c r="B29" s="256">
        <v>11</v>
      </c>
      <c r="C29" s="256">
        <v>8.75</v>
      </c>
      <c r="D29" s="256">
        <v>10.07</v>
      </c>
      <c r="E29" s="256">
        <v>11</v>
      </c>
      <c r="F29" s="256">
        <v>8.75</v>
      </c>
      <c r="G29" s="256">
        <v>10.07</v>
      </c>
    </row>
    <row r="30" spans="1:7" s="152" customFormat="1" ht="10.9" customHeight="1">
      <c r="A30" s="1298">
        <v>2025</v>
      </c>
      <c r="B30" s="140">
        <f>MAX(B31:B42)</f>
        <v>11.5</v>
      </c>
      <c r="C30" s="140">
        <f>MIN(C31:C42)</f>
        <v>8.8000000000000007</v>
      </c>
      <c r="D30" s="140">
        <f>AVERAGE(D31:D42)</f>
        <v>9.9799999999999986</v>
      </c>
      <c r="E30" s="140">
        <f>MAX(E31:E42)</f>
        <v>11.5</v>
      </c>
      <c r="F30" s="140">
        <f>MIN(F31:F42)</f>
        <v>8.8000000000000007</v>
      </c>
      <c r="G30" s="140">
        <f>AVERAGE(G31:G42)</f>
        <v>9.9799999999999986</v>
      </c>
    </row>
    <row r="31" spans="1:7" s="152" customFormat="1" ht="10.9" customHeight="1">
      <c r="A31" s="1262" t="s">
        <v>563</v>
      </c>
      <c r="B31" s="256">
        <v>11</v>
      </c>
      <c r="C31" s="256">
        <v>9</v>
      </c>
      <c r="D31" s="256">
        <v>10.08</v>
      </c>
      <c r="E31" s="256">
        <v>11</v>
      </c>
      <c r="F31" s="256">
        <v>9</v>
      </c>
      <c r="G31" s="256">
        <v>10.08</v>
      </c>
    </row>
    <row r="32" spans="1:7" s="152" customFormat="1" ht="10.9" customHeight="1">
      <c r="A32" s="1267" t="s">
        <v>564</v>
      </c>
      <c r="B32" s="231">
        <v>11</v>
      </c>
      <c r="C32" s="231">
        <v>9.5</v>
      </c>
      <c r="D32" s="231">
        <v>10.039999999999999</v>
      </c>
      <c r="E32" s="231">
        <v>11</v>
      </c>
      <c r="F32" s="231">
        <v>9.5</v>
      </c>
      <c r="G32" s="231">
        <v>10.039999999999999</v>
      </c>
    </row>
    <row r="33" spans="1:7" s="152" customFormat="1" ht="10.9" customHeight="1">
      <c r="A33" s="1262" t="s">
        <v>556</v>
      </c>
      <c r="B33" s="256">
        <v>11</v>
      </c>
      <c r="C33" s="256">
        <v>8.8000000000000007</v>
      </c>
      <c r="D33" s="256">
        <v>10.01</v>
      </c>
      <c r="E33" s="256">
        <v>11</v>
      </c>
      <c r="F33" s="256">
        <v>8.8000000000000007</v>
      </c>
      <c r="G33" s="256">
        <v>10.01</v>
      </c>
    </row>
    <row r="34" spans="1:7" s="152" customFormat="1" ht="10.9" customHeight="1">
      <c r="A34" s="1267" t="s">
        <v>565</v>
      </c>
      <c r="B34" s="231">
        <v>11</v>
      </c>
      <c r="C34" s="231">
        <v>9.5</v>
      </c>
      <c r="D34" s="231">
        <v>9.93</v>
      </c>
      <c r="E34" s="231">
        <v>11</v>
      </c>
      <c r="F34" s="231">
        <v>9.5</v>
      </c>
      <c r="G34" s="231">
        <v>9.93</v>
      </c>
    </row>
    <row r="35" spans="1:7" s="152" customFormat="1" ht="10.9" customHeight="1">
      <c r="A35" s="1262" t="s">
        <v>566</v>
      </c>
      <c r="B35" s="256">
        <v>11.25</v>
      </c>
      <c r="C35" s="256">
        <v>9.5</v>
      </c>
      <c r="D35" s="256">
        <v>10.06</v>
      </c>
      <c r="E35" s="256">
        <v>11.25</v>
      </c>
      <c r="F35" s="256">
        <v>9.5</v>
      </c>
      <c r="G35" s="256">
        <v>10.06</v>
      </c>
    </row>
    <row r="36" spans="1:7" s="152" customFormat="1" ht="10.9" customHeight="1">
      <c r="A36" s="1267" t="s">
        <v>557</v>
      </c>
      <c r="B36" s="231">
        <v>11.5</v>
      </c>
      <c r="C36" s="231">
        <v>9</v>
      </c>
      <c r="D36" s="231">
        <v>10.14</v>
      </c>
      <c r="E36" s="231">
        <v>11.5</v>
      </c>
      <c r="F36" s="231">
        <v>9</v>
      </c>
      <c r="G36" s="231">
        <v>10.14</v>
      </c>
    </row>
    <row r="37" spans="1:7" s="152" customFormat="1" ht="10.9" customHeight="1">
      <c r="A37" s="1262" t="s">
        <v>559</v>
      </c>
      <c r="B37" s="256">
        <v>11.5</v>
      </c>
      <c r="C37" s="256">
        <v>9.5</v>
      </c>
      <c r="D37" s="256">
        <v>10.029999999999999</v>
      </c>
      <c r="E37" s="256">
        <v>11.5</v>
      </c>
      <c r="F37" s="256">
        <v>9.5</v>
      </c>
      <c r="G37" s="256">
        <v>10.029999999999999</v>
      </c>
    </row>
    <row r="38" spans="1:7" s="152" customFormat="1" ht="10.9" customHeight="1">
      <c r="A38" s="1267" t="s">
        <v>560</v>
      </c>
      <c r="B38" s="231">
        <v>11</v>
      </c>
      <c r="C38" s="231">
        <v>9.5</v>
      </c>
      <c r="D38" s="231">
        <v>9.98</v>
      </c>
      <c r="E38" s="231">
        <v>11</v>
      </c>
      <c r="F38" s="231">
        <v>9.5</v>
      </c>
      <c r="G38" s="231">
        <v>9.98</v>
      </c>
    </row>
    <row r="39" spans="1:7" s="152" customFormat="1" ht="10.9" customHeight="1">
      <c r="A39" s="1262" t="s">
        <v>554</v>
      </c>
      <c r="B39" s="256">
        <v>11</v>
      </c>
      <c r="C39" s="256">
        <v>9.25</v>
      </c>
      <c r="D39" s="256">
        <v>9.9700000000000006</v>
      </c>
      <c r="E39" s="256">
        <v>11</v>
      </c>
      <c r="F39" s="256">
        <v>9.25</v>
      </c>
      <c r="G39" s="256">
        <v>9.9700000000000006</v>
      </c>
    </row>
    <row r="40" spans="1:7" s="152" customFormat="1" ht="10.9" customHeight="1">
      <c r="A40" s="1267" t="s">
        <v>561</v>
      </c>
      <c r="B40" s="231">
        <v>11</v>
      </c>
      <c r="C40" s="231">
        <v>9.25</v>
      </c>
      <c r="D40" s="231">
        <v>9.74</v>
      </c>
      <c r="E40" s="231">
        <v>11</v>
      </c>
      <c r="F40" s="231">
        <v>9.25</v>
      </c>
      <c r="G40" s="231">
        <v>9.74</v>
      </c>
    </row>
    <row r="41" spans="1:7" ht="10.9" customHeight="1">
      <c r="A41" s="1262" t="s">
        <v>562</v>
      </c>
      <c r="B41" s="256">
        <v>11</v>
      </c>
      <c r="C41" s="256">
        <v>9.5</v>
      </c>
      <c r="D41" s="256">
        <v>9.7899999999999991</v>
      </c>
      <c r="E41" s="256">
        <v>11</v>
      </c>
      <c r="F41" s="256">
        <v>9.5</v>
      </c>
      <c r="G41" s="256">
        <v>9.7899999999999991</v>
      </c>
    </row>
    <row r="42" spans="1:7" ht="10.9" customHeight="1">
      <c r="A42" s="1267" t="s">
        <v>555</v>
      </c>
      <c r="B42" s="231">
        <v>11</v>
      </c>
      <c r="C42" s="231">
        <v>9.5</v>
      </c>
      <c r="D42" s="231">
        <v>9.99</v>
      </c>
      <c r="E42" s="231">
        <v>11</v>
      </c>
      <c r="F42" s="231">
        <v>9.5</v>
      </c>
      <c r="G42" s="231">
        <v>9.99</v>
      </c>
    </row>
    <row r="43" spans="1:7" ht="10.9" customHeight="1">
      <c r="A43" s="1501">
        <v>2026</v>
      </c>
      <c r="B43" s="256"/>
      <c r="C43" s="256"/>
      <c r="D43" s="256"/>
      <c r="E43" s="256"/>
      <c r="F43" s="256"/>
      <c r="G43" s="256"/>
    </row>
    <row r="44" spans="1:7" ht="10.9" customHeight="1">
      <c r="A44" s="1267" t="s">
        <v>563</v>
      </c>
      <c r="B44" s="231">
        <v>11</v>
      </c>
      <c r="C44" s="231">
        <v>9.5</v>
      </c>
      <c r="D44" s="231">
        <v>9.94</v>
      </c>
      <c r="E44" s="231">
        <v>11</v>
      </c>
      <c r="F44" s="231">
        <v>9.5</v>
      </c>
      <c r="G44" s="231">
        <v>9.94</v>
      </c>
    </row>
    <row r="45" spans="1:7" ht="10.9" customHeight="1">
      <c r="A45" s="1262" t="s">
        <v>564</v>
      </c>
      <c r="B45" s="256">
        <v>11</v>
      </c>
      <c r="C45" s="256">
        <v>9.0500000000000007</v>
      </c>
      <c r="D45" s="256">
        <v>9.9</v>
      </c>
      <c r="E45" s="256">
        <v>11</v>
      </c>
      <c r="F45" s="256">
        <v>9.0500000000000007</v>
      </c>
      <c r="G45" s="256">
        <v>9.9</v>
      </c>
    </row>
    <row r="46" spans="1:7" ht="10.9" customHeight="1">
      <c r="A46" s="1267" t="s">
        <v>556</v>
      </c>
      <c r="B46" s="231">
        <v>11</v>
      </c>
      <c r="C46" s="231">
        <v>9.25</v>
      </c>
      <c r="D46" s="231">
        <v>10.01</v>
      </c>
      <c r="E46" s="231">
        <v>11</v>
      </c>
      <c r="F46" s="231">
        <v>9.25</v>
      </c>
      <c r="G46" s="231">
        <v>10.01</v>
      </c>
    </row>
    <row r="47" spans="1:7" ht="9.75" customHeight="1">
      <c r="A47" s="1262" t="s">
        <v>565</v>
      </c>
      <c r="B47" s="256">
        <v>11</v>
      </c>
      <c r="C47" s="256">
        <v>9.5</v>
      </c>
      <c r="D47" s="256">
        <v>9.9499999999999993</v>
      </c>
      <c r="E47" s="256">
        <v>11</v>
      </c>
      <c r="F47" s="256">
        <v>9.5</v>
      </c>
      <c r="G47" s="256">
        <v>9.9499999999999993</v>
      </c>
    </row>
    <row r="48" spans="1:7" ht="9.75" customHeight="1">
      <c r="A48" s="1267" t="s">
        <v>566</v>
      </c>
      <c r="B48" s="231">
        <v>11.25</v>
      </c>
      <c r="C48" s="231">
        <v>9.75</v>
      </c>
      <c r="D48" s="231">
        <v>10.029999999999999</v>
      </c>
      <c r="E48" s="231">
        <v>11.25</v>
      </c>
      <c r="F48" s="231">
        <v>9.75</v>
      </c>
      <c r="G48" s="231">
        <v>10.029999999999999</v>
      </c>
    </row>
    <row r="49" spans="1:7" ht="11.25" customHeight="1">
      <c r="A49" s="1262" t="s">
        <v>557</v>
      </c>
      <c r="B49" s="256">
        <v>11</v>
      </c>
      <c r="C49" s="256">
        <v>9</v>
      </c>
      <c r="D49" s="256">
        <v>9.9</v>
      </c>
      <c r="E49" s="256">
        <v>11</v>
      </c>
      <c r="F49" s="256">
        <v>9</v>
      </c>
      <c r="G49" s="256">
        <v>9.9</v>
      </c>
    </row>
    <row r="50" spans="1:7">
      <c r="A50" s="1267" t="s">
        <v>559</v>
      </c>
      <c r="B50" s="231">
        <v>11</v>
      </c>
      <c r="C50" s="231">
        <v>9</v>
      </c>
      <c r="D50" s="231">
        <v>9.64</v>
      </c>
      <c r="E50" s="231">
        <v>11</v>
      </c>
      <c r="F50" s="231">
        <v>9</v>
      </c>
      <c r="G50" s="231">
        <v>9.64</v>
      </c>
    </row>
    <row r="51" spans="1:7" ht="12" thickBot="1">
      <c r="A51" s="1922" t="s">
        <v>560</v>
      </c>
      <c r="B51" s="429">
        <v>11</v>
      </c>
      <c r="C51" s="429">
        <v>9</v>
      </c>
      <c r="D51" s="429">
        <v>9.34</v>
      </c>
      <c r="E51" s="429">
        <v>11</v>
      </c>
      <c r="F51" s="429">
        <v>9</v>
      </c>
      <c r="G51" s="429">
        <v>9.34</v>
      </c>
    </row>
    <row r="52" spans="1:7">
      <c r="A52" s="112" t="s">
        <v>371</v>
      </c>
      <c r="B52" s="617" t="s">
        <v>1215</v>
      </c>
      <c r="C52" s="617"/>
      <c r="D52" s="617"/>
      <c r="E52" s="617"/>
      <c r="F52" s="61"/>
      <c r="G52" s="9"/>
    </row>
    <row r="55" spans="1:7">
      <c r="B55" s="83"/>
      <c r="C55" s="83"/>
      <c r="D55" s="83"/>
      <c r="E55" s="83"/>
      <c r="F55" s="83"/>
      <c r="G55" s="83"/>
    </row>
    <row r="59" spans="1:7" ht="12" customHeight="1"/>
  </sheetData>
  <customSheetViews>
    <customSheetView guid="{A374FC54-96E3-45F0-9C12-8450400C12DF}" scale="130" topLeftCell="A34">
      <selection activeCell="F55" sqref="F55"/>
      <pageMargins left="0.62992125984252001" right="0.511811023622047" top="0.39370078740157499" bottom="0.118110236220472" header="0.25" footer="0"/>
      <pageSetup paperSize="132" firstPageNumber="78" orientation="portrait" useFirstPageNumber="1" r:id="rId1"/>
      <headerFooter alignWithMargins="0">
        <oddFooter>&amp;C&amp;"Times New Roman,Regular"&amp;8 78</oddFooter>
      </headerFooter>
    </customSheetView>
  </customSheetViews>
  <mergeCells count="7">
    <mergeCell ref="B1:E1"/>
    <mergeCell ref="F1:G1"/>
    <mergeCell ref="A2:E2"/>
    <mergeCell ref="F2:G2"/>
    <mergeCell ref="A3:A4"/>
    <mergeCell ref="B3:D3"/>
    <mergeCell ref="E3:G3"/>
  </mergeCells>
  <phoneticPr fontId="44" type="noConversion"/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sheetPr codeName="Sheet30"/>
  <dimension ref="A1:AE47"/>
  <sheetViews>
    <sheetView zoomScale="150" zoomScaleNormal="150" workbookViewId="0">
      <pane xSplit="1" ySplit="6" topLeftCell="B37" activePane="bottomRight" state="frozen"/>
      <selection activeCell="X47" sqref="X47:X50"/>
      <selection pane="topRight" activeCell="X47" sqref="X47:X50"/>
      <selection pane="bottomLeft" activeCell="X47" sqref="X47:X50"/>
      <selection pane="bottomRight" activeCell="AA48" sqref="AA48"/>
    </sheetView>
  </sheetViews>
  <sheetFormatPr defaultColWidth="9.140625" defaultRowHeight="11.25"/>
  <cols>
    <col min="1" max="1" width="9" style="9" customWidth="1"/>
    <col min="2" max="2" width="11.42578125" style="9" customWidth="1"/>
    <col min="3" max="3" width="12.28515625" style="9" customWidth="1"/>
    <col min="4" max="4" width="11.42578125" style="9" customWidth="1"/>
    <col min="5" max="5" width="10.5703125" style="9" customWidth="1"/>
    <col min="6" max="6" width="9.28515625" style="9" customWidth="1"/>
    <col min="7" max="7" width="11.28515625" style="9" customWidth="1"/>
    <col min="8" max="8" width="10.28515625" style="9" customWidth="1"/>
    <col min="9" max="9" width="11.7109375" style="9" customWidth="1"/>
    <col min="10" max="10" width="11.140625" style="9" customWidth="1"/>
    <col min="11" max="11" width="11.42578125" style="9" customWidth="1"/>
    <col min="12" max="12" width="10.85546875" style="9" customWidth="1"/>
    <col min="13" max="13" width="10.7109375" style="9" customWidth="1"/>
    <col min="14" max="14" width="11.140625" style="9" customWidth="1"/>
    <col min="15" max="15" width="16.42578125" style="9" customWidth="1"/>
    <col min="16" max="16" width="15.7109375" style="9" customWidth="1"/>
    <col min="17" max="17" width="13" style="9" customWidth="1"/>
    <col min="18" max="18" width="14.28515625" style="9" customWidth="1"/>
    <col min="19" max="19" width="15.7109375" style="9" customWidth="1"/>
    <col min="20" max="20" width="7.5703125" style="9" customWidth="1"/>
    <col min="21" max="21" width="8.85546875" style="9" customWidth="1"/>
    <col min="22" max="22" width="11.7109375" style="9" customWidth="1"/>
    <col min="23" max="23" width="7.5703125" style="9" customWidth="1"/>
    <col min="24" max="24" width="8.42578125" style="9" customWidth="1"/>
    <col min="25" max="25" width="7.7109375" style="9" customWidth="1"/>
    <col min="26" max="26" width="9.42578125" style="9" customWidth="1"/>
    <col min="27" max="27" width="8.140625" style="9" customWidth="1"/>
    <col min="28" max="28" width="8.7109375" style="9" customWidth="1"/>
    <col min="29" max="29" width="9.140625" style="9"/>
    <col min="30" max="30" width="12.42578125" style="9" customWidth="1"/>
    <col min="31" max="16384" width="9.140625" style="9"/>
  </cols>
  <sheetData>
    <row r="1" spans="1:28" ht="16.5" customHeight="1"/>
    <row r="2" spans="1:28" s="304" customFormat="1" ht="27.75" customHeight="1">
      <c r="A2" s="2609" t="s">
        <v>996</v>
      </c>
      <c r="B2" s="2609"/>
      <c r="C2" s="2609"/>
      <c r="D2" s="2609"/>
      <c r="E2" s="2609"/>
      <c r="F2" s="2598" t="s">
        <v>1074</v>
      </c>
      <c r="G2" s="2598"/>
      <c r="H2" s="813"/>
      <c r="I2" s="2598" t="s">
        <v>829</v>
      </c>
      <c r="J2" s="2598"/>
      <c r="K2" s="2598"/>
      <c r="L2" s="2598"/>
      <c r="M2" s="2598"/>
      <c r="N2" s="2598"/>
      <c r="O2" s="2602" t="s">
        <v>798</v>
      </c>
      <c r="P2" s="2602"/>
      <c r="Q2" s="2602"/>
      <c r="R2" s="2598" t="s">
        <v>1074</v>
      </c>
      <c r="S2" s="2598"/>
      <c r="T2" s="2609" t="s">
        <v>797</v>
      </c>
      <c r="U2" s="2609"/>
      <c r="V2" s="2609"/>
      <c r="W2" s="2609"/>
      <c r="X2" s="2609"/>
      <c r="Y2" s="2609"/>
      <c r="Z2" s="2598" t="s">
        <v>1075</v>
      </c>
      <c r="AA2" s="2598"/>
      <c r="AB2" s="2598"/>
    </row>
    <row r="3" spans="1:28" s="40" customFormat="1" ht="21.75" customHeight="1">
      <c r="A3" s="2610" t="s">
        <v>798</v>
      </c>
      <c r="B3" s="2610"/>
      <c r="C3" s="2610"/>
      <c r="D3" s="2610"/>
      <c r="E3" s="2610"/>
      <c r="F3" s="2606" t="s">
        <v>24</v>
      </c>
      <c r="G3" s="2606"/>
      <c r="H3" s="68"/>
      <c r="K3" s="65"/>
      <c r="L3" s="65"/>
      <c r="M3" s="2599"/>
      <c r="N3" s="2599"/>
      <c r="O3" s="116"/>
      <c r="P3" s="116"/>
      <c r="R3" s="2599" t="s">
        <v>24</v>
      </c>
      <c r="S3" s="2599"/>
      <c r="T3" s="2601" t="s">
        <v>997</v>
      </c>
      <c r="U3" s="2601"/>
      <c r="V3" s="2601"/>
      <c r="W3" s="2601"/>
      <c r="X3" s="2601"/>
      <c r="Y3" s="2601"/>
      <c r="Z3" s="2601"/>
      <c r="AA3" s="2599" t="s">
        <v>24</v>
      </c>
      <c r="AB3" s="2599"/>
    </row>
    <row r="4" spans="1:28" s="134" customFormat="1" ht="16.5" customHeight="1">
      <c r="A4" s="2607" t="s">
        <v>481</v>
      </c>
      <c r="B4" s="2608" t="s">
        <v>796</v>
      </c>
      <c r="C4" s="2608"/>
      <c r="D4" s="2608"/>
      <c r="E4" s="2608"/>
      <c r="F4" s="2608"/>
      <c r="G4" s="2608"/>
      <c r="H4" s="2363" t="s">
        <v>481</v>
      </c>
      <c r="I4" s="2480" t="s">
        <v>832</v>
      </c>
      <c r="J4" s="2603"/>
      <c r="K4" s="2603"/>
      <c r="L4" s="2603"/>
      <c r="M4" s="2603"/>
      <c r="N4" s="2603"/>
      <c r="O4" s="2603"/>
      <c r="P4" s="2603"/>
      <c r="Q4" s="2603"/>
      <c r="R4" s="2604"/>
      <c r="S4" s="2363" t="s">
        <v>481</v>
      </c>
      <c r="T4" s="2592" t="s">
        <v>481</v>
      </c>
      <c r="U4" s="2480" t="s">
        <v>75</v>
      </c>
      <c r="V4" s="2603"/>
      <c r="W4" s="2603"/>
      <c r="X4" s="2604"/>
      <c r="Y4" s="2603" t="s">
        <v>76</v>
      </c>
      <c r="Z4" s="2603"/>
      <c r="AA4" s="2603"/>
      <c r="AB4" s="2604"/>
    </row>
    <row r="5" spans="1:28" s="118" customFormat="1" ht="12.75" customHeight="1">
      <c r="A5" s="2364"/>
      <c r="B5" s="2605" t="s">
        <v>799</v>
      </c>
      <c r="C5" s="2605"/>
      <c r="D5" s="2605"/>
      <c r="E5" s="2605"/>
      <c r="F5" s="2594" t="s">
        <v>828</v>
      </c>
      <c r="G5" s="2594"/>
      <c r="H5" s="2364"/>
      <c r="I5" s="2360" t="s">
        <v>828</v>
      </c>
      <c r="J5" s="2596"/>
      <c r="K5" s="2605" t="s">
        <v>143</v>
      </c>
      <c r="L5" s="2605"/>
      <c r="M5" s="2605"/>
      <c r="N5" s="2605"/>
      <c r="O5" s="2360" t="s">
        <v>477</v>
      </c>
      <c r="P5" s="2596"/>
      <c r="Q5" s="2596"/>
      <c r="R5" s="2597"/>
      <c r="S5" s="2364"/>
      <c r="T5" s="2592"/>
      <c r="U5" s="2392" t="s">
        <v>781</v>
      </c>
      <c r="V5" s="2392" t="s">
        <v>1160</v>
      </c>
      <c r="W5" s="2392" t="s">
        <v>758</v>
      </c>
      <c r="X5" s="2392" t="s">
        <v>77</v>
      </c>
      <c r="Y5" s="2392" t="s">
        <v>782</v>
      </c>
      <c r="Z5" s="2600" t="s">
        <v>74</v>
      </c>
      <c r="AA5" s="2392" t="s">
        <v>29</v>
      </c>
      <c r="AB5" s="2614" t="s">
        <v>760</v>
      </c>
    </row>
    <row r="6" spans="1:28" s="79" customFormat="1" ht="25.5" customHeight="1">
      <c r="A6" s="2365"/>
      <c r="B6" s="804" t="s">
        <v>73</v>
      </c>
      <c r="C6" s="804" t="s">
        <v>74</v>
      </c>
      <c r="D6" s="804" t="s">
        <v>29</v>
      </c>
      <c r="E6" s="804" t="s">
        <v>755</v>
      </c>
      <c r="F6" s="804" t="s">
        <v>73</v>
      </c>
      <c r="G6" s="804" t="s">
        <v>74</v>
      </c>
      <c r="H6" s="2365"/>
      <c r="I6" s="804" t="s">
        <v>780</v>
      </c>
      <c r="J6" s="804" t="s">
        <v>756</v>
      </c>
      <c r="K6" s="804" t="s">
        <v>759</v>
      </c>
      <c r="L6" s="804" t="s">
        <v>74</v>
      </c>
      <c r="M6" s="804" t="s">
        <v>29</v>
      </c>
      <c r="N6" s="804" t="s">
        <v>779</v>
      </c>
      <c r="O6" s="804" t="s">
        <v>800</v>
      </c>
      <c r="P6" s="804" t="s">
        <v>74</v>
      </c>
      <c r="Q6" s="804" t="s">
        <v>757</v>
      </c>
      <c r="R6" s="804" t="s">
        <v>833</v>
      </c>
      <c r="S6" s="2365"/>
      <c r="T6" s="2592"/>
      <c r="U6" s="2392"/>
      <c r="V6" s="2392"/>
      <c r="W6" s="2392"/>
      <c r="X6" s="2392"/>
      <c r="Y6" s="2392"/>
      <c r="Z6" s="2398"/>
      <c r="AA6" s="2392"/>
      <c r="AB6" s="2614"/>
    </row>
    <row r="7" spans="1:28" s="54" customFormat="1" ht="13.5" customHeight="1">
      <c r="A7" s="133">
        <v>1993</v>
      </c>
      <c r="B7" s="135">
        <v>1738.3</v>
      </c>
      <c r="C7" s="135">
        <v>1769.7</v>
      </c>
      <c r="D7" s="135">
        <v>-31.9</v>
      </c>
      <c r="E7" s="133">
        <v>64492</v>
      </c>
      <c r="F7" s="135">
        <v>195.1</v>
      </c>
      <c r="G7" s="135">
        <v>91.85</v>
      </c>
      <c r="H7" s="133">
        <v>1993</v>
      </c>
      <c r="I7" s="135">
        <v>54.36</v>
      </c>
      <c r="J7" s="133">
        <v>826</v>
      </c>
      <c r="K7" s="135">
        <v>835.92</v>
      </c>
      <c r="L7" s="135">
        <v>813.51</v>
      </c>
      <c r="M7" s="135">
        <v>3.23</v>
      </c>
      <c r="N7" s="133">
        <v>18276</v>
      </c>
      <c r="O7" s="135">
        <v>2769.32</v>
      </c>
      <c r="P7" s="135">
        <v>2675.06</v>
      </c>
      <c r="Q7" s="135">
        <v>25.69</v>
      </c>
      <c r="R7" s="133">
        <v>83594</v>
      </c>
      <c r="S7" s="133">
        <v>1993</v>
      </c>
      <c r="T7" s="78" t="s">
        <v>542</v>
      </c>
      <c r="U7" s="135">
        <v>665.13</v>
      </c>
      <c r="V7" s="135">
        <v>188.71</v>
      </c>
      <c r="W7" s="135">
        <v>476.42</v>
      </c>
      <c r="X7" s="133">
        <v>6435</v>
      </c>
      <c r="Y7" s="135">
        <v>186.68</v>
      </c>
      <c r="Z7" s="135">
        <v>511.26</v>
      </c>
      <c r="AA7" s="135">
        <v>-330.69</v>
      </c>
      <c r="AB7" s="133">
        <v>16871</v>
      </c>
    </row>
    <row r="8" spans="1:28" s="54" customFormat="1" ht="13.5" customHeight="1">
      <c r="A8" s="284">
        <v>1994</v>
      </c>
      <c r="B8" s="285">
        <v>1702.56</v>
      </c>
      <c r="C8" s="285">
        <v>1683.24</v>
      </c>
      <c r="D8" s="285">
        <v>18.82</v>
      </c>
      <c r="E8" s="284">
        <v>63804</v>
      </c>
      <c r="F8" s="285">
        <v>242.36</v>
      </c>
      <c r="G8" s="285">
        <v>105.74</v>
      </c>
      <c r="H8" s="284">
        <v>1994</v>
      </c>
      <c r="I8" s="285">
        <v>68.319999999999993</v>
      </c>
      <c r="J8" s="284">
        <v>888</v>
      </c>
      <c r="K8" s="285">
        <v>851.89</v>
      </c>
      <c r="L8" s="285">
        <v>801.25</v>
      </c>
      <c r="M8" s="285">
        <v>14.8</v>
      </c>
      <c r="N8" s="284">
        <v>18794</v>
      </c>
      <c r="O8" s="285">
        <v>2796.81</v>
      </c>
      <c r="P8" s="285">
        <v>2590.23</v>
      </c>
      <c r="Q8" s="285">
        <v>101.94</v>
      </c>
      <c r="R8" s="284">
        <v>83486</v>
      </c>
      <c r="S8" s="284">
        <v>1994</v>
      </c>
      <c r="T8" s="286" t="s">
        <v>543</v>
      </c>
      <c r="U8" s="285">
        <v>838.06</v>
      </c>
      <c r="V8" s="285">
        <v>239.33</v>
      </c>
      <c r="W8" s="285">
        <v>598.73</v>
      </c>
      <c r="X8" s="284">
        <v>6345</v>
      </c>
      <c r="Y8" s="285">
        <v>310.63</v>
      </c>
      <c r="Z8" s="285">
        <v>617.73</v>
      </c>
      <c r="AA8" s="285">
        <v>-307.10000000000002</v>
      </c>
      <c r="AB8" s="284">
        <v>16856</v>
      </c>
    </row>
    <row r="9" spans="1:28" s="54" customFormat="1" ht="13.5" customHeight="1">
      <c r="A9" s="133">
        <v>1995</v>
      </c>
      <c r="B9" s="135">
        <v>1982.08</v>
      </c>
      <c r="C9" s="135">
        <v>1869.11</v>
      </c>
      <c r="D9" s="135">
        <v>112.37</v>
      </c>
      <c r="E9" s="133">
        <v>63803</v>
      </c>
      <c r="F9" s="135">
        <v>335.65</v>
      </c>
      <c r="G9" s="135">
        <v>151.38999999999999</v>
      </c>
      <c r="H9" s="133">
        <v>1995</v>
      </c>
      <c r="I9" s="135">
        <v>90.76</v>
      </c>
      <c r="J9" s="133">
        <v>966</v>
      </c>
      <c r="K9" s="135">
        <v>943.89</v>
      </c>
      <c r="L9" s="135">
        <v>831.99</v>
      </c>
      <c r="M9" s="135">
        <v>56.56</v>
      </c>
      <c r="N9" s="133">
        <v>20083</v>
      </c>
      <c r="O9" s="135">
        <v>3261.62</v>
      </c>
      <c r="P9" s="135">
        <v>2964.39</v>
      </c>
      <c r="Q9" s="135">
        <v>259.69</v>
      </c>
      <c r="R9" s="133">
        <v>84852</v>
      </c>
      <c r="S9" s="133">
        <v>1995</v>
      </c>
      <c r="T9" s="78" t="s">
        <v>544</v>
      </c>
      <c r="U9" s="135">
        <v>840.64</v>
      </c>
      <c r="V9" s="135">
        <v>310.44</v>
      </c>
      <c r="W9" s="135">
        <v>530.20000000000005</v>
      </c>
      <c r="X9" s="133">
        <v>6281</v>
      </c>
      <c r="Y9" s="135">
        <v>235.97</v>
      </c>
      <c r="Z9" s="135">
        <v>528.04</v>
      </c>
      <c r="AA9" s="135">
        <v>-292.07</v>
      </c>
      <c r="AB9" s="133">
        <v>16459</v>
      </c>
    </row>
    <row r="10" spans="1:28" s="54" customFormat="1" ht="13.5" customHeight="1">
      <c r="A10" s="284">
        <v>1996</v>
      </c>
      <c r="B10" s="285">
        <v>2249.11</v>
      </c>
      <c r="C10" s="285">
        <v>2220.5</v>
      </c>
      <c r="D10" s="285">
        <v>28.11</v>
      </c>
      <c r="E10" s="284">
        <v>63731</v>
      </c>
      <c r="F10" s="285">
        <v>408.46</v>
      </c>
      <c r="G10" s="285">
        <v>221.73</v>
      </c>
      <c r="H10" s="284">
        <v>1996</v>
      </c>
      <c r="I10" s="285">
        <v>98.72</v>
      </c>
      <c r="J10" s="284">
        <v>1016</v>
      </c>
      <c r="K10" s="285">
        <v>1132.23</v>
      </c>
      <c r="L10" s="285">
        <v>939.75</v>
      </c>
      <c r="M10" s="285">
        <v>131.49</v>
      </c>
      <c r="N10" s="284">
        <v>21140</v>
      </c>
      <c r="O10" s="285">
        <v>3789.8</v>
      </c>
      <c r="P10" s="285">
        <v>3381.98</v>
      </c>
      <c r="Q10" s="285">
        <v>258.32</v>
      </c>
      <c r="R10" s="284">
        <v>85887</v>
      </c>
      <c r="S10" s="284">
        <v>1996</v>
      </c>
      <c r="T10" s="286" t="s">
        <v>545</v>
      </c>
      <c r="U10" s="285">
        <v>936.03</v>
      </c>
      <c r="V10" s="285">
        <v>301.69</v>
      </c>
      <c r="W10" s="285">
        <v>634.34</v>
      </c>
      <c r="X10" s="284">
        <v>6215</v>
      </c>
      <c r="Y10" s="285">
        <v>410.88</v>
      </c>
      <c r="Z10" s="285">
        <v>615.38</v>
      </c>
      <c r="AA10" s="285">
        <v>-204.5</v>
      </c>
      <c r="AB10" s="284">
        <v>16273</v>
      </c>
    </row>
    <row r="11" spans="1:28" s="54" customFormat="1" ht="13.5" customHeight="1">
      <c r="A11" s="133">
        <v>1997</v>
      </c>
      <c r="B11" s="135">
        <v>2574.08</v>
      </c>
      <c r="C11" s="135">
        <v>2556.81</v>
      </c>
      <c r="D11" s="135">
        <v>16.77</v>
      </c>
      <c r="E11" s="133">
        <v>62723</v>
      </c>
      <c r="F11" s="135">
        <v>564.1</v>
      </c>
      <c r="G11" s="135">
        <v>335.64</v>
      </c>
      <c r="H11" s="133">
        <v>1997</v>
      </c>
      <c r="I11" s="135">
        <v>134.21</v>
      </c>
      <c r="J11" s="133">
        <v>1125</v>
      </c>
      <c r="K11" s="135">
        <v>1414.22</v>
      </c>
      <c r="L11" s="135">
        <v>1180.04</v>
      </c>
      <c r="M11" s="135">
        <v>144.47999999999999</v>
      </c>
      <c r="N11" s="133">
        <v>22194</v>
      </c>
      <c r="O11" s="135">
        <v>4552.3999999999996</v>
      </c>
      <c r="P11" s="135">
        <v>4072.49</v>
      </c>
      <c r="Q11" s="135">
        <v>295.45999999999998</v>
      </c>
      <c r="R11" s="133">
        <v>86042</v>
      </c>
      <c r="S11" s="133">
        <v>1997</v>
      </c>
      <c r="T11" s="78" t="s">
        <v>546</v>
      </c>
      <c r="U11" s="135">
        <v>1059.3900000000001</v>
      </c>
      <c r="V11" s="135">
        <v>288.75</v>
      </c>
      <c r="W11" s="135">
        <v>770.64</v>
      </c>
      <c r="X11" s="133">
        <v>6129</v>
      </c>
      <c r="Y11" s="135">
        <v>440.48</v>
      </c>
      <c r="Z11" s="135">
        <v>701.5</v>
      </c>
      <c r="AA11" s="135">
        <v>-261.02</v>
      </c>
      <c r="AB11" s="133">
        <v>16342</v>
      </c>
    </row>
    <row r="12" spans="1:28" s="54" customFormat="1" ht="13.5" customHeight="1">
      <c r="A12" s="284">
        <v>1998</v>
      </c>
      <c r="B12" s="285">
        <v>2815.17</v>
      </c>
      <c r="C12" s="285">
        <v>2808.69</v>
      </c>
      <c r="D12" s="285">
        <v>-5.98</v>
      </c>
      <c r="E12" s="284">
        <v>63583</v>
      </c>
      <c r="F12" s="285">
        <v>585.59</v>
      </c>
      <c r="G12" s="285">
        <v>326.62</v>
      </c>
      <c r="H12" s="284">
        <v>1998</v>
      </c>
      <c r="I12" s="285">
        <v>149.43</v>
      </c>
      <c r="J12" s="284">
        <v>1262</v>
      </c>
      <c r="K12" s="285">
        <v>1696.46</v>
      </c>
      <c r="L12" s="285">
        <v>1457.83</v>
      </c>
      <c r="M12" s="285">
        <v>158.35</v>
      </c>
      <c r="N12" s="284">
        <v>22893</v>
      </c>
      <c r="O12" s="285">
        <v>5097.22</v>
      </c>
      <c r="P12" s="285">
        <v>4593.1400000000003</v>
      </c>
      <c r="Q12" s="285">
        <v>301.8</v>
      </c>
      <c r="R12" s="284">
        <v>87738</v>
      </c>
      <c r="S12" s="284">
        <v>1998</v>
      </c>
      <c r="T12" s="286" t="s">
        <v>547</v>
      </c>
      <c r="U12" s="285">
        <v>1171.56</v>
      </c>
      <c r="V12" s="285">
        <v>384.7</v>
      </c>
      <c r="W12" s="285">
        <v>786.86</v>
      </c>
      <c r="X12" s="284">
        <v>6178</v>
      </c>
      <c r="Y12" s="285">
        <v>492.91</v>
      </c>
      <c r="Z12" s="285">
        <v>766.77</v>
      </c>
      <c r="AA12" s="285">
        <v>-296.7</v>
      </c>
      <c r="AB12" s="284">
        <v>16114</v>
      </c>
    </row>
    <row r="13" spans="1:28" s="54" customFormat="1" ht="13.5" customHeight="1">
      <c r="A13" s="133">
        <v>1999</v>
      </c>
      <c r="B13" s="135">
        <v>3161.26</v>
      </c>
      <c r="C13" s="135">
        <v>3164.79</v>
      </c>
      <c r="D13" s="135">
        <v>-16.66</v>
      </c>
      <c r="E13" s="133">
        <v>62419</v>
      </c>
      <c r="F13" s="135">
        <v>713.65</v>
      </c>
      <c r="G13" s="135">
        <v>447.39</v>
      </c>
      <c r="H13" s="133">
        <v>1999</v>
      </c>
      <c r="I13" s="135">
        <v>149.69999999999999</v>
      </c>
      <c r="J13" s="133">
        <v>1311</v>
      </c>
      <c r="K13" s="135">
        <v>2094.5100000000002</v>
      </c>
      <c r="L13" s="135">
        <v>1760.92</v>
      </c>
      <c r="M13" s="135">
        <v>178.44</v>
      </c>
      <c r="N13" s="133">
        <v>24281</v>
      </c>
      <c r="O13" s="135">
        <v>5969.42</v>
      </c>
      <c r="P13" s="135">
        <v>5373.1</v>
      </c>
      <c r="Q13" s="135">
        <v>311.48</v>
      </c>
      <c r="R13" s="133">
        <v>88011</v>
      </c>
      <c r="S13" s="133">
        <v>1999</v>
      </c>
      <c r="T13" s="78" t="s">
        <v>548</v>
      </c>
      <c r="U13" s="135">
        <v>1159.3499999999999</v>
      </c>
      <c r="V13" s="135">
        <v>363.37</v>
      </c>
      <c r="W13" s="135">
        <v>795.98</v>
      </c>
      <c r="X13" s="133">
        <v>6061</v>
      </c>
      <c r="Y13" s="135">
        <v>598.45000000000005</v>
      </c>
      <c r="Z13" s="135">
        <v>766</v>
      </c>
      <c r="AA13" s="135">
        <v>-532.37</v>
      </c>
      <c r="AB13" s="133">
        <v>16036</v>
      </c>
    </row>
    <row r="14" spans="1:28" s="54" customFormat="1" ht="13.5" customHeight="1">
      <c r="A14" s="284">
        <v>2000</v>
      </c>
      <c r="B14" s="285">
        <v>3726.27</v>
      </c>
      <c r="C14" s="285">
        <v>3532.16</v>
      </c>
      <c r="D14" s="285">
        <v>24.58</v>
      </c>
      <c r="E14" s="284">
        <v>62091</v>
      </c>
      <c r="F14" s="285">
        <v>967.5</v>
      </c>
      <c r="G14" s="285">
        <v>548.08000000000004</v>
      </c>
      <c r="H14" s="284">
        <v>2000</v>
      </c>
      <c r="I14" s="285">
        <v>220.46</v>
      </c>
      <c r="J14" s="284">
        <v>1280</v>
      </c>
      <c r="K14" s="285">
        <v>3267.62</v>
      </c>
      <c r="L14" s="285">
        <v>2462.09</v>
      </c>
      <c r="M14" s="285">
        <v>309.97000000000003</v>
      </c>
      <c r="N14" s="284">
        <v>25975</v>
      </c>
      <c r="O14" s="285">
        <v>7961.39</v>
      </c>
      <c r="P14" s="285">
        <v>6542.33</v>
      </c>
      <c r="Q14" s="285">
        <v>555.01</v>
      </c>
      <c r="R14" s="284">
        <v>89346</v>
      </c>
      <c r="S14" s="284">
        <v>2000</v>
      </c>
      <c r="T14" s="286" t="s">
        <v>549</v>
      </c>
      <c r="U14" s="285">
        <v>1172.58</v>
      </c>
      <c r="V14" s="285">
        <v>456.64</v>
      </c>
      <c r="W14" s="285">
        <v>715.95</v>
      </c>
      <c r="X14" s="284">
        <v>5926</v>
      </c>
      <c r="Y14" s="285">
        <v>820.34</v>
      </c>
      <c r="Z14" s="285">
        <v>736.36</v>
      </c>
      <c r="AA14" s="285">
        <v>79.81</v>
      </c>
      <c r="AB14" s="284">
        <v>16164</v>
      </c>
    </row>
    <row r="15" spans="1:28" s="54" customFormat="1" ht="13.5" customHeight="1">
      <c r="A15" s="133">
        <v>2001</v>
      </c>
      <c r="B15" s="135">
        <v>3878.16</v>
      </c>
      <c r="C15" s="135">
        <v>3735.96</v>
      </c>
      <c r="D15" s="135">
        <v>38.24</v>
      </c>
      <c r="E15" s="133">
        <v>61325</v>
      </c>
      <c r="F15" s="135">
        <v>1068.9100000000001</v>
      </c>
      <c r="G15" s="135">
        <v>588.16999999999996</v>
      </c>
      <c r="H15" s="133">
        <v>2001</v>
      </c>
      <c r="I15" s="135">
        <v>259.81</v>
      </c>
      <c r="J15" s="133">
        <v>1588</v>
      </c>
      <c r="K15" s="135">
        <v>4321</v>
      </c>
      <c r="L15" s="135">
        <v>3126</v>
      </c>
      <c r="M15" s="135">
        <v>514.48</v>
      </c>
      <c r="N15" s="133">
        <v>28068</v>
      </c>
      <c r="O15" s="135">
        <v>9268.07</v>
      </c>
      <c r="P15" s="135">
        <v>7450.13</v>
      </c>
      <c r="Q15" s="135">
        <v>812.53</v>
      </c>
      <c r="R15" s="133">
        <v>90981</v>
      </c>
      <c r="S15" s="133">
        <v>2001</v>
      </c>
      <c r="T15" s="78" t="s">
        <v>550</v>
      </c>
      <c r="U15" s="135">
        <v>1133.1500000000001</v>
      </c>
      <c r="V15" s="135">
        <v>183.34</v>
      </c>
      <c r="W15" s="135">
        <v>949.41</v>
      </c>
      <c r="X15" s="133">
        <v>5769</v>
      </c>
      <c r="Y15" s="135">
        <v>636.39</v>
      </c>
      <c r="Z15" s="135">
        <v>748.34</v>
      </c>
      <c r="AA15" s="135">
        <v>-114.64</v>
      </c>
      <c r="AB15" s="133">
        <v>16475</v>
      </c>
    </row>
    <row r="16" spans="1:28" s="54" customFormat="1" ht="13.5" customHeight="1">
      <c r="A16" s="284">
        <v>2002</v>
      </c>
      <c r="B16" s="285">
        <v>3665.52</v>
      </c>
      <c r="C16" s="285">
        <v>3420.35</v>
      </c>
      <c r="D16" s="285">
        <v>19.88</v>
      </c>
      <c r="E16" s="284">
        <v>60169</v>
      </c>
      <c r="F16" s="285">
        <v>1061.9000000000001</v>
      </c>
      <c r="G16" s="285">
        <v>570.79</v>
      </c>
      <c r="H16" s="284">
        <v>2002</v>
      </c>
      <c r="I16" s="285">
        <v>224.08</v>
      </c>
      <c r="J16" s="284">
        <v>1305</v>
      </c>
      <c r="K16" s="285">
        <v>5021.55</v>
      </c>
      <c r="L16" s="285">
        <v>3930.87</v>
      </c>
      <c r="M16" s="285">
        <v>458.79</v>
      </c>
      <c r="N16" s="284">
        <v>28336</v>
      </c>
      <c r="O16" s="285">
        <v>9748.9699999999993</v>
      </c>
      <c r="P16" s="285">
        <v>7922.01</v>
      </c>
      <c r="Q16" s="285">
        <v>702.75</v>
      </c>
      <c r="R16" s="284">
        <v>89810</v>
      </c>
      <c r="S16" s="284">
        <v>2002</v>
      </c>
      <c r="T16" s="286" t="s">
        <v>551</v>
      </c>
      <c r="U16" s="285">
        <v>1725.62</v>
      </c>
      <c r="V16" s="285">
        <v>365.57</v>
      </c>
      <c r="W16" s="285">
        <v>760.05</v>
      </c>
      <c r="X16" s="284">
        <v>5576</v>
      </c>
      <c r="Y16" s="285">
        <v>738.53</v>
      </c>
      <c r="Z16" s="285">
        <v>768.85</v>
      </c>
      <c r="AA16" s="285">
        <v>-24.32</v>
      </c>
      <c r="AB16" s="284">
        <v>15837</v>
      </c>
    </row>
    <row r="17" spans="1:28" s="54" customFormat="1" ht="13.5" customHeight="1">
      <c r="A17" s="133">
        <v>2003</v>
      </c>
      <c r="B17" s="135">
        <v>4165.22</v>
      </c>
      <c r="C17" s="135">
        <v>3860.79</v>
      </c>
      <c r="D17" s="135">
        <v>68.209999999999994</v>
      </c>
      <c r="E17" s="133">
        <v>58629</v>
      </c>
      <c r="F17" s="135">
        <v>772.93</v>
      </c>
      <c r="G17" s="135">
        <v>252.27</v>
      </c>
      <c r="H17" s="133">
        <v>2003</v>
      </c>
      <c r="I17" s="135">
        <v>276.44</v>
      </c>
      <c r="J17" s="133">
        <v>1409</v>
      </c>
      <c r="K17" s="135">
        <v>5921.25</v>
      </c>
      <c r="L17" s="135">
        <v>4543.82</v>
      </c>
      <c r="M17" s="135">
        <v>475.59</v>
      </c>
      <c r="N17" s="133">
        <v>32576</v>
      </c>
      <c r="O17" s="135">
        <v>10859.4</v>
      </c>
      <c r="P17" s="135">
        <v>8656.8799999999992</v>
      </c>
      <c r="Q17" s="135">
        <v>820.24</v>
      </c>
      <c r="R17" s="133">
        <v>92614</v>
      </c>
      <c r="S17" s="133">
        <v>2003</v>
      </c>
      <c r="T17" s="78" t="s">
        <v>552</v>
      </c>
      <c r="U17" s="135">
        <v>2100.69</v>
      </c>
      <c r="V17" s="135">
        <v>1161.21</v>
      </c>
      <c r="W17" s="135">
        <v>939.48</v>
      </c>
      <c r="X17" s="133">
        <v>5461</v>
      </c>
      <c r="Y17" s="135">
        <v>693.26</v>
      </c>
      <c r="Z17" s="135">
        <v>773.15</v>
      </c>
      <c r="AA17" s="135">
        <v>-87.89</v>
      </c>
      <c r="AB17" s="133">
        <v>15300</v>
      </c>
    </row>
    <row r="18" spans="1:28" s="54" customFormat="1" ht="13.5" customHeight="1">
      <c r="A18" s="284">
        <v>2004</v>
      </c>
      <c r="B18" s="285">
        <v>4008.46</v>
      </c>
      <c r="C18" s="285">
        <v>3693.77</v>
      </c>
      <c r="D18" s="285">
        <v>-1904.72</v>
      </c>
      <c r="E18" s="284">
        <v>57588</v>
      </c>
      <c r="F18" s="285">
        <v>1294.25</v>
      </c>
      <c r="G18" s="285">
        <v>640.37</v>
      </c>
      <c r="H18" s="284">
        <v>2004</v>
      </c>
      <c r="I18" s="285">
        <v>392.01</v>
      </c>
      <c r="J18" s="284">
        <v>1394</v>
      </c>
      <c r="K18" s="285">
        <v>7305.97</v>
      </c>
      <c r="L18" s="285">
        <v>5293.89</v>
      </c>
      <c r="M18" s="285">
        <v>736.49</v>
      </c>
      <c r="N18" s="284">
        <v>34786</v>
      </c>
      <c r="O18" s="285">
        <v>12608.68</v>
      </c>
      <c r="P18" s="285">
        <v>9628.0300000000007</v>
      </c>
      <c r="Q18" s="285">
        <v>-776.22</v>
      </c>
      <c r="R18" s="284">
        <v>93768</v>
      </c>
      <c r="S18" s="284">
        <v>2004</v>
      </c>
      <c r="T18" s="286" t="s">
        <v>553</v>
      </c>
      <c r="U18" s="285">
        <v>2415.7800000000002</v>
      </c>
      <c r="V18" s="285">
        <v>523.91</v>
      </c>
      <c r="W18" s="285">
        <v>1891.87</v>
      </c>
      <c r="X18" s="284">
        <v>5596</v>
      </c>
      <c r="Y18" s="285">
        <v>646.38</v>
      </c>
      <c r="Z18" s="285">
        <v>854.92</v>
      </c>
      <c r="AA18" s="285">
        <v>-240.68</v>
      </c>
      <c r="AB18" s="284">
        <v>14350</v>
      </c>
    </row>
    <row r="19" spans="1:28" s="54" customFormat="1" ht="13.5" customHeight="1">
      <c r="A19" s="133">
        <v>2005</v>
      </c>
      <c r="B19" s="135">
        <v>4836.34</v>
      </c>
      <c r="C19" s="135">
        <v>3814.7</v>
      </c>
      <c r="D19" s="135">
        <v>-1209.4100000000001</v>
      </c>
      <c r="E19" s="133">
        <v>56417</v>
      </c>
      <c r="F19" s="135">
        <v>1367.59</v>
      </c>
      <c r="G19" s="135">
        <v>529.5</v>
      </c>
      <c r="H19" s="133">
        <v>2005</v>
      </c>
      <c r="I19" s="135">
        <v>470.18</v>
      </c>
      <c r="J19" s="133">
        <v>1713</v>
      </c>
      <c r="K19" s="135">
        <v>9140.17</v>
      </c>
      <c r="L19" s="135">
        <v>6599.97</v>
      </c>
      <c r="M19" s="135">
        <v>954.71</v>
      </c>
      <c r="N19" s="133">
        <v>36715</v>
      </c>
      <c r="O19" s="135">
        <v>15344.1</v>
      </c>
      <c r="P19" s="135">
        <v>10944.17</v>
      </c>
      <c r="Q19" s="135">
        <v>215.48</v>
      </c>
      <c r="R19" s="133">
        <v>94845</v>
      </c>
      <c r="S19" s="133">
        <v>2005</v>
      </c>
      <c r="T19" s="78" t="s">
        <v>558</v>
      </c>
      <c r="U19" s="135">
        <v>3621.5</v>
      </c>
      <c r="V19" s="135">
        <v>1217.48</v>
      </c>
      <c r="W19" s="135">
        <f>U19-V19</f>
        <v>2404.02</v>
      </c>
      <c r="X19" s="133">
        <v>5481</v>
      </c>
      <c r="Y19" s="135">
        <v>1026.0899999999999</v>
      </c>
      <c r="Z19" s="135">
        <v>1088.9000000000001</v>
      </c>
      <c r="AA19" s="135">
        <v>-123</v>
      </c>
      <c r="AB19" s="133">
        <v>15406</v>
      </c>
    </row>
    <row r="20" spans="1:28" s="54" customFormat="1" ht="13.5" customHeight="1">
      <c r="A20" s="284">
        <v>2006</v>
      </c>
      <c r="B20" s="284">
        <v>5657.36</v>
      </c>
      <c r="C20" s="284">
        <v>4551.7700000000004</v>
      </c>
      <c r="D20" s="284">
        <v>-4415.92</v>
      </c>
      <c r="E20" s="284">
        <v>54591</v>
      </c>
      <c r="F20" s="285">
        <v>2372</v>
      </c>
      <c r="G20" s="284">
        <v>988.01</v>
      </c>
      <c r="H20" s="284">
        <v>2006</v>
      </c>
      <c r="I20" s="284">
        <v>624.12</v>
      </c>
      <c r="J20" s="284">
        <v>2384</v>
      </c>
      <c r="K20" s="284">
        <v>12757.48</v>
      </c>
      <c r="L20" s="284">
        <v>9400.6200000000008</v>
      </c>
      <c r="M20" s="284">
        <v>931.54</v>
      </c>
      <c r="N20" s="284">
        <v>42512</v>
      </c>
      <c r="O20" s="284">
        <v>20786.84</v>
      </c>
      <c r="P20" s="285">
        <v>14940.4</v>
      </c>
      <c r="Q20" s="284">
        <v>-2860.26</v>
      </c>
      <c r="R20" s="284">
        <v>99487</v>
      </c>
      <c r="S20" s="284">
        <v>2006</v>
      </c>
      <c r="T20" s="287" t="s">
        <v>567</v>
      </c>
      <c r="U20" s="288">
        <v>4279.41</v>
      </c>
      <c r="V20" s="288">
        <v>818.83</v>
      </c>
      <c r="W20" s="288">
        <v>3460.58</v>
      </c>
      <c r="X20" s="288">
        <v>5402</v>
      </c>
      <c r="Y20" s="289">
        <v>1234.32</v>
      </c>
      <c r="Z20" s="288">
        <v>1251.53</v>
      </c>
      <c r="AA20" s="289">
        <v>-143.62</v>
      </c>
      <c r="AB20" s="288">
        <v>15515</v>
      </c>
    </row>
    <row r="21" spans="1:28" s="54" customFormat="1" ht="13.5" customHeight="1">
      <c r="A21" s="133">
        <v>2007</v>
      </c>
      <c r="B21" s="133">
        <v>4713.37</v>
      </c>
      <c r="C21" s="133">
        <v>3243.54</v>
      </c>
      <c r="D21" s="135">
        <v>-809.1</v>
      </c>
      <c r="E21" s="133">
        <v>52177</v>
      </c>
      <c r="F21" s="135">
        <v>2656.66</v>
      </c>
      <c r="G21" s="133">
        <v>1266.5899999999999</v>
      </c>
      <c r="H21" s="133">
        <v>2007</v>
      </c>
      <c r="I21" s="133">
        <v>723.33</v>
      </c>
      <c r="J21" s="133">
        <v>2388</v>
      </c>
      <c r="K21" s="133">
        <v>16256.55</v>
      </c>
      <c r="L21" s="133">
        <v>11380.48</v>
      </c>
      <c r="M21" s="133">
        <v>1995.75</v>
      </c>
      <c r="N21" s="133">
        <v>45074</v>
      </c>
      <c r="O21" s="135">
        <v>23392.9</v>
      </c>
      <c r="P21" s="135">
        <v>15872.78</v>
      </c>
      <c r="Q21" s="133">
        <v>1909.98</v>
      </c>
      <c r="R21" s="133">
        <v>99639</v>
      </c>
      <c r="S21" s="133">
        <v>2007</v>
      </c>
      <c r="T21" s="54" t="s">
        <v>330</v>
      </c>
      <c r="U21" s="137">
        <v>4062.03</v>
      </c>
      <c r="V21" s="136">
        <v>909.2</v>
      </c>
      <c r="W21" s="137">
        <v>3152.83</v>
      </c>
      <c r="X21" s="137">
        <f>4031+1273</f>
        <v>5304</v>
      </c>
      <c r="Y21" s="137">
        <v>1472.26</v>
      </c>
      <c r="Z21" s="137">
        <v>1497.07</v>
      </c>
      <c r="AA21" s="137">
        <v>-167.17</v>
      </c>
      <c r="AB21" s="137">
        <v>15400</v>
      </c>
    </row>
    <row r="22" spans="1:28" s="137" customFormat="1" ht="13.5" customHeight="1">
      <c r="A22" s="284">
        <v>2008</v>
      </c>
      <c r="B22" s="284">
        <v>6750.95</v>
      </c>
      <c r="C22" s="284">
        <v>5227.88</v>
      </c>
      <c r="D22" s="284">
        <v>897.68</v>
      </c>
      <c r="E22" s="284">
        <v>53786</v>
      </c>
      <c r="F22" s="285">
        <v>3235.57</v>
      </c>
      <c r="G22" s="285">
        <v>1620.56</v>
      </c>
      <c r="H22" s="284">
        <v>2008</v>
      </c>
      <c r="I22" s="290">
        <v>1138.42</v>
      </c>
      <c r="J22" s="291">
        <v>2384</v>
      </c>
      <c r="K22" s="285">
        <v>21172.7</v>
      </c>
      <c r="L22" s="285">
        <v>14757.53</v>
      </c>
      <c r="M22" s="290">
        <v>2818.66</v>
      </c>
      <c r="N22" s="291">
        <v>46308</v>
      </c>
      <c r="O22" s="285">
        <v>31159.22</v>
      </c>
      <c r="P22" s="285">
        <v>21605.97</v>
      </c>
      <c r="Q22" s="285">
        <v>4854.76</v>
      </c>
      <c r="R22" s="291">
        <v>102478</v>
      </c>
      <c r="S22" s="284">
        <v>2008</v>
      </c>
      <c r="T22" s="287" t="s">
        <v>85</v>
      </c>
      <c r="U22" s="288">
        <v>3088.43</v>
      </c>
      <c r="V22" s="288">
        <v>582.63</v>
      </c>
      <c r="W22" s="289">
        <v>2505.8000000000002</v>
      </c>
      <c r="X22" s="288">
        <v>5259</v>
      </c>
      <c r="Y22" s="289">
        <v>1944.9</v>
      </c>
      <c r="Z22" s="288">
        <v>1685.01</v>
      </c>
      <c r="AA22" s="288">
        <v>40.159999999999997</v>
      </c>
      <c r="AB22" s="288">
        <v>15388</v>
      </c>
    </row>
    <row r="23" spans="1:28" s="137" customFormat="1" ht="13.5" customHeight="1">
      <c r="A23" s="133">
        <v>2009</v>
      </c>
      <c r="B23" s="133">
        <v>8026.68</v>
      </c>
      <c r="C23" s="133">
        <v>6083.51</v>
      </c>
      <c r="D23" s="133">
        <v>931.35</v>
      </c>
      <c r="E23" s="133">
        <v>50600</v>
      </c>
      <c r="F23" s="135">
        <v>2610.9499999999998</v>
      </c>
      <c r="G23" s="135">
        <v>1401.57</v>
      </c>
      <c r="H23" s="133">
        <v>2009</v>
      </c>
      <c r="I23" s="135">
        <v>708.78</v>
      </c>
      <c r="J23" s="142">
        <v>2760</v>
      </c>
      <c r="K23" s="135">
        <v>26262.19</v>
      </c>
      <c r="L23" s="135">
        <v>17911.02</v>
      </c>
      <c r="M23" s="135">
        <v>3947.72</v>
      </c>
      <c r="N23" s="142">
        <v>59874</v>
      </c>
      <c r="O23" s="135">
        <f t="shared" ref="O23:P32" si="0">B23+F23+K23</f>
        <v>36899.82</v>
      </c>
      <c r="P23" s="135">
        <f t="shared" si="0"/>
        <v>25396.1</v>
      </c>
      <c r="Q23" s="135">
        <f t="shared" ref="Q23:R32" si="1">D23+I23+M23</f>
        <v>5587.85</v>
      </c>
      <c r="R23" s="142">
        <f t="shared" si="1"/>
        <v>113234</v>
      </c>
      <c r="S23" s="133">
        <v>2009</v>
      </c>
      <c r="T23" s="54" t="s">
        <v>81</v>
      </c>
      <c r="U23" s="137">
        <v>1926.92</v>
      </c>
      <c r="V23" s="136">
        <v>639.1</v>
      </c>
      <c r="W23" s="136">
        <v>1287.82</v>
      </c>
      <c r="X23" s="137">
        <f>3914+1157</f>
        <v>5071</v>
      </c>
      <c r="Y23" s="137">
        <v>2327.42</v>
      </c>
      <c r="Z23" s="137">
        <v>2053.65</v>
      </c>
      <c r="AA23" s="137">
        <v>105.76</v>
      </c>
      <c r="AB23" s="137">
        <v>15293</v>
      </c>
    </row>
    <row r="24" spans="1:28" s="137" customFormat="1" ht="13.5" customHeight="1">
      <c r="A24" s="284">
        <v>2010</v>
      </c>
      <c r="B24" s="284">
        <v>10260.459999999999</v>
      </c>
      <c r="C24" s="284">
        <v>7163.33</v>
      </c>
      <c r="D24" s="284">
        <v>1176.26</v>
      </c>
      <c r="E24" s="284">
        <v>50069</v>
      </c>
      <c r="F24" s="285">
        <v>2632.77</v>
      </c>
      <c r="G24" s="285">
        <v>1338.96</v>
      </c>
      <c r="H24" s="284">
        <v>2010</v>
      </c>
      <c r="I24" s="285">
        <v>645.62</v>
      </c>
      <c r="J24" s="291">
        <v>3143</v>
      </c>
      <c r="K24" s="285">
        <v>32873.14</v>
      </c>
      <c r="L24" s="285">
        <v>20435.560000000001</v>
      </c>
      <c r="M24" s="285">
        <v>6032.03</v>
      </c>
      <c r="N24" s="291">
        <v>68720</v>
      </c>
      <c r="O24" s="285">
        <f t="shared" si="0"/>
        <v>45766.369999999995</v>
      </c>
      <c r="P24" s="285">
        <f t="shared" si="0"/>
        <v>28937.850000000002</v>
      </c>
      <c r="Q24" s="285">
        <f t="shared" si="1"/>
        <v>7853.91</v>
      </c>
      <c r="R24" s="291">
        <f t="shared" si="1"/>
        <v>121932</v>
      </c>
      <c r="S24" s="284">
        <v>2010</v>
      </c>
      <c r="T24" s="287" t="s">
        <v>189</v>
      </c>
      <c r="U24" s="288">
        <v>9862.5400000000009</v>
      </c>
      <c r="V24" s="289">
        <v>1019.94</v>
      </c>
      <c r="W24" s="288">
        <v>8842.59</v>
      </c>
      <c r="X24" s="288">
        <f>3848+1030</f>
        <v>4878</v>
      </c>
      <c r="Y24" s="289">
        <v>2610.5</v>
      </c>
      <c r="Z24" s="289">
        <v>2494.17</v>
      </c>
      <c r="AA24" s="288">
        <v>-58.41</v>
      </c>
      <c r="AB24" s="288">
        <v>14367</v>
      </c>
    </row>
    <row r="25" spans="1:28" s="321" customFormat="1" ht="13.5" customHeight="1">
      <c r="A25" s="444">
        <v>2011</v>
      </c>
      <c r="B25" s="445">
        <v>13224.12</v>
      </c>
      <c r="C25" s="445">
        <v>8569.5</v>
      </c>
      <c r="D25" s="444">
        <v>1799.33</v>
      </c>
      <c r="E25" s="444">
        <v>54025</v>
      </c>
      <c r="F25" s="445">
        <v>4378.41</v>
      </c>
      <c r="G25" s="445">
        <v>1925.6</v>
      </c>
      <c r="H25" s="444">
        <v>2011</v>
      </c>
      <c r="I25" s="445">
        <v>781.04</v>
      </c>
      <c r="J25" s="446">
        <v>3137</v>
      </c>
      <c r="K25" s="445">
        <v>41050.18</v>
      </c>
      <c r="L25" s="445">
        <v>29079.7</v>
      </c>
      <c r="M25" s="445">
        <v>6999.28</v>
      </c>
      <c r="N25" s="446">
        <v>75649</v>
      </c>
      <c r="O25" s="445">
        <f t="shared" si="0"/>
        <v>58652.71</v>
      </c>
      <c r="P25" s="445">
        <f t="shared" si="0"/>
        <v>39574.800000000003</v>
      </c>
      <c r="Q25" s="135">
        <f t="shared" si="1"/>
        <v>9579.65</v>
      </c>
      <c r="R25" s="142">
        <f t="shared" si="1"/>
        <v>132811</v>
      </c>
      <c r="S25" s="444">
        <v>2011</v>
      </c>
      <c r="T25" s="159" t="s">
        <v>1021</v>
      </c>
      <c r="U25" s="321">
        <v>8522.74</v>
      </c>
      <c r="V25" s="339">
        <v>1490.9978000000001</v>
      </c>
      <c r="W25" s="321">
        <v>7031.75</v>
      </c>
      <c r="X25" s="321">
        <v>4958</v>
      </c>
      <c r="Y25" s="339">
        <v>1818.91</v>
      </c>
      <c r="Z25" s="339">
        <v>1996.95</v>
      </c>
      <c r="AA25" s="339">
        <v>-208.04</v>
      </c>
      <c r="AB25" s="321">
        <v>13879</v>
      </c>
    </row>
    <row r="26" spans="1:28" s="321" customFormat="1" ht="13.5" customHeight="1">
      <c r="A26" s="284">
        <v>2012</v>
      </c>
      <c r="B26" s="285">
        <v>15725.253306500001</v>
      </c>
      <c r="C26" s="285">
        <v>11794.0446276</v>
      </c>
      <c r="D26" s="285">
        <v>-6522.876828200001</v>
      </c>
      <c r="E26" s="284">
        <v>57989</v>
      </c>
      <c r="F26" s="285">
        <v>5603.3493125000005</v>
      </c>
      <c r="G26" s="285">
        <v>2796.43</v>
      </c>
      <c r="H26" s="284">
        <v>2012</v>
      </c>
      <c r="I26" s="285">
        <v>1465.1193717000001</v>
      </c>
      <c r="J26" s="291">
        <v>3140</v>
      </c>
      <c r="K26" s="285">
        <v>52221.363523699983</v>
      </c>
      <c r="L26" s="285">
        <v>38973.794740899997</v>
      </c>
      <c r="M26" s="285">
        <v>3962.6805902000001</v>
      </c>
      <c r="N26" s="291">
        <v>81944</v>
      </c>
      <c r="O26" s="285">
        <f t="shared" si="0"/>
        <v>73549.966142699981</v>
      </c>
      <c r="P26" s="285">
        <f t="shared" si="0"/>
        <v>53564.269368499998</v>
      </c>
      <c r="Q26" s="285">
        <f t="shared" si="1"/>
        <v>-1095.0768663000013</v>
      </c>
      <c r="R26" s="291">
        <f t="shared" si="1"/>
        <v>143073</v>
      </c>
      <c r="S26" s="284">
        <v>2012</v>
      </c>
      <c r="T26" s="504" t="s">
        <v>1049</v>
      </c>
      <c r="U26" s="288" t="s">
        <v>292</v>
      </c>
      <c r="V26" s="289" t="s">
        <v>292</v>
      </c>
      <c r="W26" s="288" t="s">
        <v>292</v>
      </c>
      <c r="X26" s="288" t="s">
        <v>292</v>
      </c>
      <c r="Y26" s="288">
        <f>252.03+1340.23</f>
        <v>1592.26</v>
      </c>
      <c r="Z26" s="288">
        <f>149.23+1079.22</f>
        <v>1228.45</v>
      </c>
      <c r="AA26" s="288">
        <f>83.7+2.79</f>
        <v>86.490000000000009</v>
      </c>
      <c r="AB26" s="288">
        <f>857+1657</f>
        <v>2514</v>
      </c>
    </row>
    <row r="27" spans="1:28" s="321" customFormat="1" ht="13.5" customHeight="1">
      <c r="A27" s="444">
        <v>2013</v>
      </c>
      <c r="B27" s="445">
        <v>16728.024012099999</v>
      </c>
      <c r="C27" s="445">
        <v>13949.002911900001</v>
      </c>
      <c r="D27" s="445">
        <v>2258.4407385999998</v>
      </c>
      <c r="E27" s="444">
        <v>58049</v>
      </c>
      <c r="F27" s="445">
        <v>5985.9425159000011</v>
      </c>
      <c r="G27" s="445">
        <v>3007.3867308999997</v>
      </c>
      <c r="H27" s="444">
        <v>2013</v>
      </c>
      <c r="I27" s="445">
        <v>1464.6336643</v>
      </c>
      <c r="J27" s="446">
        <v>3330</v>
      </c>
      <c r="K27" s="445">
        <v>57658.748551799996</v>
      </c>
      <c r="L27" s="445">
        <v>44904.274183500005</v>
      </c>
      <c r="M27" s="445">
        <v>4644.2722049999993</v>
      </c>
      <c r="N27" s="446">
        <v>85888</v>
      </c>
      <c r="O27" s="445">
        <f t="shared" si="0"/>
        <v>80372.715079799993</v>
      </c>
      <c r="P27" s="445">
        <f t="shared" si="0"/>
        <v>61860.663826300006</v>
      </c>
      <c r="Q27" s="445">
        <f t="shared" si="1"/>
        <v>8367.3466078999991</v>
      </c>
      <c r="R27" s="446">
        <f t="shared" si="1"/>
        <v>147267</v>
      </c>
      <c r="S27" s="444">
        <v>2013</v>
      </c>
      <c r="T27" s="503" t="s">
        <v>809</v>
      </c>
      <c r="U27" s="321">
        <v>1685.34</v>
      </c>
      <c r="V27" s="339">
        <v>1380.9365</v>
      </c>
      <c r="W27" s="321">
        <v>304.41000000000003</v>
      </c>
      <c r="X27" s="321">
        <v>5239</v>
      </c>
      <c r="Y27" s="339">
        <v>1794.8927682999999</v>
      </c>
      <c r="Z27" s="339">
        <v>2210.8702908</v>
      </c>
      <c r="AA27" s="339">
        <v>-448.5010825</v>
      </c>
      <c r="AB27" s="321">
        <v>15034</v>
      </c>
    </row>
    <row r="28" spans="1:28" s="321" customFormat="1" ht="13.5" customHeight="1">
      <c r="A28" s="284">
        <v>2014</v>
      </c>
      <c r="B28" s="285">
        <v>18486.490000000002</v>
      </c>
      <c r="C28" s="285">
        <v>15256.82</v>
      </c>
      <c r="D28" s="285">
        <v>1227.44</v>
      </c>
      <c r="E28" s="284">
        <v>56187</v>
      </c>
      <c r="F28" s="285">
        <v>5906.7</v>
      </c>
      <c r="G28" s="285">
        <v>2721.73</v>
      </c>
      <c r="H28" s="284">
        <v>2014</v>
      </c>
      <c r="I28" s="285">
        <v>1706.03</v>
      </c>
      <c r="J28" s="291">
        <v>3880</v>
      </c>
      <c r="K28" s="285">
        <v>61356.65</v>
      </c>
      <c r="L28" s="285">
        <v>46637.05</v>
      </c>
      <c r="M28" s="285">
        <v>5511.02</v>
      </c>
      <c r="N28" s="291">
        <v>93624</v>
      </c>
      <c r="O28" s="285">
        <f t="shared" si="0"/>
        <v>85749.84</v>
      </c>
      <c r="P28" s="285">
        <f t="shared" si="0"/>
        <v>64615.600000000006</v>
      </c>
      <c r="Q28" s="285">
        <f t="shared" si="1"/>
        <v>8444.4900000000016</v>
      </c>
      <c r="R28" s="291">
        <f t="shared" si="1"/>
        <v>153691</v>
      </c>
      <c r="S28" s="284">
        <v>2014</v>
      </c>
      <c r="T28" s="504">
        <v>2013</v>
      </c>
      <c r="U28" s="288" t="s">
        <v>292</v>
      </c>
      <c r="V28" s="289" t="s">
        <v>292</v>
      </c>
      <c r="W28" s="288" t="s">
        <v>292</v>
      </c>
      <c r="X28" s="288" t="s">
        <v>292</v>
      </c>
      <c r="Y28" s="289">
        <v>2163.7902678</v>
      </c>
      <c r="Z28" s="289">
        <v>1791.2615637000001</v>
      </c>
      <c r="AA28" s="289">
        <v>48.857708699999996</v>
      </c>
      <c r="AB28" s="288">
        <v>2971</v>
      </c>
    </row>
    <row r="29" spans="1:28" s="321" customFormat="1" ht="13.5" customHeight="1">
      <c r="A29" s="137">
        <v>2015</v>
      </c>
      <c r="B29" s="87">
        <v>20782.27</v>
      </c>
      <c r="C29" s="87">
        <v>17852.88</v>
      </c>
      <c r="D29" s="587">
        <v>365.93</v>
      </c>
      <c r="E29" s="588">
        <v>58286</v>
      </c>
      <c r="F29" s="343">
        <v>5407.47</v>
      </c>
      <c r="G29" s="343">
        <v>2514.02</v>
      </c>
      <c r="H29" s="137">
        <v>2015</v>
      </c>
      <c r="I29" s="343">
        <v>1695.81</v>
      </c>
      <c r="J29" s="589">
        <v>3876</v>
      </c>
      <c r="K29" s="343">
        <v>64033.43</v>
      </c>
      <c r="L29" s="343">
        <v>48463.98</v>
      </c>
      <c r="M29" s="343">
        <v>6145.79</v>
      </c>
      <c r="N29" s="589">
        <v>92742</v>
      </c>
      <c r="O29" s="445">
        <f t="shared" si="0"/>
        <v>90223.17</v>
      </c>
      <c r="P29" s="445">
        <f t="shared" si="0"/>
        <v>68830.880000000005</v>
      </c>
      <c r="Q29" s="445">
        <f t="shared" si="1"/>
        <v>8207.5299999999988</v>
      </c>
      <c r="R29" s="446">
        <f t="shared" si="1"/>
        <v>154904</v>
      </c>
      <c r="S29" s="137">
        <v>2015</v>
      </c>
      <c r="T29" s="159" t="s">
        <v>982</v>
      </c>
      <c r="U29" s="321">
        <v>5040.63</v>
      </c>
      <c r="V29" s="339">
        <v>1688.81</v>
      </c>
      <c r="W29" s="321">
        <v>3351.83</v>
      </c>
      <c r="X29" s="321">
        <v>5470</v>
      </c>
      <c r="Y29" s="339">
        <v>2035.3</v>
      </c>
      <c r="Z29" s="321">
        <v>2539.12</v>
      </c>
      <c r="AA29" s="321">
        <v>-3504.21</v>
      </c>
      <c r="AB29" s="321">
        <v>14237</v>
      </c>
    </row>
    <row r="30" spans="1:28" s="321" customFormat="1" ht="13.5" customHeight="1">
      <c r="A30" s="288">
        <v>2016</v>
      </c>
      <c r="B30" s="638">
        <v>20405.580000000002</v>
      </c>
      <c r="C30" s="638">
        <v>18437.03</v>
      </c>
      <c r="D30" s="639">
        <v>-363.99</v>
      </c>
      <c r="E30" s="640">
        <v>54405</v>
      </c>
      <c r="F30" s="348">
        <v>4405.96</v>
      </c>
      <c r="G30" s="348">
        <v>2009.23</v>
      </c>
      <c r="H30" s="288">
        <v>2016</v>
      </c>
      <c r="I30" s="348">
        <v>1385.13</v>
      </c>
      <c r="J30" s="641">
        <v>3997</v>
      </c>
      <c r="K30" s="348">
        <v>66053.23</v>
      </c>
      <c r="L30" s="348">
        <v>48304.639999999999</v>
      </c>
      <c r="M30" s="348">
        <v>7075.22</v>
      </c>
      <c r="N30" s="641">
        <v>101622</v>
      </c>
      <c r="O30" s="285">
        <f t="shared" si="0"/>
        <v>90864.76999999999</v>
      </c>
      <c r="P30" s="285">
        <f t="shared" si="0"/>
        <v>68750.899999999994</v>
      </c>
      <c r="Q30" s="285">
        <f t="shared" si="1"/>
        <v>8096.3600000000006</v>
      </c>
      <c r="R30" s="291">
        <f t="shared" si="1"/>
        <v>160024</v>
      </c>
      <c r="S30" s="288">
        <v>2016</v>
      </c>
      <c r="T30" s="504">
        <v>2014</v>
      </c>
      <c r="U30" s="288" t="s">
        <v>292</v>
      </c>
      <c r="V30" s="289" t="s">
        <v>292</v>
      </c>
      <c r="W30" s="288" t="s">
        <v>292</v>
      </c>
      <c r="X30" s="288" t="s">
        <v>292</v>
      </c>
      <c r="Y30" s="288">
        <v>1988.85</v>
      </c>
      <c r="Z30" s="288">
        <v>1951.38</v>
      </c>
      <c r="AA30" s="288">
        <v>2.91</v>
      </c>
      <c r="AB30" s="288">
        <v>3115</v>
      </c>
    </row>
    <row r="31" spans="1:28" ht="13.5" customHeight="1">
      <c r="A31" s="137">
        <v>2017</v>
      </c>
      <c r="B31" s="137">
        <v>20829.87</v>
      </c>
      <c r="C31" s="137">
        <v>17032.490000000002</v>
      </c>
      <c r="D31" s="137">
        <v>1091.04</v>
      </c>
      <c r="E31" s="137">
        <v>51483</v>
      </c>
      <c r="F31" s="137">
        <v>4369.22</v>
      </c>
      <c r="G31" s="137">
        <v>2027.35</v>
      </c>
      <c r="H31" s="137">
        <v>2017</v>
      </c>
      <c r="I31" s="137">
        <v>1324.35</v>
      </c>
      <c r="J31" s="137">
        <v>4003</v>
      </c>
      <c r="K31" s="445">
        <v>71888.84</v>
      </c>
      <c r="L31" s="445">
        <v>53138.79</v>
      </c>
      <c r="M31" s="445">
        <v>6877.83</v>
      </c>
      <c r="N31" s="446">
        <v>107255</v>
      </c>
      <c r="O31" s="445">
        <f t="shared" si="0"/>
        <v>97087.93</v>
      </c>
      <c r="P31" s="445">
        <f t="shared" si="0"/>
        <v>72198.63</v>
      </c>
      <c r="Q31" s="445">
        <f t="shared" si="1"/>
        <v>9293.2199999999993</v>
      </c>
      <c r="R31" s="446">
        <f t="shared" si="1"/>
        <v>162741</v>
      </c>
      <c r="S31" s="444">
        <v>2017</v>
      </c>
      <c r="T31" s="159" t="s">
        <v>1033</v>
      </c>
      <c r="U31" s="321">
        <v>2807.48</v>
      </c>
      <c r="V31" s="339">
        <v>5430.4471999999996</v>
      </c>
      <c r="W31" s="339">
        <v>-2622.97</v>
      </c>
      <c r="X31" s="321">
        <v>6067</v>
      </c>
      <c r="Y31" s="321">
        <v>2105.12</v>
      </c>
      <c r="Z31" s="321">
        <v>2551.56</v>
      </c>
      <c r="AA31" s="339">
        <v>-247.5</v>
      </c>
      <c r="AB31" s="321">
        <v>14094</v>
      </c>
    </row>
    <row r="32" spans="1:28" ht="13.5" customHeight="1">
      <c r="A32" s="288">
        <v>2018</v>
      </c>
      <c r="B32" s="288">
        <v>21746.61</v>
      </c>
      <c r="C32" s="288">
        <v>17483.86</v>
      </c>
      <c r="D32" s="288">
        <v>113.45</v>
      </c>
      <c r="E32" s="288">
        <v>49552</v>
      </c>
      <c r="F32" s="288">
        <v>5123.6499999999996</v>
      </c>
      <c r="G32" s="288">
        <v>2321.98</v>
      </c>
      <c r="H32" s="288">
        <v>2018</v>
      </c>
      <c r="I32" s="288">
        <v>1630.73</v>
      </c>
      <c r="J32" s="288">
        <v>3935</v>
      </c>
      <c r="K32" s="285">
        <v>84994.49</v>
      </c>
      <c r="L32" s="285">
        <v>65262.559999999998</v>
      </c>
      <c r="M32" s="285">
        <v>7866.64</v>
      </c>
      <c r="N32" s="291">
        <v>114080</v>
      </c>
      <c r="O32" s="285">
        <f t="shared" si="0"/>
        <v>111864.75</v>
      </c>
      <c r="P32" s="285">
        <f t="shared" si="0"/>
        <v>85068.4</v>
      </c>
      <c r="Q32" s="285">
        <f t="shared" si="1"/>
        <v>9610.82</v>
      </c>
      <c r="R32" s="291">
        <f t="shared" si="1"/>
        <v>167567</v>
      </c>
      <c r="S32" s="284">
        <v>2018</v>
      </c>
      <c r="T32" s="287" t="s">
        <v>1154</v>
      </c>
      <c r="U32" s="288">
        <v>3502.18</v>
      </c>
      <c r="V32" s="289">
        <v>3349.1619999999998</v>
      </c>
      <c r="W32" s="289">
        <v>153.02000000000001</v>
      </c>
      <c r="X32" s="288">
        <v>5726</v>
      </c>
      <c r="Y32" s="289">
        <v>2060.8000000000002</v>
      </c>
      <c r="Z32" s="289">
        <v>2816.86</v>
      </c>
      <c r="AA32" s="288">
        <v>-674.71</v>
      </c>
      <c r="AB32" s="288">
        <v>13200</v>
      </c>
    </row>
    <row r="33" spans="1:31" ht="13.5" customHeight="1">
      <c r="A33" s="321">
        <v>2019</v>
      </c>
      <c r="B33" s="321">
        <v>22230.95</v>
      </c>
      <c r="C33" s="321">
        <v>18888.73</v>
      </c>
      <c r="D33" s="339">
        <v>155.6</v>
      </c>
      <c r="E33" s="321">
        <v>52002</v>
      </c>
      <c r="F33" s="321">
        <v>7224.31</v>
      </c>
      <c r="G33" s="321">
        <v>3352.81</v>
      </c>
      <c r="H33" s="321">
        <v>2019</v>
      </c>
      <c r="I33" s="321">
        <v>2365.71</v>
      </c>
      <c r="J33" s="321">
        <v>3886</v>
      </c>
      <c r="K33" s="445">
        <v>97952.06</v>
      </c>
      <c r="L33" s="445">
        <v>75408.59</v>
      </c>
      <c r="M33" s="445">
        <v>7018.84</v>
      </c>
      <c r="N33" s="446">
        <v>123186</v>
      </c>
      <c r="O33" s="445">
        <v>127407.31</v>
      </c>
      <c r="P33" s="445">
        <v>97650.13</v>
      </c>
      <c r="Q33" s="445">
        <v>9540.15</v>
      </c>
      <c r="R33" s="446">
        <v>179074</v>
      </c>
      <c r="S33" s="444">
        <v>2019</v>
      </c>
      <c r="T33" s="159" t="s">
        <v>1178</v>
      </c>
      <c r="U33" s="339">
        <v>10866.435799999999</v>
      </c>
      <c r="V33" s="339">
        <v>3379.3724000000002</v>
      </c>
      <c r="W33" s="339">
        <f t="shared" ref="W33:W39" si="2">U33-V33</f>
        <v>7487.0633999999991</v>
      </c>
      <c r="X33" s="321">
        <v>5664</v>
      </c>
      <c r="Y33" s="339">
        <v>2155</v>
      </c>
      <c r="Z33" s="339">
        <v>2921.68</v>
      </c>
      <c r="AA33" s="321">
        <v>-555.75</v>
      </c>
      <c r="AB33" s="321">
        <v>12286</v>
      </c>
      <c r="AD33" s="152"/>
      <c r="AE33" s="152"/>
    </row>
    <row r="34" spans="1:31" ht="13.5" customHeight="1">
      <c r="A34" s="288">
        <v>2020</v>
      </c>
      <c r="B34" s="288">
        <v>24064.51</v>
      </c>
      <c r="C34" s="288">
        <v>20386.939999999999</v>
      </c>
      <c r="D34" s="288">
        <v>49.26</v>
      </c>
      <c r="E34" s="288">
        <v>50543</v>
      </c>
      <c r="F34" s="288">
        <v>6782.25</v>
      </c>
      <c r="G34" s="289">
        <v>2914.5</v>
      </c>
      <c r="H34" s="288">
        <v>2020</v>
      </c>
      <c r="I34" s="289">
        <v>2313.3000000000002</v>
      </c>
      <c r="J34" s="288">
        <v>3870</v>
      </c>
      <c r="K34" s="284">
        <v>94759.71</v>
      </c>
      <c r="L34" s="284">
        <v>75652.05</v>
      </c>
      <c r="M34" s="284">
        <v>8023.22</v>
      </c>
      <c r="N34" s="284">
        <v>127524</v>
      </c>
      <c r="O34" s="284">
        <v>125606.46</v>
      </c>
      <c r="P34" s="284">
        <v>98953.49</v>
      </c>
      <c r="Q34" s="284">
        <v>10385.780000000001</v>
      </c>
      <c r="R34" s="284">
        <v>181937</v>
      </c>
      <c r="S34" s="284">
        <v>2020</v>
      </c>
      <c r="T34" s="287" t="s">
        <v>1298</v>
      </c>
      <c r="U34" s="289">
        <v>14247.9123</v>
      </c>
      <c r="V34" s="289">
        <v>4583.1831000000002</v>
      </c>
      <c r="W34" s="289">
        <f t="shared" si="2"/>
        <v>9664.7291999999998</v>
      </c>
      <c r="X34" s="288">
        <v>5741</v>
      </c>
      <c r="Y34" s="289">
        <v>1952.69</v>
      </c>
      <c r="Z34" s="289">
        <v>2861.6</v>
      </c>
      <c r="AA34" s="288">
        <v>-610.83000000000004</v>
      </c>
      <c r="AB34" s="288">
        <v>12470</v>
      </c>
      <c r="AD34" s="740"/>
      <c r="AE34" s="152"/>
    </row>
    <row r="35" spans="1:31" ht="13.5" customHeight="1">
      <c r="A35" s="321">
        <v>2021</v>
      </c>
      <c r="B35" s="339">
        <v>26872.24418464</v>
      </c>
      <c r="C35" s="339">
        <v>23374.866161400001</v>
      </c>
      <c r="D35" s="339">
        <v>429.252225071</v>
      </c>
      <c r="E35" s="1160">
        <v>50956</v>
      </c>
      <c r="F35" s="339">
        <v>5595.4584286017998</v>
      </c>
      <c r="G35" s="339">
        <v>2450.3390051800002</v>
      </c>
      <c r="H35" s="321">
        <v>2021</v>
      </c>
      <c r="I35" s="339">
        <v>1538.7015144</v>
      </c>
      <c r="J35" s="321">
        <v>3759</v>
      </c>
      <c r="K35" s="445">
        <v>91769.504217783993</v>
      </c>
      <c r="L35" s="445">
        <v>69567.008369129995</v>
      </c>
      <c r="M35" s="445">
        <v>6687.2177825500003</v>
      </c>
      <c r="N35" s="444">
        <v>134446</v>
      </c>
      <c r="O35" s="445">
        <v>124237.20683102599</v>
      </c>
      <c r="P35" s="445">
        <v>95392.213535710005</v>
      </c>
      <c r="Q35" s="445">
        <v>8655.1715220210008</v>
      </c>
      <c r="R35" s="444">
        <v>189161</v>
      </c>
      <c r="S35" s="444">
        <v>2021</v>
      </c>
      <c r="T35" s="159" t="s">
        <v>1407</v>
      </c>
      <c r="U35" s="339">
        <v>8954.8858999999993</v>
      </c>
      <c r="V35" s="339">
        <v>3142.6428999999998</v>
      </c>
      <c r="W35" s="339">
        <f t="shared" si="2"/>
        <v>5812.2429999999995</v>
      </c>
      <c r="X35" s="321">
        <v>6369</v>
      </c>
      <c r="Y35" s="339">
        <v>1983.63</v>
      </c>
      <c r="Z35" s="339">
        <v>3057.25</v>
      </c>
      <c r="AA35" s="321">
        <v>-704.27</v>
      </c>
      <c r="AB35" s="321">
        <v>12156</v>
      </c>
      <c r="AD35" s="740"/>
      <c r="AE35" s="152"/>
    </row>
    <row r="36" spans="1:31" ht="13.5" customHeight="1">
      <c r="A36" s="288">
        <v>2022</v>
      </c>
      <c r="B36" s="289">
        <v>28238.26600367</v>
      </c>
      <c r="C36" s="289">
        <v>23696.605142500001</v>
      </c>
      <c r="D36" s="289">
        <v>494.79680735199997</v>
      </c>
      <c r="E36" s="1272">
        <v>49617</v>
      </c>
      <c r="F36" s="289">
        <v>8090.7029131440004</v>
      </c>
      <c r="G36" s="289">
        <v>2974.9060998199998</v>
      </c>
      <c r="H36" s="288">
        <v>2022</v>
      </c>
      <c r="I36" s="289">
        <v>3156.8323895200001</v>
      </c>
      <c r="J36" s="288">
        <v>3895</v>
      </c>
      <c r="K36" s="285">
        <v>103950.010347887</v>
      </c>
      <c r="L36" s="285">
        <v>82559.901409586993</v>
      </c>
      <c r="M36" s="285">
        <v>6137.6551727409997</v>
      </c>
      <c r="N36" s="284">
        <v>147621</v>
      </c>
      <c r="O36" s="285">
        <v>140278.97926470099</v>
      </c>
      <c r="P36" s="285">
        <v>109231.412651907</v>
      </c>
      <c r="Q36" s="285">
        <v>9789.2843696130003</v>
      </c>
      <c r="R36" s="284">
        <v>201133</v>
      </c>
      <c r="S36" s="284">
        <v>2022</v>
      </c>
      <c r="T36" s="287" t="s">
        <v>1487</v>
      </c>
      <c r="U36" s="289">
        <v>9035.0049999999992</v>
      </c>
      <c r="V36" s="289">
        <v>2849.3778000000002</v>
      </c>
      <c r="W36" s="289">
        <f t="shared" si="2"/>
        <v>6185.627199999999</v>
      </c>
      <c r="X36" s="288">
        <v>6391</v>
      </c>
      <c r="Y36" s="289">
        <v>1788.53</v>
      </c>
      <c r="Z36" s="289">
        <v>3360.88</v>
      </c>
      <c r="AA36" s="288">
        <v>-1834.47</v>
      </c>
      <c r="AB36" s="288">
        <v>13551</v>
      </c>
      <c r="AD36" s="152"/>
      <c r="AE36" s="152"/>
    </row>
    <row r="37" spans="1:31" ht="13.5" customHeight="1">
      <c r="A37" s="321">
        <v>2023</v>
      </c>
      <c r="B37" s="339">
        <v>33505.953779130003</v>
      </c>
      <c r="C37" s="339">
        <v>27199.348528800001</v>
      </c>
      <c r="D37" s="339">
        <v>427.31112196999999</v>
      </c>
      <c r="E37" s="1160">
        <v>50773</v>
      </c>
      <c r="F37" s="339">
        <v>10874.061307672</v>
      </c>
      <c r="G37" s="339">
        <v>3753.7906792610002</v>
      </c>
      <c r="H37" s="321">
        <v>2023</v>
      </c>
      <c r="I37" s="339">
        <v>4451.8563649300004</v>
      </c>
      <c r="J37" s="321">
        <v>4117</v>
      </c>
      <c r="K37" s="445">
        <v>120200.92142928</v>
      </c>
      <c r="L37" s="445">
        <v>95960.214807690005</v>
      </c>
      <c r="M37" s="445">
        <v>8106.3418261699999</v>
      </c>
      <c r="N37" s="444">
        <v>152802</v>
      </c>
      <c r="O37" s="445">
        <v>164580.936516082</v>
      </c>
      <c r="P37" s="445">
        <v>126913.354015751</v>
      </c>
      <c r="Q37" s="445">
        <v>12985.509313070001</v>
      </c>
      <c r="R37" s="444">
        <v>207692</v>
      </c>
      <c r="S37" s="444">
        <v>2023</v>
      </c>
      <c r="T37" s="159" t="s">
        <v>1539</v>
      </c>
      <c r="U37" s="339">
        <v>8635.3417000000009</v>
      </c>
      <c r="V37" s="339">
        <v>2858.1232</v>
      </c>
      <c r="W37" s="339">
        <f t="shared" si="2"/>
        <v>5777.2185000000009</v>
      </c>
      <c r="X37" s="321">
        <v>6407</v>
      </c>
      <c r="Y37" s="339">
        <v>1959.1311442470001</v>
      </c>
      <c r="Z37" s="339">
        <v>3564.6620677000001</v>
      </c>
      <c r="AA37" s="321">
        <v>-1742.4104153000001</v>
      </c>
      <c r="AB37" s="321">
        <v>13275</v>
      </c>
      <c r="AD37" s="152"/>
      <c r="AE37" s="152"/>
    </row>
    <row r="38" spans="1:31" ht="13.5" customHeight="1" thickBot="1">
      <c r="A38" s="1969">
        <v>2024</v>
      </c>
      <c r="B38" s="1970">
        <v>37387.878283190003</v>
      </c>
      <c r="C38" s="1970">
        <v>32868.893785799999</v>
      </c>
      <c r="D38" s="1970">
        <v>-3965.6524761300002</v>
      </c>
      <c r="E38" s="1971">
        <v>52341</v>
      </c>
      <c r="F38" s="1970">
        <v>13247.205788264</v>
      </c>
      <c r="G38" s="1970">
        <v>4038.7016404999999</v>
      </c>
      <c r="H38" s="1969">
        <v>2024</v>
      </c>
      <c r="I38" s="1970">
        <v>5874.1710718000004</v>
      </c>
      <c r="J38" s="1969">
        <v>4127</v>
      </c>
      <c r="K38" s="1972">
        <v>149386.461212061</v>
      </c>
      <c r="L38" s="1972">
        <v>124726.56261843001</v>
      </c>
      <c r="M38" s="1972">
        <v>-23340.232179208</v>
      </c>
      <c r="N38" s="1973">
        <v>161919</v>
      </c>
      <c r="O38" s="1972">
        <v>200021.54528351501</v>
      </c>
      <c r="P38" s="1972">
        <v>161634.15804472999</v>
      </c>
      <c r="Q38" s="1972">
        <v>-21431.713583538</v>
      </c>
      <c r="R38" s="1973">
        <v>218387</v>
      </c>
      <c r="S38" s="1973">
        <v>2024</v>
      </c>
      <c r="T38" s="1169" t="s">
        <v>1810</v>
      </c>
      <c r="U38" s="1170">
        <v>32199.101299999998</v>
      </c>
      <c r="V38" s="1171">
        <v>2952.0945999999999</v>
      </c>
      <c r="W38" s="1171">
        <f t="shared" si="2"/>
        <v>29247.006699999998</v>
      </c>
      <c r="X38" s="1172">
        <v>6201</v>
      </c>
      <c r="Y38" s="1173">
        <v>2190.0319221</v>
      </c>
      <c r="Z38" s="348">
        <v>3730.5874588000001</v>
      </c>
      <c r="AA38" s="348">
        <v>-1563.2522366000001</v>
      </c>
      <c r="AB38" s="641">
        <v>11595</v>
      </c>
      <c r="AD38" s="835"/>
    </row>
    <row r="39" spans="1:31" ht="12" customHeight="1">
      <c r="A39" s="505"/>
      <c r="B39" s="506"/>
      <c r="C39" s="778"/>
      <c r="D39" s="445"/>
      <c r="E39" s="444"/>
      <c r="F39" s="445"/>
      <c r="G39" s="445"/>
      <c r="H39" s="444"/>
      <c r="I39" s="445"/>
      <c r="J39" s="446"/>
      <c r="K39" s="65"/>
      <c r="L39" s="65"/>
      <c r="M39" s="65"/>
      <c r="N39" s="65"/>
      <c r="O39" s="65"/>
      <c r="P39" s="65"/>
      <c r="Q39" s="65"/>
      <c r="R39" s="65"/>
      <c r="S39" s="65"/>
      <c r="T39" s="1273" t="s">
        <v>2056</v>
      </c>
      <c r="U39" s="1274">
        <v>51886.2</v>
      </c>
      <c r="V39" s="1275">
        <v>4617.75</v>
      </c>
      <c r="W39" s="1275">
        <f t="shared" si="2"/>
        <v>47268.45</v>
      </c>
      <c r="X39" s="1276">
        <v>6060</v>
      </c>
      <c r="Y39" s="1277">
        <v>2572.45197925</v>
      </c>
      <c r="Z39" s="343">
        <v>4443.0967950200002</v>
      </c>
      <c r="AA39" s="343">
        <v>-2574.0387931499999</v>
      </c>
      <c r="AB39" s="589">
        <v>11953</v>
      </c>
    </row>
    <row r="40" spans="1:31" ht="12.75" customHeight="1">
      <c r="A40" s="505" t="s">
        <v>368</v>
      </c>
      <c r="B40" s="2611" t="s">
        <v>1208</v>
      </c>
      <c r="C40" s="2611"/>
      <c r="D40" s="688"/>
      <c r="E40" s="688"/>
      <c r="F40" s="688"/>
      <c r="G40" s="688"/>
      <c r="H40" s="688"/>
      <c r="I40" s="688"/>
      <c r="J40" s="688"/>
      <c r="K40" s="642"/>
      <c r="L40" s="65"/>
      <c r="M40" s="65"/>
      <c r="N40" s="65"/>
      <c r="O40" s="642"/>
      <c r="P40" s="65"/>
      <c r="Q40" s="65"/>
      <c r="R40" s="642"/>
      <c r="S40" s="65"/>
      <c r="T40" s="1169" t="s">
        <v>2188</v>
      </c>
      <c r="U40" s="1170">
        <v>48402.42</v>
      </c>
      <c r="V40" s="1171">
        <v>7848.67</v>
      </c>
      <c r="W40" s="1171">
        <v>40553.75</v>
      </c>
      <c r="X40" s="1172">
        <v>6226</v>
      </c>
      <c r="Y40" s="1173">
        <v>3785.9831996500002</v>
      </c>
      <c r="Z40" s="348">
        <v>5334.8320560100001</v>
      </c>
      <c r="AA40" s="348">
        <v>-6484.7922788400001</v>
      </c>
      <c r="AB40" s="641">
        <v>13179</v>
      </c>
    </row>
    <row r="41" spans="1:31" ht="12" customHeight="1" thickBot="1">
      <c r="A41" s="505"/>
      <c r="B41" s="2611" t="s">
        <v>1179</v>
      </c>
      <c r="C41" s="2611"/>
      <c r="D41" s="2611"/>
      <c r="E41" s="2611"/>
      <c r="F41" s="688"/>
      <c r="G41" s="688"/>
      <c r="H41" s="688"/>
      <c r="I41" s="688"/>
      <c r="J41" s="688"/>
      <c r="K41" s="65"/>
      <c r="L41" s="65"/>
      <c r="M41" s="65"/>
      <c r="N41" s="65"/>
      <c r="O41" s="642"/>
      <c r="P41" s="65"/>
      <c r="Q41" s="65"/>
      <c r="R41" s="837"/>
      <c r="S41" s="1051"/>
      <c r="T41" s="1497" t="s">
        <v>2439</v>
      </c>
      <c r="U41" s="1491">
        <v>44122.36</v>
      </c>
      <c r="V41" s="1492">
        <v>9228.1802000000007</v>
      </c>
      <c r="W41" s="1492">
        <v>34894.183400000002</v>
      </c>
      <c r="X41" s="1493">
        <v>6197</v>
      </c>
      <c r="Y41" s="1494" t="s">
        <v>292</v>
      </c>
      <c r="Z41" s="1495" t="s">
        <v>292</v>
      </c>
      <c r="AA41" s="1495" t="s">
        <v>292</v>
      </c>
      <c r="AB41" s="1496" t="s">
        <v>292</v>
      </c>
    </row>
    <row r="42" spans="1:31" ht="11.25" customHeight="1">
      <c r="A42" s="112"/>
      <c r="K42" s="65"/>
      <c r="L42" s="642"/>
      <c r="M42" s="642"/>
      <c r="N42" s="65"/>
      <c r="O42" s="65"/>
      <c r="P42" s="65"/>
      <c r="Q42" s="65"/>
      <c r="R42" s="65"/>
      <c r="S42" s="65"/>
      <c r="T42" s="2595" t="s">
        <v>1538</v>
      </c>
      <c r="U42" s="2595"/>
      <c r="V42" s="2595"/>
      <c r="W42" s="2595"/>
      <c r="X42" s="2595"/>
      <c r="Y42" s="2595"/>
      <c r="Z42" s="2595"/>
      <c r="AA42" s="2595"/>
      <c r="AB42" s="2595"/>
    </row>
    <row r="43" spans="1:31" ht="15.75">
      <c r="B43" s="188"/>
      <c r="C43" s="188"/>
      <c r="D43" s="6"/>
      <c r="K43" s="110"/>
      <c r="L43" s="642"/>
      <c r="M43" s="642"/>
      <c r="N43" s="110"/>
      <c r="O43" s="590"/>
      <c r="P43" s="590"/>
      <c r="Q43" s="590"/>
      <c r="R43" s="590"/>
      <c r="S43" s="836"/>
      <c r="T43" s="2595" t="s">
        <v>1368</v>
      </c>
      <c r="U43" s="2595"/>
      <c r="V43" s="2595"/>
      <c r="W43" s="2595"/>
      <c r="X43" s="2595"/>
      <c r="Y43" s="2595"/>
      <c r="Z43" s="2595"/>
      <c r="AA43" s="2595"/>
      <c r="AB43" s="2595"/>
    </row>
    <row r="44" spans="1:31" ht="15.75">
      <c r="A44" s="114"/>
      <c r="B44" s="114"/>
      <c r="F44" s="114"/>
      <c r="G44" s="114"/>
      <c r="I44" s="114"/>
      <c r="K44" s="117"/>
      <c r="L44" s="642"/>
      <c r="M44" s="642"/>
      <c r="N44" s="117"/>
      <c r="O44" s="1968"/>
      <c r="P44" s="1968"/>
      <c r="Q44" s="1968"/>
      <c r="R44" s="1968"/>
      <c r="S44" s="117"/>
      <c r="T44" s="2613" t="s">
        <v>1284</v>
      </c>
      <c r="U44" s="2613"/>
      <c r="V44" s="2613"/>
      <c r="W44" s="2613"/>
      <c r="X44" s="2613"/>
      <c r="Y44" s="2613"/>
      <c r="Z44" s="2613"/>
      <c r="AA44" s="2613"/>
      <c r="AB44" s="2613"/>
    </row>
    <row r="45" spans="1:31" ht="15.75">
      <c r="A45" s="114"/>
      <c r="B45" s="114"/>
      <c r="C45" s="114"/>
      <c r="D45" s="114"/>
      <c r="I45" s="114"/>
      <c r="J45" s="114"/>
      <c r="K45" s="1967"/>
      <c r="L45" s="1967"/>
      <c r="M45" s="1967"/>
      <c r="N45" s="1967"/>
      <c r="O45" s="1968"/>
      <c r="P45" s="1968"/>
      <c r="Q45" s="1968"/>
      <c r="R45" s="1968"/>
      <c r="S45" s="117"/>
      <c r="T45" s="2612" t="s">
        <v>1216</v>
      </c>
      <c r="U45" s="2612"/>
      <c r="V45" s="2612"/>
      <c r="W45" s="2612"/>
      <c r="X45" s="2612"/>
      <c r="Y45" s="2612"/>
      <c r="Z45" s="7"/>
      <c r="AA45" s="616"/>
      <c r="AB45" s="7"/>
    </row>
    <row r="46" spans="1:31" ht="15.75">
      <c r="B46" s="114"/>
      <c r="C46" s="114"/>
      <c r="D46" s="114"/>
      <c r="E46" s="114"/>
      <c r="F46" s="1967"/>
      <c r="G46" s="1967"/>
      <c r="I46" s="114"/>
      <c r="J46" s="114"/>
      <c r="K46" s="1967"/>
      <c r="L46" s="1967"/>
      <c r="M46" s="1967"/>
      <c r="N46" s="1967"/>
      <c r="O46" s="1968"/>
      <c r="P46" s="1968"/>
      <c r="Q46" s="1968"/>
      <c r="R46" s="1968"/>
    </row>
    <row r="47" spans="1:31">
      <c r="B47" s="1753"/>
      <c r="C47" s="1753"/>
      <c r="D47" s="1753"/>
      <c r="E47" s="1753"/>
      <c r="F47" s="1967"/>
      <c r="G47" s="1967"/>
      <c r="I47" s="152"/>
      <c r="K47" s="1967"/>
      <c r="L47" s="1967"/>
      <c r="M47" s="1967"/>
      <c r="N47" s="1967"/>
    </row>
  </sheetData>
  <customSheetViews>
    <customSheetView guid="{A374FC54-96E3-45F0-9C12-8450400C12DF}" scale="150">
      <pane xSplit="1" ySplit="6" topLeftCell="U25" activePane="bottomRight" state="frozen"/>
      <selection pane="bottomRight" activeCell="AD31" sqref="AD31"/>
      <pageMargins left="0.62992125984252001" right="0.59055118110236204" top="0.511811023622047" bottom="0.511811023622047" header="0" footer="0.74803149606299202"/>
      <pageSetup paperSize="132" firstPageNumber="79" orientation="portrait" useFirstPageNumber="1" r:id="rId1"/>
      <headerFooter alignWithMargins="0">
        <oddFooter>&amp;C&amp;"Times New Roman,Regular"&amp;8&amp;P</oddFooter>
      </headerFooter>
    </customSheetView>
  </customSheetViews>
  <mergeCells count="40">
    <mergeCell ref="B41:E41"/>
    <mergeCell ref="B40:C40"/>
    <mergeCell ref="T45:Y45"/>
    <mergeCell ref="T44:AB44"/>
    <mergeCell ref="T2:Y2"/>
    <mergeCell ref="Z2:AB2"/>
    <mergeCell ref="U5:U6"/>
    <mergeCell ref="W5:W6"/>
    <mergeCell ref="AA5:AA6"/>
    <mergeCell ref="AB5:AB6"/>
    <mergeCell ref="X5:X6"/>
    <mergeCell ref="V5:V6"/>
    <mergeCell ref="T4:T6"/>
    <mergeCell ref="U4:X4"/>
    <mergeCell ref="AA3:AB3"/>
    <mergeCell ref="Y5:Y6"/>
    <mergeCell ref="A4:A6"/>
    <mergeCell ref="B4:G4"/>
    <mergeCell ref="B5:E5"/>
    <mergeCell ref="A2:E2"/>
    <mergeCell ref="A3:E3"/>
    <mergeCell ref="F2:G2"/>
    <mergeCell ref="F5:G5"/>
    <mergeCell ref="H4:H6"/>
    <mergeCell ref="K5:N5"/>
    <mergeCell ref="I4:R4"/>
    <mergeCell ref="F3:G3"/>
    <mergeCell ref="R3:S3"/>
    <mergeCell ref="S4:S6"/>
    <mergeCell ref="T43:AB43"/>
    <mergeCell ref="T42:AB42"/>
    <mergeCell ref="O5:R5"/>
    <mergeCell ref="I5:J5"/>
    <mergeCell ref="I2:N2"/>
    <mergeCell ref="M3:N3"/>
    <mergeCell ref="Z5:Z6"/>
    <mergeCell ref="T3:Z3"/>
    <mergeCell ref="R2:S2"/>
    <mergeCell ref="O2:Q2"/>
    <mergeCell ref="Y4:AB4"/>
  </mergeCells>
  <phoneticPr fontId="0" type="noConversion"/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sheetPr codeName="Sheet31"/>
  <dimension ref="A1:J54"/>
  <sheetViews>
    <sheetView topLeftCell="A28" zoomScale="140" zoomScaleNormal="140" workbookViewId="0">
      <selection activeCell="G29" sqref="G29"/>
    </sheetView>
  </sheetViews>
  <sheetFormatPr defaultColWidth="9.140625" defaultRowHeight="12.75"/>
  <cols>
    <col min="1" max="1" width="9.42578125" style="1699" customWidth="1"/>
    <col min="2" max="2" width="19.5703125" style="33" customWidth="1"/>
    <col min="3" max="3" width="20.7109375" style="33" customWidth="1"/>
    <col min="4" max="4" width="23.85546875" style="33" customWidth="1"/>
    <col min="5" max="5" width="10" style="33" customWidth="1"/>
    <col min="6" max="6" width="10" style="1684" bestFit="1" customWidth="1"/>
    <col min="7" max="7" width="11" style="1684" bestFit="1" customWidth="1"/>
    <col min="8" max="8" width="9.140625" style="1684"/>
    <col min="9" max="10" width="9.140625" style="33"/>
    <col min="11" max="11" width="11.28515625" style="33" customWidth="1"/>
    <col min="12" max="12" width="8.7109375" style="33" customWidth="1"/>
    <col min="13" max="15" width="9.140625" style="33"/>
    <col min="16" max="16" width="11.85546875" style="33" customWidth="1"/>
    <col min="17" max="16384" width="9.140625" style="33"/>
  </cols>
  <sheetData>
    <row r="1" spans="1:8" s="119" customFormat="1" ht="39" customHeight="1">
      <c r="A1" s="2615" t="s">
        <v>1262</v>
      </c>
      <c r="B1" s="2615"/>
      <c r="C1" s="2615"/>
      <c r="D1" s="120" t="s">
        <v>370</v>
      </c>
      <c r="E1" s="1694"/>
      <c r="F1" s="1684"/>
      <c r="G1" s="1684"/>
      <c r="H1" s="1684"/>
    </row>
    <row r="2" spans="1:8" s="121" customFormat="1" ht="12" customHeight="1">
      <c r="A2" s="2616" t="s">
        <v>481</v>
      </c>
      <c r="B2" s="2618" t="s">
        <v>60</v>
      </c>
      <c r="C2" s="2189" t="s">
        <v>61</v>
      </c>
      <c r="D2" s="2620"/>
      <c r="F2" s="1684"/>
      <c r="G2" s="1684"/>
      <c r="H2" s="1684"/>
    </row>
    <row r="3" spans="1:8" s="121" customFormat="1" ht="12.75" customHeight="1">
      <c r="A3" s="2617"/>
      <c r="B3" s="2619"/>
      <c r="C3" s="1686" t="s">
        <v>1111</v>
      </c>
      <c r="D3" s="1686" t="s">
        <v>1514</v>
      </c>
      <c r="F3" s="1684"/>
      <c r="G3" s="1684"/>
      <c r="H3" s="1684"/>
    </row>
    <row r="4" spans="1:8" ht="11.1" customHeight="1">
      <c r="A4" s="277" t="s">
        <v>81</v>
      </c>
      <c r="B4" s="281">
        <v>427180</v>
      </c>
      <c r="C4" s="259">
        <v>10987.4</v>
      </c>
      <c r="D4" s="261">
        <v>76010.833200000008</v>
      </c>
      <c r="E4" s="569"/>
    </row>
    <row r="5" spans="1:8" s="191" customFormat="1" ht="11.1" customHeight="1">
      <c r="A5" s="305" t="s">
        <v>189</v>
      </c>
      <c r="B5" s="439">
        <v>439375</v>
      </c>
      <c r="C5" s="25">
        <v>11650.32</v>
      </c>
      <c r="D5" s="26">
        <v>83008.885067382464</v>
      </c>
      <c r="E5" s="570"/>
      <c r="F5" s="1684"/>
      <c r="G5" s="1684"/>
      <c r="H5" s="1684"/>
    </row>
    <row r="6" spans="1:8" s="191" customFormat="1" ht="11.1" customHeight="1">
      <c r="A6" s="277" t="s">
        <v>701</v>
      </c>
      <c r="B6" s="281">
        <v>691402</v>
      </c>
      <c r="C6" s="259">
        <v>12843.429999999998</v>
      </c>
      <c r="D6" s="261">
        <v>101591.53129999999</v>
      </c>
      <c r="E6" s="570"/>
      <c r="F6" s="1684"/>
      <c r="G6" s="1684"/>
      <c r="H6" s="1684"/>
    </row>
    <row r="7" spans="1:8" s="191" customFormat="1" ht="11.1" customHeight="1">
      <c r="A7" s="305" t="s">
        <v>809</v>
      </c>
      <c r="B7" s="439">
        <v>441301</v>
      </c>
      <c r="C7" s="25">
        <v>14461.15</v>
      </c>
      <c r="D7" s="26">
        <v>115646.15801927802</v>
      </c>
      <c r="E7" s="570"/>
      <c r="F7" s="1684"/>
      <c r="G7" s="1684"/>
      <c r="H7" s="1684"/>
    </row>
    <row r="8" spans="1:8" s="191" customFormat="1" ht="11.1" customHeight="1">
      <c r="A8" s="277" t="s">
        <v>982</v>
      </c>
      <c r="B8" s="262">
        <v>408870</v>
      </c>
      <c r="C8" s="261">
        <v>14228.3</v>
      </c>
      <c r="D8" s="261">
        <v>110582.38341698999</v>
      </c>
      <c r="E8" s="570"/>
      <c r="F8" s="1684"/>
      <c r="G8" s="1684"/>
      <c r="H8" s="1684"/>
    </row>
    <row r="9" spans="1:8" s="191" customFormat="1" ht="11.1" customHeight="1">
      <c r="A9" s="305" t="s">
        <v>1033</v>
      </c>
      <c r="B9" s="635">
        <v>461829</v>
      </c>
      <c r="C9" s="635">
        <v>15316.91</v>
      </c>
      <c r="D9" s="636">
        <v>118982.31547276099</v>
      </c>
      <c r="E9" s="570"/>
      <c r="F9" s="1684"/>
      <c r="G9" s="1684"/>
      <c r="H9" s="1684"/>
    </row>
    <row r="10" spans="1:8" s="191" customFormat="1" ht="11.1" customHeight="1">
      <c r="A10" s="520" t="s">
        <v>1154</v>
      </c>
      <c r="B10" s="521">
        <v>684537</v>
      </c>
      <c r="C10" s="691">
        <v>14931.18</v>
      </c>
      <c r="D10" s="691">
        <v>116856.72088078099</v>
      </c>
      <c r="E10" s="570"/>
      <c r="F10" s="1684"/>
      <c r="G10" s="1684"/>
      <c r="H10" s="1684"/>
    </row>
    <row r="11" spans="1:8" s="191" customFormat="1" ht="11.1" customHeight="1">
      <c r="A11" s="482" t="s">
        <v>1187</v>
      </c>
      <c r="B11" s="774">
        <v>905326</v>
      </c>
      <c r="C11" s="775">
        <v>12769.45</v>
      </c>
      <c r="D11" s="775">
        <v>101098.96241416999</v>
      </c>
      <c r="E11" s="570"/>
      <c r="F11" s="1684"/>
      <c r="G11" s="1684"/>
      <c r="H11" s="1684"/>
    </row>
    <row r="12" spans="1:8" s="191" customFormat="1" ht="11.1" customHeight="1">
      <c r="A12" s="520" t="s">
        <v>1298</v>
      </c>
      <c r="B12" s="521">
        <v>880037</v>
      </c>
      <c r="C12" s="691">
        <v>14981.689999999999</v>
      </c>
      <c r="D12" s="691">
        <v>123156.004940445</v>
      </c>
      <c r="E12" s="570"/>
      <c r="F12" s="1684"/>
      <c r="G12" s="1684"/>
      <c r="H12" s="1684"/>
    </row>
    <row r="13" spans="1:8" s="191" customFormat="1" ht="11.1" customHeight="1">
      <c r="A13" s="482" t="s">
        <v>1407</v>
      </c>
      <c r="B13" s="774">
        <v>692978</v>
      </c>
      <c r="C13" s="775">
        <v>16419.63</v>
      </c>
      <c r="D13" s="775">
        <v>138006.57168470003</v>
      </c>
      <c r="E13" s="570"/>
      <c r="F13" s="1684"/>
      <c r="G13" s="1684"/>
      <c r="H13" s="1684"/>
    </row>
    <row r="14" spans="1:8" s="191" customFormat="1" ht="11.1" customHeight="1">
      <c r="A14" s="520" t="s">
        <v>1487</v>
      </c>
      <c r="B14" s="521">
        <v>530578</v>
      </c>
      <c r="C14" s="691">
        <v>18205.010000000002</v>
      </c>
      <c r="D14" s="691">
        <v>154353.0611469</v>
      </c>
      <c r="F14" s="1684"/>
      <c r="G14" s="1684"/>
      <c r="H14" s="1684"/>
    </row>
    <row r="15" spans="1:8" s="191" customFormat="1" ht="11.1" customHeight="1">
      <c r="A15" s="482" t="s">
        <v>1539</v>
      </c>
      <c r="B15" s="774">
        <v>280258</v>
      </c>
      <c r="C15" s="231">
        <v>24777.71</v>
      </c>
      <c r="D15" s="231">
        <v>210130.60146709997</v>
      </c>
      <c r="E15" s="686"/>
      <c r="F15" s="1684"/>
      <c r="G15" s="1684"/>
      <c r="H15" s="1684"/>
    </row>
    <row r="16" spans="1:8" s="191" customFormat="1" ht="11.1" customHeight="1">
      <c r="A16" s="520" t="s">
        <v>1810</v>
      </c>
      <c r="B16" s="521">
        <v>988910</v>
      </c>
      <c r="C16" s="256">
        <v>21031.68</v>
      </c>
      <c r="D16" s="256">
        <v>181580.54109750001</v>
      </c>
      <c r="E16" s="686"/>
      <c r="F16" s="1684"/>
      <c r="G16" s="1684"/>
      <c r="H16" s="1684"/>
    </row>
    <row r="17" spans="1:10" s="191" customFormat="1" ht="11.1" customHeight="1">
      <c r="A17" s="507" t="s">
        <v>2056</v>
      </c>
      <c r="B17" s="1155">
        <v>1137931</v>
      </c>
      <c r="C17" s="302">
        <v>21610.730000000003</v>
      </c>
      <c r="D17" s="302">
        <v>215073.6115537</v>
      </c>
      <c r="E17" s="686"/>
      <c r="F17" s="1684"/>
      <c r="G17" s="1684"/>
      <c r="H17" s="1684"/>
    </row>
    <row r="18" spans="1:10" s="191" customFormat="1" ht="11.1" customHeight="1">
      <c r="A18" s="554" t="s">
        <v>2188</v>
      </c>
      <c r="B18" s="1255">
        <v>1197128</v>
      </c>
      <c r="C18" s="1256">
        <v>23912.22</v>
      </c>
      <c r="D18" s="1256">
        <v>266162.18222732999</v>
      </c>
      <c r="E18" s="1093"/>
      <c r="F18" s="1684"/>
      <c r="G18" s="1684"/>
      <c r="H18" s="1684"/>
    </row>
    <row r="19" spans="1:10" s="191" customFormat="1" ht="11.1" customHeight="1">
      <c r="A19" s="507" t="s">
        <v>2439</v>
      </c>
      <c r="B19" s="1155">
        <f>SUM(B20:B31)</f>
        <v>1015675</v>
      </c>
      <c r="C19" s="302">
        <f>SUM(C20:C31)</f>
        <v>30328.799999999999</v>
      </c>
      <c r="D19" s="302">
        <f>SUM(D20:D31)</f>
        <v>366907.3267414</v>
      </c>
      <c r="E19" s="1093"/>
      <c r="F19" s="1684"/>
      <c r="G19" s="1684"/>
      <c r="H19" s="1684"/>
    </row>
    <row r="20" spans="1:10" s="191" customFormat="1" ht="11.1" customHeight="1">
      <c r="A20" s="1232" t="s">
        <v>559</v>
      </c>
      <c r="B20" s="577">
        <v>71441</v>
      </c>
      <c r="C20" s="522">
        <v>1913.77</v>
      </c>
      <c r="D20" s="522">
        <v>22569.089610000003</v>
      </c>
      <c r="E20" s="1093"/>
      <c r="F20" s="1684"/>
      <c r="G20" s="1684"/>
      <c r="H20" s="1684"/>
    </row>
    <row r="21" spans="1:10" s="191" customFormat="1" ht="11.1" customHeight="1">
      <c r="A21" s="1088" t="s">
        <v>560</v>
      </c>
      <c r="B21" s="675">
        <v>53462</v>
      </c>
      <c r="C21" s="519">
        <v>2224.15</v>
      </c>
      <c r="D21" s="519">
        <v>26407.332950000011</v>
      </c>
      <c r="E21" s="1093"/>
      <c r="F21" s="1684"/>
      <c r="G21" s="1684"/>
      <c r="H21" s="1684"/>
    </row>
    <row r="22" spans="1:10" s="191" customFormat="1" ht="11.1" customHeight="1">
      <c r="A22" s="1232" t="s">
        <v>554</v>
      </c>
      <c r="B22" s="577">
        <v>64677</v>
      </c>
      <c r="C22" s="522">
        <v>2404.11</v>
      </c>
      <c r="D22" s="522">
        <v>28849.320000000003</v>
      </c>
      <c r="E22" s="1093"/>
      <c r="F22" s="1684"/>
      <c r="G22" s="1684"/>
      <c r="H22" s="1684"/>
    </row>
    <row r="23" spans="1:10" s="191" customFormat="1" ht="11.1" customHeight="1">
      <c r="A23" s="1088" t="s">
        <v>561</v>
      </c>
      <c r="B23" s="675">
        <v>104858</v>
      </c>
      <c r="C23" s="519">
        <v>2395.08</v>
      </c>
      <c r="D23" s="519">
        <v>28740.504934800007</v>
      </c>
      <c r="E23" s="1093"/>
      <c r="F23" s="1684"/>
      <c r="G23" s="1684"/>
      <c r="H23" s="1684"/>
    </row>
    <row r="24" spans="1:10" s="191" customFormat="1" ht="11.1" customHeight="1">
      <c r="A24" s="1232" t="s">
        <v>562</v>
      </c>
      <c r="B24" s="577">
        <v>102987</v>
      </c>
      <c r="C24" s="522">
        <v>2199.9899999999998</v>
      </c>
      <c r="D24" s="522">
        <v>26399.879999999997</v>
      </c>
      <c r="E24" s="1093"/>
      <c r="F24" s="1684"/>
      <c r="G24" s="1684"/>
      <c r="H24" s="1684"/>
      <c r="J24" s="570"/>
    </row>
    <row r="25" spans="1:10" s="191" customFormat="1" ht="11.1" customHeight="1">
      <c r="A25" s="1088" t="s">
        <v>555</v>
      </c>
      <c r="B25" s="675">
        <v>105293</v>
      </c>
      <c r="C25" s="519">
        <v>2638.77</v>
      </c>
      <c r="D25" s="519">
        <v>31665.239999999998</v>
      </c>
      <c r="E25" s="1093"/>
      <c r="F25" s="1684"/>
      <c r="G25" s="1684"/>
      <c r="H25" s="1684"/>
    </row>
    <row r="26" spans="1:10" s="191" customFormat="1" ht="11.1" customHeight="1">
      <c r="A26" s="1232" t="s">
        <v>563</v>
      </c>
      <c r="B26" s="577">
        <v>97867</v>
      </c>
      <c r="C26" s="522">
        <v>2185.23</v>
      </c>
      <c r="D26" s="522">
        <v>26643.613445699997</v>
      </c>
      <c r="E26" s="1093"/>
      <c r="F26" s="1684"/>
      <c r="G26" s="1684"/>
      <c r="H26" s="1684"/>
    </row>
    <row r="27" spans="1:10" s="191" customFormat="1" ht="11.1" customHeight="1">
      <c r="A27" s="1088" t="s">
        <v>564</v>
      </c>
      <c r="B27" s="675">
        <v>62436</v>
      </c>
      <c r="C27" s="519">
        <v>2527.65</v>
      </c>
      <c r="D27" s="519">
        <v>30837.33</v>
      </c>
      <c r="E27" s="1093"/>
      <c r="F27" s="1684"/>
      <c r="G27" s="1684"/>
      <c r="H27" s="1684"/>
    </row>
    <row r="28" spans="1:10" s="191" customFormat="1" ht="11.1" customHeight="1">
      <c r="A28" s="1232" t="s">
        <v>556</v>
      </c>
      <c r="B28" s="577">
        <v>105035</v>
      </c>
      <c r="C28" s="522">
        <v>3295.63</v>
      </c>
      <c r="D28" s="522">
        <v>40206.686000000002</v>
      </c>
      <c r="E28" s="1093"/>
      <c r="F28" s="1684"/>
      <c r="G28" s="1684"/>
      <c r="H28" s="1684"/>
    </row>
    <row r="29" spans="1:10" s="191" customFormat="1" ht="11.1" customHeight="1">
      <c r="A29" s="1088" t="s">
        <v>565</v>
      </c>
      <c r="B29" s="675">
        <v>49983</v>
      </c>
      <c r="C29" s="519">
        <v>2752.33</v>
      </c>
      <c r="D29" s="519">
        <v>33578.425999999992</v>
      </c>
      <c r="E29" s="1093"/>
      <c r="F29" s="1684"/>
      <c r="G29" s="1684"/>
      <c r="H29" s="1684"/>
    </row>
    <row r="30" spans="1:10" s="191" customFormat="1" ht="11.1" customHeight="1">
      <c r="A30" s="1232" t="s">
        <v>566</v>
      </c>
      <c r="B30" s="577">
        <v>105400</v>
      </c>
      <c r="C30" s="522">
        <v>2969.56</v>
      </c>
      <c r="D30" s="522">
        <v>36328.828509000006</v>
      </c>
      <c r="E30" s="1093"/>
      <c r="F30" s="1684"/>
      <c r="G30" s="1684"/>
      <c r="H30" s="1684"/>
    </row>
    <row r="31" spans="1:10" s="191" customFormat="1" ht="11.1" customHeight="1">
      <c r="A31" s="1088" t="s">
        <v>557</v>
      </c>
      <c r="B31" s="675">
        <v>92236</v>
      </c>
      <c r="C31" s="519">
        <v>2822.53</v>
      </c>
      <c r="D31" s="519">
        <v>34681.075291900008</v>
      </c>
      <c r="E31" s="1093"/>
      <c r="F31" s="1684"/>
      <c r="G31" s="1684"/>
      <c r="H31" s="1684"/>
    </row>
    <row r="32" spans="1:10" s="191" customFormat="1" ht="11.1" customHeight="1">
      <c r="A32" s="554" t="s">
        <v>2664</v>
      </c>
      <c r="B32" s="1663">
        <f>SUM(B33:B44)</f>
        <v>969109</v>
      </c>
      <c r="C32" s="295">
        <f>SUM(C33:C44)</f>
        <v>35594.396102166575</v>
      </c>
      <c r="D32" s="295">
        <f>SUM(D33:D44)</f>
        <v>435425.10727349878</v>
      </c>
      <c r="E32" s="1093"/>
      <c r="F32" s="1684"/>
      <c r="G32" s="1684"/>
      <c r="H32" s="1684"/>
    </row>
    <row r="33" spans="1:9" s="191" customFormat="1" ht="11.1" customHeight="1">
      <c r="A33" s="1088" t="s">
        <v>559</v>
      </c>
      <c r="B33" s="675">
        <v>63547</v>
      </c>
      <c r="C33" s="519">
        <v>2477.87</v>
      </c>
      <c r="D33" s="519">
        <v>30221.019331899999</v>
      </c>
      <c r="E33" s="1093"/>
      <c r="F33" s="1684"/>
      <c r="G33" s="1684"/>
      <c r="H33" s="1684"/>
    </row>
    <row r="34" spans="1:9" s="191" customFormat="1" ht="11.1" customHeight="1">
      <c r="A34" s="1232" t="s">
        <v>560</v>
      </c>
      <c r="B34" s="577">
        <v>147412</v>
      </c>
      <c r="C34" s="522">
        <v>2421.89</v>
      </c>
      <c r="D34" s="522">
        <v>29478.930234300002</v>
      </c>
      <c r="E34" s="1093"/>
      <c r="F34" s="1684"/>
      <c r="G34" s="1684"/>
      <c r="H34" s="1684"/>
    </row>
    <row r="35" spans="1:9" s="191" customFormat="1" ht="11.1" customHeight="1">
      <c r="A35" s="1088" t="s">
        <v>554</v>
      </c>
      <c r="B35" s="675">
        <v>98986</v>
      </c>
      <c r="C35" s="519">
        <v>2685.5642890589802</v>
      </c>
      <c r="D35" s="519">
        <v>32694.462489647383</v>
      </c>
      <c r="E35" s="1093"/>
      <c r="F35" s="1684"/>
      <c r="G35" s="1684"/>
      <c r="H35" s="1684"/>
    </row>
    <row r="36" spans="1:9" s="191" customFormat="1" ht="11.1" customHeight="1">
      <c r="A36" s="1232" t="s">
        <v>561</v>
      </c>
      <c r="B36" s="577">
        <v>73975</v>
      </c>
      <c r="C36" s="522">
        <v>2563.48</v>
      </c>
      <c r="D36" s="522">
        <v>31275.63</v>
      </c>
      <c r="E36" s="1093"/>
      <c r="F36" s="1684"/>
      <c r="G36" s="1684"/>
      <c r="H36" s="1684"/>
    </row>
    <row r="37" spans="1:9" ht="11.1" customHeight="1">
      <c r="A37" s="1088" t="s">
        <v>562</v>
      </c>
      <c r="B37" s="675">
        <v>100133</v>
      </c>
      <c r="C37" s="519">
        <v>2889.73</v>
      </c>
      <c r="D37" s="519">
        <v>35346.949999999997</v>
      </c>
      <c r="E37" s="1699"/>
    </row>
    <row r="38" spans="1:9" ht="11.1" customHeight="1">
      <c r="A38" s="1232" t="s">
        <v>555</v>
      </c>
      <c r="B38" s="577">
        <v>119389</v>
      </c>
      <c r="C38" s="522">
        <v>3223.67</v>
      </c>
      <c r="D38" s="522">
        <v>39423.091999999997</v>
      </c>
      <c r="I38" s="569"/>
    </row>
    <row r="39" spans="1:9" ht="11.1" customHeight="1">
      <c r="A39" s="1088" t="s">
        <v>563</v>
      </c>
      <c r="B39" s="675">
        <v>95092</v>
      </c>
      <c r="C39" s="519">
        <v>3171.6276855924061</v>
      </c>
      <c r="D39" s="519">
        <v>38796.630699808426</v>
      </c>
      <c r="I39" s="569"/>
    </row>
    <row r="40" spans="1:9" ht="11.1" customHeight="1">
      <c r="A40" s="1232" t="s">
        <v>564</v>
      </c>
      <c r="B40" s="577">
        <v>65634</v>
      </c>
      <c r="C40" s="522">
        <v>3019.4494497648079</v>
      </c>
      <c r="D40" s="522">
        <v>36928.62163298604</v>
      </c>
      <c r="I40" s="569"/>
    </row>
    <row r="41" spans="1:9" ht="11.1" customHeight="1">
      <c r="A41" s="1088" t="s">
        <v>556</v>
      </c>
      <c r="B41" s="675">
        <v>44658</v>
      </c>
      <c r="C41" s="519">
        <v>3752.2062556046062</v>
      </c>
      <c r="D41" s="519">
        <v>46011.220753448222</v>
      </c>
      <c r="I41" s="569"/>
    </row>
    <row r="42" spans="1:9" ht="11.1" customHeight="1">
      <c r="A42" s="1232" t="s">
        <v>565</v>
      </c>
      <c r="B42" s="577">
        <v>48859</v>
      </c>
      <c r="C42" s="522">
        <v>3127.3</v>
      </c>
      <c r="D42" s="522">
        <v>38384.600480769353</v>
      </c>
      <c r="I42" s="569"/>
    </row>
    <row r="43" spans="1:9" ht="11.25" customHeight="1">
      <c r="A43" s="1088" t="s">
        <v>566</v>
      </c>
      <c r="B43" s="675">
        <v>60119</v>
      </c>
      <c r="C43" s="519">
        <v>3442.5784221457752</v>
      </c>
      <c r="D43" s="519">
        <v>42257.650131839393</v>
      </c>
      <c r="I43" s="569"/>
    </row>
    <row r="44" spans="1:9" ht="10.5" customHeight="1">
      <c r="A44" s="1232" t="s">
        <v>557</v>
      </c>
      <c r="B44" s="577">
        <v>51305</v>
      </c>
      <c r="C44" s="522">
        <v>2819.03</v>
      </c>
      <c r="D44" s="522">
        <v>34606.299518800006</v>
      </c>
      <c r="I44" s="569"/>
    </row>
    <row r="45" spans="1:9" ht="10.5" customHeight="1">
      <c r="A45" s="507" t="s">
        <v>2930</v>
      </c>
      <c r="B45" s="1155"/>
      <c r="C45" s="302"/>
      <c r="D45" s="302"/>
    </row>
    <row r="46" spans="1:9" ht="10.5" customHeight="1">
      <c r="A46" s="1232" t="s">
        <v>559</v>
      </c>
      <c r="B46" s="577">
        <v>71084</v>
      </c>
      <c r="C46" s="522">
        <v>2858.6759580930784</v>
      </c>
      <c r="D46" s="522">
        <v>35244.721764216796</v>
      </c>
      <c r="G46" s="547"/>
      <c r="I46" s="569"/>
    </row>
    <row r="47" spans="1:9" ht="11.25" customHeight="1" thickBot="1">
      <c r="A47" s="1883" t="s">
        <v>560</v>
      </c>
      <c r="B47" s="1884">
        <v>62929</v>
      </c>
      <c r="C47" s="1885">
        <v>2966.6839048182383</v>
      </c>
      <c r="D47" s="1885">
        <v>36520.107074766667</v>
      </c>
      <c r="G47" s="547"/>
      <c r="I47" s="569"/>
    </row>
    <row r="48" spans="1:9" ht="11.25" customHeight="1">
      <c r="A48" s="185" t="s">
        <v>970</v>
      </c>
      <c r="B48" s="2352" t="s">
        <v>1285</v>
      </c>
      <c r="C48" s="2352"/>
      <c r="D48" s="187"/>
      <c r="G48" s="547"/>
      <c r="I48" s="569"/>
    </row>
    <row r="49" spans="1:4">
      <c r="A49" s="185" t="s">
        <v>2348</v>
      </c>
      <c r="B49" s="2352" t="s">
        <v>1255</v>
      </c>
      <c r="C49" s="2352"/>
      <c r="D49" s="225" t="s">
        <v>2604</v>
      </c>
    </row>
    <row r="50" spans="1:4">
      <c r="A50" s="572"/>
      <c r="B50" s="616" t="s">
        <v>1271</v>
      </c>
      <c r="C50" s="616"/>
      <c r="D50" s="616"/>
    </row>
    <row r="51" spans="1:4">
      <c r="A51" s="58"/>
      <c r="B51" s="1693"/>
    </row>
    <row r="52" spans="1:4">
      <c r="A52" s="58"/>
      <c r="B52" s="67"/>
    </row>
    <row r="54" spans="1:4">
      <c r="B54" s="1414"/>
    </row>
  </sheetData>
  <customSheetViews>
    <customSheetView guid="{A374FC54-96E3-45F0-9C12-8450400C12DF}" scale="130">
      <pane xSplit="1" ySplit="3" topLeftCell="B39" activePane="bottomRight" state="frozen"/>
      <selection pane="bottomRight" activeCell="B54" sqref="B54"/>
      <pageMargins left="0.51" right="0.52900000000000003" top="0.511811023622047" bottom="0.511811023622047" header="0" footer="0.35433070866141703"/>
      <printOptions horizontalCentered="1"/>
      <pageSetup paperSize="132" firstPageNumber="83" orientation="portrait" useFirstPageNumber="1" r:id="rId1"/>
      <headerFooter alignWithMargins="0">
        <oddFooter>&amp;C&amp;"Times New Roman,Regular"&amp;8&amp;P</oddFooter>
      </headerFooter>
    </customSheetView>
  </customSheetViews>
  <mergeCells count="6">
    <mergeCell ref="B49:C49"/>
    <mergeCell ref="B48:C48"/>
    <mergeCell ref="A1:C1"/>
    <mergeCell ref="A2:A3"/>
    <mergeCell ref="B2:B3"/>
    <mergeCell ref="C2:D2"/>
  </mergeCells>
  <phoneticPr fontId="0" type="noConversion"/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sheetPr codeName="Sheet32"/>
  <dimension ref="A1:Y319"/>
  <sheetViews>
    <sheetView zoomScale="150" zoomScaleNormal="150" workbookViewId="0">
      <pane xSplit="1" ySplit="3" topLeftCell="B23" activePane="bottomRight" state="frozen"/>
      <selection activeCell="BU10" sqref="BU10"/>
      <selection pane="topRight" activeCell="BU10" sqref="BU10"/>
      <selection pane="bottomLeft" activeCell="BU10" sqref="BU10"/>
      <selection pane="bottomRight" activeCell="V32" sqref="V32"/>
    </sheetView>
  </sheetViews>
  <sheetFormatPr defaultColWidth="9.140625" defaultRowHeight="11.25"/>
  <cols>
    <col min="1" max="11" width="7.5703125" style="8" customWidth="1"/>
    <col min="12" max="12" width="6.85546875" style="8" customWidth="1"/>
    <col min="13" max="13" width="6" style="8" customWidth="1"/>
    <col min="14" max="14" width="6.7109375" style="8" customWidth="1"/>
    <col min="15" max="16" width="7.5703125" style="8" customWidth="1"/>
    <col min="17" max="17" width="7.140625" style="8" customWidth="1"/>
    <col min="18" max="18" width="7.5703125" style="8" customWidth="1"/>
    <col min="19" max="19" width="6.85546875" style="8" customWidth="1"/>
    <col min="20" max="20" width="7.5703125" style="8" customWidth="1"/>
    <col min="21" max="21" width="7.85546875" style="8" customWidth="1"/>
    <col min="22" max="22" width="13.42578125" style="8" bestFit="1" customWidth="1"/>
    <col min="23" max="23" width="9.28515625" style="8" bestFit="1" customWidth="1"/>
    <col min="24" max="24" width="10" style="8" bestFit="1" customWidth="1"/>
    <col min="25" max="16384" width="9.140625" style="8"/>
  </cols>
  <sheetData>
    <row r="1" spans="1:25" s="21" customFormat="1" ht="14.25" customHeight="1">
      <c r="A1" s="2366" t="s">
        <v>373</v>
      </c>
      <c r="B1" s="2366"/>
      <c r="C1" s="2366"/>
      <c r="D1" s="2366"/>
      <c r="E1" s="2366"/>
      <c r="F1" s="2366"/>
      <c r="G1" s="2366"/>
      <c r="H1" s="2366"/>
      <c r="I1" s="2366"/>
      <c r="J1" s="2366"/>
      <c r="K1" s="2621" t="s">
        <v>322</v>
      </c>
      <c r="L1" s="2621"/>
      <c r="M1" s="2621"/>
      <c r="N1" s="55"/>
      <c r="O1" s="49"/>
      <c r="P1" s="49"/>
      <c r="Q1" s="49"/>
      <c r="R1" s="49"/>
      <c r="S1" s="49"/>
      <c r="T1" s="2366" t="s">
        <v>1076</v>
      </c>
      <c r="U1" s="2366"/>
    </row>
    <row r="2" spans="1:25" s="37" customFormat="1" ht="12" customHeight="1">
      <c r="B2" s="827"/>
      <c r="C2" s="827"/>
      <c r="D2" s="827"/>
      <c r="E2" s="827"/>
      <c r="H2" s="827"/>
      <c r="I2" s="827"/>
      <c r="J2" s="827"/>
      <c r="K2" s="827"/>
      <c r="L2" s="827"/>
      <c r="M2" s="827"/>
      <c r="N2" s="827"/>
      <c r="O2" s="827"/>
      <c r="P2" s="827"/>
      <c r="Q2" s="827"/>
      <c r="R2" s="827"/>
      <c r="S2" s="827"/>
      <c r="T2" s="2401" t="s">
        <v>24</v>
      </c>
      <c r="U2" s="2401"/>
    </row>
    <row r="3" spans="1:25" s="166" customFormat="1" ht="50.25" customHeight="1">
      <c r="A3" s="1697" t="s">
        <v>481</v>
      </c>
      <c r="B3" s="1689" t="s">
        <v>62</v>
      </c>
      <c r="C3" s="1689" t="s">
        <v>1315</v>
      </c>
      <c r="D3" s="1689" t="s">
        <v>1316</v>
      </c>
      <c r="E3" s="1689" t="s">
        <v>63</v>
      </c>
      <c r="F3" s="1689" t="s">
        <v>1317</v>
      </c>
      <c r="G3" s="1689" t="s">
        <v>64</v>
      </c>
      <c r="H3" s="1689" t="s">
        <v>65</v>
      </c>
      <c r="I3" s="1689" t="s">
        <v>66</v>
      </c>
      <c r="J3" s="1689" t="s">
        <v>67</v>
      </c>
      <c r="K3" s="1689" t="s">
        <v>68</v>
      </c>
      <c r="L3" s="1689" t="s">
        <v>69</v>
      </c>
      <c r="M3" s="1689" t="s">
        <v>70</v>
      </c>
      <c r="N3" s="1689" t="s">
        <v>71</v>
      </c>
      <c r="O3" s="1689" t="s">
        <v>513</v>
      </c>
      <c r="P3" s="1101" t="s">
        <v>535</v>
      </c>
      <c r="Q3" s="1101" t="s">
        <v>698</v>
      </c>
      <c r="R3" s="1101" t="s">
        <v>702</v>
      </c>
      <c r="S3" s="1101" t="s">
        <v>1476</v>
      </c>
      <c r="T3" s="1689" t="s">
        <v>72</v>
      </c>
      <c r="U3" s="1689" t="s">
        <v>477</v>
      </c>
    </row>
    <row r="4" spans="1:25" s="9" customFormat="1" ht="11.1" customHeight="1">
      <c r="A4" s="498" t="s">
        <v>81</v>
      </c>
      <c r="B4" s="480">
        <v>23709.401759999997</v>
      </c>
      <c r="C4" s="480">
        <v>13077.514040000002</v>
      </c>
      <c r="D4" s="480">
        <v>5723.8957499999997</v>
      </c>
      <c r="E4" s="480">
        <v>7050.7496800000008</v>
      </c>
      <c r="F4" s="480">
        <v>10044.25626</v>
      </c>
      <c r="G4" s="480">
        <v>10.44585</v>
      </c>
      <c r="H4" s="480">
        <v>2496.5547799999999</v>
      </c>
      <c r="I4" s="480">
        <v>2414.7833399999995</v>
      </c>
      <c r="J4" s="480">
        <v>1338.3879299999999</v>
      </c>
      <c r="K4" s="480">
        <v>114.11791000000001</v>
      </c>
      <c r="L4" s="480">
        <v>1177.0468499999997</v>
      </c>
      <c r="M4" s="480">
        <v>31.072650000000003</v>
      </c>
      <c r="N4" s="480">
        <v>101.95625</v>
      </c>
      <c r="O4" s="480">
        <v>4061.917840000001</v>
      </c>
      <c r="P4" s="480">
        <v>58.456209999999999</v>
      </c>
      <c r="Q4" s="480">
        <v>1259.92806</v>
      </c>
      <c r="R4" s="480">
        <v>143.63157000000001</v>
      </c>
      <c r="S4" s="480">
        <v>57.544499999999999</v>
      </c>
      <c r="T4" s="480">
        <v>3139.1719699999944</v>
      </c>
      <c r="U4" s="480">
        <f t="shared" ref="U4:U7" si="0">SUM(B4:T4)</f>
        <v>76010.833200000008</v>
      </c>
      <c r="V4" s="83"/>
      <c r="W4" s="83"/>
      <c r="X4" s="83"/>
      <c r="Y4" s="150"/>
    </row>
    <row r="5" spans="1:25" s="152" customFormat="1" ht="11.1" customHeight="1">
      <c r="A5" s="529" t="s">
        <v>189</v>
      </c>
      <c r="B5" s="479">
        <v>23447.611522103758</v>
      </c>
      <c r="C5" s="479">
        <v>14274.536554243999</v>
      </c>
      <c r="D5" s="479">
        <v>6329.345799345223</v>
      </c>
      <c r="E5" s="479">
        <v>7668.545797496</v>
      </c>
      <c r="F5" s="479">
        <v>13162.814794050668</v>
      </c>
      <c r="G5" s="479">
        <v>42.006690047596507</v>
      </c>
      <c r="H5" s="479">
        <v>2273.663133048</v>
      </c>
      <c r="I5" s="479">
        <v>2378.4981804742797</v>
      </c>
      <c r="J5" s="479">
        <v>1443.4474231873241</v>
      </c>
      <c r="K5" s="479">
        <v>184.06482744244911</v>
      </c>
      <c r="L5" s="479">
        <v>1326.4480618323998</v>
      </c>
      <c r="M5" s="479">
        <v>16.463787679999999</v>
      </c>
      <c r="N5" s="479">
        <v>108.62308996920061</v>
      </c>
      <c r="O5" s="479">
        <v>5011.1663160175985</v>
      </c>
      <c r="P5" s="479">
        <v>93.970096692639999</v>
      </c>
      <c r="Q5" s="479">
        <v>1538.1769608763173</v>
      </c>
      <c r="R5" s="479">
        <v>170.3696918419937</v>
      </c>
      <c r="S5" s="479">
        <v>79.384371033026895</v>
      </c>
      <c r="T5" s="479">
        <v>3459.7479699999994</v>
      </c>
      <c r="U5" s="576">
        <f t="shared" si="0"/>
        <v>83008.885067382464</v>
      </c>
      <c r="V5" s="436"/>
      <c r="W5" s="436"/>
      <c r="X5" s="436"/>
    </row>
    <row r="6" spans="1:25" s="9" customFormat="1" ht="11.1" customHeight="1">
      <c r="A6" s="498" t="s">
        <v>701</v>
      </c>
      <c r="B6" s="480">
        <v>29163.283242118639</v>
      </c>
      <c r="C6" s="480">
        <v>19038.108899337632</v>
      </c>
      <c r="D6" s="480">
        <v>7809.7835324582902</v>
      </c>
      <c r="E6" s="480">
        <v>9385.6420626336549</v>
      </c>
      <c r="F6" s="480">
        <v>11828.910059940725</v>
      </c>
      <c r="G6" s="480">
        <v>102.87052779546001</v>
      </c>
      <c r="H6" s="480">
        <v>2651.53684450951</v>
      </c>
      <c r="I6" s="480">
        <v>3174.0609841537071</v>
      </c>
      <c r="J6" s="480">
        <v>2481.4516458887801</v>
      </c>
      <c r="K6" s="480">
        <v>275.82418570616346</v>
      </c>
      <c r="L6" s="480">
        <v>2371.4713983471402</v>
      </c>
      <c r="M6" s="480">
        <v>8.9624438679999994</v>
      </c>
      <c r="N6" s="480">
        <v>173.68251222769157</v>
      </c>
      <c r="O6" s="480">
        <v>6712.3823075712635</v>
      </c>
      <c r="P6" s="480">
        <v>422.0270226909729</v>
      </c>
      <c r="Q6" s="480">
        <v>1914.8794293305637</v>
      </c>
      <c r="R6" s="480">
        <v>239.72250396515088</v>
      </c>
      <c r="S6" s="480">
        <v>178.82062360774498</v>
      </c>
      <c r="T6" s="480">
        <v>3658.1110738488965</v>
      </c>
      <c r="U6" s="480">
        <f t="shared" si="0"/>
        <v>101591.53129999999</v>
      </c>
      <c r="V6" s="83"/>
      <c r="W6" s="83"/>
      <c r="X6" s="83"/>
      <c r="Y6" s="150"/>
    </row>
    <row r="7" spans="1:25" s="152" customFormat="1" ht="11.1" customHeight="1">
      <c r="A7" s="529" t="s">
        <v>809</v>
      </c>
      <c r="B7" s="479">
        <v>30645.329417797999</v>
      </c>
      <c r="C7" s="479">
        <v>22629.954310562003</v>
      </c>
      <c r="D7" s="479">
        <v>7944.261095199</v>
      </c>
      <c r="E7" s="479">
        <v>9487.7621551789998</v>
      </c>
      <c r="F7" s="479">
        <v>14854.690027008</v>
      </c>
      <c r="G7" s="479">
        <v>459.92579137900003</v>
      </c>
      <c r="H7" s="479">
        <v>2297.8989676470005</v>
      </c>
      <c r="I7" s="479">
        <v>4875.3607362970006</v>
      </c>
      <c r="J7" s="479">
        <v>3983.3948069319999</v>
      </c>
      <c r="K7" s="479">
        <v>206.712431503</v>
      </c>
      <c r="L7" s="479">
        <v>2890.2409015500002</v>
      </c>
      <c r="M7" s="479">
        <v>21.251621922999998</v>
      </c>
      <c r="N7" s="479">
        <v>169.73017864899998</v>
      </c>
      <c r="O7" s="479">
        <v>7967.163443454001</v>
      </c>
      <c r="P7" s="479">
        <v>488.01441817900002</v>
      </c>
      <c r="Q7" s="479">
        <v>1866.267097298</v>
      </c>
      <c r="R7" s="479">
        <v>494.83839057</v>
      </c>
      <c r="S7" s="479">
        <v>156.27197931100002</v>
      </c>
      <c r="T7" s="479">
        <v>4207.0907388400001</v>
      </c>
      <c r="U7" s="576">
        <f t="shared" si="0"/>
        <v>115646.158509278</v>
      </c>
      <c r="V7" s="436"/>
      <c r="W7" s="436"/>
      <c r="X7" s="436"/>
    </row>
    <row r="8" spans="1:25" s="25" customFormat="1" ht="11.1" customHeight="1">
      <c r="A8" s="499" t="s">
        <v>982</v>
      </c>
      <c r="B8" s="480">
        <v>24240.140711880998</v>
      </c>
      <c r="C8" s="480">
        <v>20866.964531202</v>
      </c>
      <c r="D8" s="480">
        <v>7004.6693670379991</v>
      </c>
      <c r="E8" s="480">
        <v>8602.8400845840006</v>
      </c>
      <c r="F8" s="480">
        <v>18056.862406150001</v>
      </c>
      <c r="G8" s="480">
        <v>559.41628836799998</v>
      </c>
      <c r="H8" s="480">
        <v>2001.5196785359999</v>
      </c>
      <c r="I8" s="480">
        <v>5448.4327879120001</v>
      </c>
      <c r="J8" s="480">
        <v>3335.1378381119998</v>
      </c>
      <c r="K8" s="480">
        <v>209.31088224700002</v>
      </c>
      <c r="L8" s="480">
        <v>3570.1673695179998</v>
      </c>
      <c r="M8" s="480">
        <v>3.0288693630000005</v>
      </c>
      <c r="N8" s="480">
        <v>132.67317405499998</v>
      </c>
      <c r="O8" s="480">
        <v>8274.3293595220002</v>
      </c>
      <c r="P8" s="480">
        <v>422.62113959999994</v>
      </c>
      <c r="Q8" s="480">
        <v>2095.1929835080005</v>
      </c>
      <c r="R8" s="480">
        <v>455.27028396500003</v>
      </c>
      <c r="S8" s="480">
        <v>137.56719587499998</v>
      </c>
      <c r="T8" s="480">
        <v>5166.238465553999</v>
      </c>
      <c r="U8" s="480">
        <v>110582.38341698998</v>
      </c>
      <c r="V8" s="436"/>
      <c r="W8" s="83"/>
      <c r="X8" s="83"/>
    </row>
    <row r="9" spans="1:25" s="25" customFormat="1" ht="11.1" customHeight="1">
      <c r="A9" s="496" t="s">
        <v>1033</v>
      </c>
      <c r="B9" s="479">
        <v>25987.258654580997</v>
      </c>
      <c r="C9" s="479">
        <v>21934.982243472998</v>
      </c>
      <c r="D9" s="479">
        <v>6309.8007089949997</v>
      </c>
      <c r="E9" s="479">
        <v>8371.9666337629988</v>
      </c>
      <c r="F9" s="479">
        <v>18489.105624444001</v>
      </c>
      <c r="G9" s="479">
        <v>355.14259886400004</v>
      </c>
      <c r="H9" s="479">
        <v>2409.4986989259996</v>
      </c>
      <c r="I9" s="479">
        <v>7109.6637192180006</v>
      </c>
      <c r="J9" s="479">
        <v>3444.4421886290006</v>
      </c>
      <c r="K9" s="479">
        <v>164.36111672899997</v>
      </c>
      <c r="L9" s="479">
        <v>4306.5368910809993</v>
      </c>
      <c r="M9" s="479">
        <v>1.0878520650000001</v>
      </c>
      <c r="N9" s="479">
        <v>126.68805762700001</v>
      </c>
      <c r="O9" s="479">
        <v>10732.610499937999</v>
      </c>
      <c r="P9" s="479">
        <v>480.40710343800004</v>
      </c>
      <c r="Q9" s="479">
        <v>2020.3891492669998</v>
      </c>
      <c r="R9" s="479">
        <v>469.14853845199997</v>
      </c>
      <c r="S9" s="479">
        <v>152.87326095199998</v>
      </c>
      <c r="T9" s="479">
        <v>6116.3519323189985</v>
      </c>
      <c r="U9" s="479">
        <v>118982.31547276098</v>
      </c>
      <c r="V9" s="436"/>
      <c r="W9" s="436"/>
      <c r="X9" s="436"/>
    </row>
    <row r="10" spans="1:25" s="25" customFormat="1" ht="11.1" customHeight="1">
      <c r="A10" s="499" t="s">
        <v>1154</v>
      </c>
      <c r="B10" s="480">
        <v>23165.843384732998</v>
      </c>
      <c r="C10" s="480">
        <v>21248.75908046</v>
      </c>
      <c r="D10" s="480">
        <v>6747.2028958150004</v>
      </c>
      <c r="E10" s="480">
        <v>8122.9117313530023</v>
      </c>
      <c r="F10" s="480">
        <v>18889.249921554001</v>
      </c>
      <c r="G10" s="480">
        <v>95.893180836999989</v>
      </c>
      <c r="H10" s="480">
        <v>3379.2433817339997</v>
      </c>
      <c r="I10" s="480">
        <v>7132.6719513709986</v>
      </c>
      <c r="J10" s="480">
        <v>3046.1566874470004</v>
      </c>
      <c r="K10" s="480">
        <v>204.66359045500002</v>
      </c>
      <c r="L10" s="480">
        <v>3806.9407668829999</v>
      </c>
      <c r="M10" s="480">
        <v>1.4088847410000001</v>
      </c>
      <c r="N10" s="480">
        <v>178.34404229900002</v>
      </c>
      <c r="O10" s="480">
        <v>10364.006886042</v>
      </c>
      <c r="P10" s="480">
        <v>540.57418486999995</v>
      </c>
      <c r="Q10" s="480">
        <v>2736.7067065770002</v>
      </c>
      <c r="R10" s="480">
        <v>506.556349066</v>
      </c>
      <c r="S10" s="480">
        <v>211.20321155199997</v>
      </c>
      <c r="T10" s="480">
        <v>6478.3840429919992</v>
      </c>
      <c r="U10" s="480">
        <v>116856.72088078098</v>
      </c>
      <c r="V10" s="83"/>
      <c r="W10" s="83"/>
      <c r="X10" s="83"/>
    </row>
    <row r="11" spans="1:25" s="25" customFormat="1" ht="11.1" customHeight="1">
      <c r="A11" s="496" t="s">
        <v>1178</v>
      </c>
      <c r="B11" s="479">
        <v>17943.426236539002</v>
      </c>
      <c r="C11" s="479">
        <v>16573.528397069</v>
      </c>
      <c r="D11" s="479">
        <v>6405.7376632189998</v>
      </c>
      <c r="E11" s="479">
        <v>8180.2432115789998</v>
      </c>
      <c r="F11" s="479">
        <v>13373.095621944</v>
      </c>
      <c r="G11" s="479">
        <v>17.628407153000001</v>
      </c>
      <c r="H11" s="479">
        <v>4562.3081073049998</v>
      </c>
      <c r="I11" s="479">
        <v>7107.4456062180016</v>
      </c>
      <c r="J11" s="479">
        <v>2380.5595638059999</v>
      </c>
      <c r="K11" s="479">
        <v>251.78556692700002</v>
      </c>
      <c r="L11" s="479">
        <v>3465.3919270970009</v>
      </c>
      <c r="M11" s="479">
        <v>0.15725730799999998</v>
      </c>
      <c r="N11" s="479">
        <v>181.68376342400001</v>
      </c>
      <c r="O11" s="479">
        <v>8729.7625331060008</v>
      </c>
      <c r="P11" s="479">
        <v>411.69327297199999</v>
      </c>
      <c r="Q11" s="479">
        <v>4047.0763187749994</v>
      </c>
      <c r="R11" s="479">
        <v>638.67820879400006</v>
      </c>
      <c r="S11" s="479">
        <v>150.208864742</v>
      </c>
      <c r="T11" s="479">
        <v>6678.5518861929977</v>
      </c>
      <c r="U11" s="479">
        <v>101098.96241417</v>
      </c>
      <c r="V11" s="436"/>
      <c r="W11" s="436"/>
      <c r="X11" s="436"/>
    </row>
    <row r="12" spans="1:25" s="25" customFormat="1" ht="11.1" customHeight="1">
      <c r="A12" s="499" t="s">
        <v>1298</v>
      </c>
      <c r="B12" s="480">
        <v>21303.057974675001</v>
      </c>
      <c r="C12" s="480">
        <v>19981.775415710003</v>
      </c>
      <c r="D12" s="480">
        <v>9090.1559443150018</v>
      </c>
      <c r="E12" s="480">
        <v>9868.4859093200012</v>
      </c>
      <c r="F12" s="480">
        <v>16410.639824310001</v>
      </c>
      <c r="G12" s="480">
        <v>19.443675874999997</v>
      </c>
      <c r="H12" s="480">
        <v>6950.4103529849999</v>
      </c>
      <c r="I12" s="480">
        <v>7874.3254532150004</v>
      </c>
      <c r="J12" s="480">
        <v>2715.2346651450002</v>
      </c>
      <c r="K12" s="480">
        <v>330.55203132999998</v>
      </c>
      <c r="L12" s="480">
        <v>4451.4895316450002</v>
      </c>
      <c r="M12" s="480">
        <v>0.3327156</v>
      </c>
      <c r="N12" s="480">
        <v>258.69044694500002</v>
      </c>
      <c r="O12" s="480">
        <v>9103.3843674349991</v>
      </c>
      <c r="P12" s="480">
        <v>464.68689706499993</v>
      </c>
      <c r="Q12" s="480">
        <v>5434.0171208399997</v>
      </c>
      <c r="R12" s="480">
        <v>791.06830617999992</v>
      </c>
      <c r="S12" s="480">
        <v>174.71432794999998</v>
      </c>
      <c r="T12" s="480">
        <v>7933.5399799049983</v>
      </c>
      <c r="U12" s="480">
        <v>123156.00494044498</v>
      </c>
      <c r="V12" s="436"/>
      <c r="W12" s="436"/>
      <c r="X12" s="436"/>
    </row>
    <row r="13" spans="1:25" s="25" customFormat="1" ht="11.1" customHeight="1">
      <c r="A13" s="496" t="s">
        <v>1407</v>
      </c>
      <c r="B13" s="479">
        <v>26143.3635736</v>
      </c>
      <c r="C13" s="479">
        <v>21351.112195200003</v>
      </c>
      <c r="D13" s="479">
        <v>9882.1187704000004</v>
      </c>
      <c r="E13" s="479">
        <v>12301.017555900002</v>
      </c>
      <c r="F13" s="479">
        <v>15488.6576974</v>
      </c>
      <c r="G13" s="479">
        <v>65.783767699999999</v>
      </c>
      <c r="H13" s="479">
        <v>8605.6801902999996</v>
      </c>
      <c r="I13" s="479">
        <v>8960.9986872000009</v>
      </c>
      <c r="J13" s="479">
        <v>3096.0592743000002</v>
      </c>
      <c r="K13" s="479">
        <v>509.60950109999999</v>
      </c>
      <c r="L13" s="479">
        <v>3950.0114481000001</v>
      </c>
      <c r="M13" s="479">
        <v>0</v>
      </c>
      <c r="N13" s="479">
        <v>416.43734380000012</v>
      </c>
      <c r="O13" s="479">
        <v>10065.4388858</v>
      </c>
      <c r="P13" s="479">
        <v>480.4309207</v>
      </c>
      <c r="Q13" s="479">
        <v>6368.1924249999993</v>
      </c>
      <c r="R13" s="479">
        <v>945.79052019999995</v>
      </c>
      <c r="S13" s="479">
        <v>168.7680048</v>
      </c>
      <c r="T13" s="479">
        <v>9207.1009232000051</v>
      </c>
      <c r="U13" s="479">
        <v>138006.57168470003</v>
      </c>
      <c r="V13" s="436"/>
      <c r="W13" s="436"/>
      <c r="X13" s="436"/>
    </row>
    <row r="14" spans="1:25" s="689" customFormat="1" ht="11.1" customHeight="1">
      <c r="A14" s="499" t="s">
        <v>1487</v>
      </c>
      <c r="B14" s="480">
        <v>34046.098481299996</v>
      </c>
      <c r="C14" s="480">
        <v>20962.529843</v>
      </c>
      <c r="D14" s="480">
        <v>11571.721058799998</v>
      </c>
      <c r="E14" s="480">
        <v>11633.0822479</v>
      </c>
      <c r="F14" s="480">
        <v>20382.712716000005</v>
      </c>
      <c r="G14" s="480">
        <v>34.065723600000005</v>
      </c>
      <c r="H14" s="480">
        <v>8643.3577769000003</v>
      </c>
      <c r="I14" s="480">
        <v>10517.8744919</v>
      </c>
      <c r="J14" s="480">
        <v>3878.3621465999995</v>
      </c>
      <c r="K14" s="480">
        <v>447.22381150000001</v>
      </c>
      <c r="L14" s="480">
        <v>3706.6695920999996</v>
      </c>
      <c r="M14" s="480">
        <v>8.4499999999999992E-2</v>
      </c>
      <c r="N14" s="480">
        <v>418.39038869999996</v>
      </c>
      <c r="O14" s="480">
        <v>10439.316572900001</v>
      </c>
      <c r="P14" s="480">
        <v>519.89813179999999</v>
      </c>
      <c r="Q14" s="480">
        <v>5926.4297523000005</v>
      </c>
      <c r="R14" s="480">
        <v>1507.8597989999998</v>
      </c>
      <c r="S14" s="480">
        <v>144.8888565</v>
      </c>
      <c r="T14" s="480">
        <v>9572.4952561000027</v>
      </c>
      <c r="U14" s="480">
        <v>154353.06114690003</v>
      </c>
      <c r="V14" s="26"/>
      <c r="W14" s="26"/>
      <c r="X14" s="26"/>
    </row>
    <row r="15" spans="1:25" s="689" customFormat="1" ht="11.1" customHeight="1">
      <c r="A15" s="496" t="s">
        <v>1539</v>
      </c>
      <c r="B15" s="479">
        <v>48521.200303699996</v>
      </c>
      <c r="C15" s="479">
        <v>20692.835907599998</v>
      </c>
      <c r="D15" s="479">
        <v>17161.472797799997</v>
      </c>
      <c r="E15" s="479">
        <v>15998.640572499999</v>
      </c>
      <c r="F15" s="479">
        <v>29357.019671900005</v>
      </c>
      <c r="G15" s="479">
        <v>59.023163700000005</v>
      </c>
      <c r="H15" s="479">
        <v>12298.410095000001</v>
      </c>
      <c r="I15" s="479">
        <v>13023.291548699999</v>
      </c>
      <c r="J15" s="479">
        <v>5299.2566540000007</v>
      </c>
      <c r="K15" s="479">
        <v>567.26565100000005</v>
      </c>
      <c r="L15" s="479">
        <v>4899.6029505999995</v>
      </c>
      <c r="M15" s="479">
        <v>8.4802499999999989E-2</v>
      </c>
      <c r="N15" s="479">
        <v>674.5472201</v>
      </c>
      <c r="O15" s="479">
        <v>16981.377058799997</v>
      </c>
      <c r="P15" s="479">
        <v>1202.2905979</v>
      </c>
      <c r="Q15" s="479">
        <v>6877.0052047999989</v>
      </c>
      <c r="R15" s="479">
        <v>1773.7958544999999</v>
      </c>
      <c r="S15" s="479">
        <v>181.14529060000001</v>
      </c>
      <c r="T15" s="479">
        <v>14562.336121399996</v>
      </c>
      <c r="U15" s="479">
        <v>210130.6014671</v>
      </c>
      <c r="V15" s="26"/>
      <c r="W15" s="26"/>
      <c r="X15" s="26"/>
    </row>
    <row r="16" spans="1:25" s="689" customFormat="1" ht="11.1" customHeight="1">
      <c r="A16" s="499" t="s">
        <v>1810</v>
      </c>
      <c r="B16" s="480">
        <v>39158.175854299996</v>
      </c>
      <c r="C16" s="480">
        <v>17947.8753072</v>
      </c>
      <c r="D16" s="480">
        <v>17614.919640699998</v>
      </c>
      <c r="E16" s="480">
        <v>14591.768105700001</v>
      </c>
      <c r="F16" s="480">
        <v>29681.0637967</v>
      </c>
      <c r="G16" s="480">
        <v>20.136485900000004</v>
      </c>
      <c r="H16" s="480">
        <v>11619.2514574</v>
      </c>
      <c r="I16" s="480">
        <v>7728.6748983999996</v>
      </c>
      <c r="J16" s="480">
        <v>3321.2278345</v>
      </c>
      <c r="K16" s="480">
        <v>722.60180549999995</v>
      </c>
      <c r="L16" s="480">
        <v>4890.2717383000008</v>
      </c>
      <c r="M16" s="480">
        <v>0.93426680000000006</v>
      </c>
      <c r="N16" s="480">
        <v>598.07390220000013</v>
      </c>
      <c r="O16" s="480">
        <v>8813.7038080000002</v>
      </c>
      <c r="P16" s="480">
        <v>1110.0690999000001</v>
      </c>
      <c r="Q16" s="480">
        <v>9111.6374758999991</v>
      </c>
      <c r="R16" s="480">
        <v>1171.3974736</v>
      </c>
      <c r="S16" s="480">
        <v>178.02595140000003</v>
      </c>
      <c r="T16" s="480">
        <v>13300.732195100001</v>
      </c>
      <c r="U16" s="480">
        <v>181580.54109750001</v>
      </c>
      <c r="V16" s="26"/>
      <c r="W16" s="26"/>
      <c r="X16" s="26"/>
    </row>
    <row r="17" spans="1:24" s="689" customFormat="1" ht="11.1" customHeight="1">
      <c r="A17" s="501" t="s">
        <v>2056</v>
      </c>
      <c r="B17" s="497">
        <v>37457.374522400001</v>
      </c>
      <c r="C17" s="497">
        <v>30263.662829199999</v>
      </c>
      <c r="D17" s="497">
        <v>20784.396020799999</v>
      </c>
      <c r="E17" s="497">
        <v>15455.397383300002</v>
      </c>
      <c r="F17" s="497">
        <v>34888.233900599997</v>
      </c>
      <c r="G17" s="497">
        <v>26.302682900000001</v>
      </c>
      <c r="H17" s="497">
        <v>14455.068423000001</v>
      </c>
      <c r="I17" s="497">
        <v>7915.9911605999996</v>
      </c>
      <c r="J17" s="497">
        <v>4237.1926812000002</v>
      </c>
      <c r="K17" s="497">
        <v>1125.2817604000002</v>
      </c>
      <c r="L17" s="497">
        <v>5276.4684546000008</v>
      </c>
      <c r="M17" s="497">
        <v>0.49717749999999999</v>
      </c>
      <c r="N17" s="497">
        <v>1123.2660660000001</v>
      </c>
      <c r="O17" s="497">
        <v>11195.259369900001</v>
      </c>
      <c r="P17" s="497">
        <v>1294.5214367999999</v>
      </c>
      <c r="Q17" s="497">
        <v>11772.177798499997</v>
      </c>
      <c r="R17" s="497">
        <v>1164.7566234000001</v>
      </c>
      <c r="S17" s="497">
        <v>187.69469090000001</v>
      </c>
      <c r="T17" s="497">
        <v>16450.068571699998</v>
      </c>
      <c r="U17" s="497">
        <v>215073.61155369994</v>
      </c>
      <c r="V17" s="26"/>
      <c r="W17" s="26"/>
      <c r="X17" s="26"/>
    </row>
    <row r="18" spans="1:24" s="689" customFormat="1" ht="11.1" customHeight="1">
      <c r="A18" s="500" t="s">
        <v>2188</v>
      </c>
      <c r="B18" s="1257">
        <v>30516.555239938389</v>
      </c>
      <c r="C18" s="1257">
        <v>51233.574854544095</v>
      </c>
      <c r="D18" s="1257">
        <v>31008.447237613305</v>
      </c>
      <c r="E18" s="1257">
        <v>16628.440987672388</v>
      </c>
      <c r="F18" s="1257">
        <v>33027.021355669247</v>
      </c>
      <c r="G18" s="1257">
        <v>20.755184179930001</v>
      </c>
      <c r="H18" s="1257">
        <v>12780.367329326429</v>
      </c>
      <c r="I18" s="1257">
        <v>12520.142477039341</v>
      </c>
      <c r="J18" s="1257">
        <v>7051.056001973071</v>
      </c>
      <c r="K18" s="1257">
        <v>1387.4437819806794</v>
      </c>
      <c r="L18" s="1257">
        <v>7121.2584661642195</v>
      </c>
      <c r="M18" s="1257">
        <v>0.89241208908999992</v>
      </c>
      <c r="N18" s="1257">
        <v>850.94897197372802</v>
      </c>
      <c r="O18" s="1257">
        <v>17942.198721202687</v>
      </c>
      <c r="P18" s="1257">
        <v>1295.717340767618</v>
      </c>
      <c r="Q18" s="1257">
        <v>16245.698173344601</v>
      </c>
      <c r="R18" s="1257">
        <v>1291.7734250035185</v>
      </c>
      <c r="S18" s="1257">
        <v>156.40584079686241</v>
      </c>
      <c r="T18" s="1257">
        <v>25083.484426050796</v>
      </c>
      <c r="U18" s="1257">
        <v>266162.18222732999</v>
      </c>
      <c r="V18" s="26"/>
      <c r="W18" s="26"/>
      <c r="X18" s="26"/>
    </row>
    <row r="19" spans="1:24" s="689" customFormat="1" ht="11.1" customHeight="1">
      <c r="A19" s="501" t="s">
        <v>2439</v>
      </c>
      <c r="B19" s="497">
        <f>SUM(B20:B31)</f>
        <v>51651.943122927405</v>
      </c>
      <c r="C19" s="497">
        <f>SUM(C20:C31)</f>
        <v>50370.006470344852</v>
      </c>
      <c r="D19" s="497">
        <f t="shared" ref="D19:T19" si="1">SUM(D20:D31)</f>
        <v>38396.743499557495</v>
      </c>
      <c r="E19" s="497">
        <f t="shared" si="1"/>
        <v>19633.968505388548</v>
      </c>
      <c r="F19" s="497">
        <f t="shared" si="1"/>
        <v>57180.300050901242</v>
      </c>
      <c r="G19" s="497">
        <f t="shared" si="1"/>
        <v>30.625262582029933</v>
      </c>
      <c r="H19" s="497">
        <f t="shared" si="1"/>
        <v>14582.858114874198</v>
      </c>
      <c r="I19" s="497">
        <f t="shared" si="1"/>
        <v>19788.17265870234</v>
      </c>
      <c r="J19" s="497">
        <f t="shared" si="1"/>
        <v>11867.951435009201</v>
      </c>
      <c r="K19" s="497">
        <f t="shared" si="1"/>
        <v>2183.8969154255733</v>
      </c>
      <c r="L19" s="497">
        <f t="shared" si="1"/>
        <v>9195.3335180042795</v>
      </c>
      <c r="M19" s="497">
        <f t="shared" si="1"/>
        <v>2.0887688486184999</v>
      </c>
      <c r="N19" s="497">
        <f t="shared" si="1"/>
        <v>1276.9010162546597</v>
      </c>
      <c r="O19" s="497">
        <f t="shared" si="1"/>
        <v>33947.252279710599</v>
      </c>
      <c r="P19" s="497">
        <f t="shared" si="1"/>
        <v>2141.6031068994944</v>
      </c>
      <c r="Q19" s="497">
        <f t="shared" si="1"/>
        <v>19977.618983580083</v>
      </c>
      <c r="R19" s="497">
        <f t="shared" si="1"/>
        <v>2751.2306270736035</v>
      </c>
      <c r="S19" s="497">
        <f t="shared" si="1"/>
        <v>231.05261457843994</v>
      </c>
      <c r="T19" s="497">
        <f t="shared" si="1"/>
        <v>31697.657453737356</v>
      </c>
      <c r="U19" s="497">
        <f>SUM(B19:T19)</f>
        <v>366907.20440440002</v>
      </c>
      <c r="V19" s="26"/>
      <c r="W19" s="26"/>
      <c r="X19" s="26"/>
    </row>
    <row r="20" spans="1:24" s="689" customFormat="1" ht="11.1" customHeight="1">
      <c r="A20" s="499" t="s">
        <v>559</v>
      </c>
      <c r="B20" s="698">
        <v>2885.1746354412353</v>
      </c>
      <c r="C20" s="698">
        <v>3923.1439925225372</v>
      </c>
      <c r="D20" s="698">
        <v>2206.9645856979432</v>
      </c>
      <c r="E20" s="698">
        <v>1372.4143918137302</v>
      </c>
      <c r="F20" s="698">
        <v>2818.0882280192832</v>
      </c>
      <c r="G20" s="698">
        <v>1.85550401592</v>
      </c>
      <c r="H20" s="698">
        <v>1050.6222957872101</v>
      </c>
      <c r="I20" s="698">
        <v>1276.3140675174602</v>
      </c>
      <c r="J20" s="698">
        <v>612.7113275065617</v>
      </c>
      <c r="K20" s="698">
        <v>142.0420888327383</v>
      </c>
      <c r="L20" s="698">
        <v>837.24652921949996</v>
      </c>
      <c r="M20" s="698">
        <v>5.6217230999999999E-3</v>
      </c>
      <c r="N20" s="698">
        <v>84.214644938364302</v>
      </c>
      <c r="O20" s="698">
        <v>1540.2179794882329</v>
      </c>
      <c r="P20" s="698">
        <v>137.86005731906431</v>
      </c>
      <c r="Q20" s="698">
        <v>1512.9774925694169</v>
      </c>
      <c r="R20" s="698">
        <v>191.26410077553001</v>
      </c>
      <c r="S20" s="698">
        <v>11.2857188748045</v>
      </c>
      <c r="T20" s="698">
        <v>1964.6863479373674</v>
      </c>
      <c r="U20" s="698">
        <f t="shared" ref="U20:U44" si="2">SUM(B20:T20)</f>
        <v>22569.089610000003</v>
      </c>
      <c r="V20" s="26"/>
      <c r="W20" s="26"/>
      <c r="X20" s="26"/>
    </row>
    <row r="21" spans="1:24" s="689" customFormat="1" ht="11.1" customHeight="1">
      <c r="A21" s="496" t="s">
        <v>560</v>
      </c>
      <c r="B21" s="686">
        <v>3190.8184331995863</v>
      </c>
      <c r="C21" s="686">
        <v>4010.2345891768027</v>
      </c>
      <c r="D21" s="686">
        <v>2051.8723893402589</v>
      </c>
      <c r="E21" s="686">
        <v>1539.2401036988299</v>
      </c>
      <c r="F21" s="686">
        <v>3484.3291789691116</v>
      </c>
      <c r="G21" s="686">
        <v>1.6397615081200001</v>
      </c>
      <c r="H21" s="686">
        <v>1037.434967177066</v>
      </c>
      <c r="I21" s="686">
        <v>1271.927199327723</v>
      </c>
      <c r="J21" s="686">
        <v>792.30249251068449</v>
      </c>
      <c r="K21" s="686">
        <v>177.36294572662001</v>
      </c>
      <c r="L21" s="686">
        <v>786.68371486335002</v>
      </c>
      <c r="M21" s="686">
        <v>4.4911403449999998E-2</v>
      </c>
      <c r="N21" s="686">
        <v>232.08724575629012</v>
      </c>
      <c r="O21" s="686">
        <v>2990.7462408962001</v>
      </c>
      <c r="P21" s="686">
        <v>179.58036229007922</v>
      </c>
      <c r="Q21" s="686">
        <v>1800.4468522772324</v>
      </c>
      <c r="R21" s="686">
        <v>156.69066726625002</v>
      </c>
      <c r="S21" s="686">
        <v>13.713087928874998</v>
      </c>
      <c r="T21" s="686">
        <v>2690.1778066834759</v>
      </c>
      <c r="U21" s="686">
        <f t="shared" si="2"/>
        <v>26407.332950000011</v>
      </c>
      <c r="V21" s="26"/>
      <c r="W21" s="26"/>
      <c r="X21" s="26"/>
    </row>
    <row r="22" spans="1:24" s="689" customFormat="1" ht="11.1" customHeight="1">
      <c r="A22" s="499" t="s">
        <v>554</v>
      </c>
      <c r="B22" s="698">
        <v>4145.3181083098125</v>
      </c>
      <c r="C22" s="698">
        <v>4340.6546181464346</v>
      </c>
      <c r="D22" s="698">
        <v>2467.1234381535587</v>
      </c>
      <c r="E22" s="698">
        <v>1357.4748519074467</v>
      </c>
      <c r="F22" s="698">
        <v>4654.4514147273849</v>
      </c>
      <c r="G22" s="698">
        <v>2.6542035899986525</v>
      </c>
      <c r="H22" s="698">
        <v>1063.6410228312541</v>
      </c>
      <c r="I22" s="698">
        <v>1345.4940013147707</v>
      </c>
      <c r="J22" s="698">
        <v>1003.45710581562</v>
      </c>
      <c r="K22" s="698">
        <v>132.04225768545805</v>
      </c>
      <c r="L22" s="698">
        <v>722.76098403207675</v>
      </c>
      <c r="M22" s="698">
        <v>1.2582360000000001E-2</v>
      </c>
      <c r="N22" s="698">
        <v>144.60831176369987</v>
      </c>
      <c r="O22" s="698">
        <v>2845.4617588833034</v>
      </c>
      <c r="P22" s="698">
        <v>213.78482652619573</v>
      </c>
      <c r="Q22" s="698">
        <v>1748.6538585635128</v>
      </c>
      <c r="R22" s="698">
        <v>140.36014555904788</v>
      </c>
      <c r="S22" s="698">
        <v>20.229519443733597</v>
      </c>
      <c r="T22" s="698">
        <v>2501.136990386698</v>
      </c>
      <c r="U22" s="698">
        <f t="shared" si="2"/>
        <v>28849.320000000003</v>
      </c>
      <c r="V22" s="26"/>
      <c r="W22" s="26"/>
      <c r="X22" s="26"/>
    </row>
    <row r="23" spans="1:24" s="689" customFormat="1" ht="11.1" customHeight="1">
      <c r="A23" s="496" t="s">
        <v>561</v>
      </c>
      <c r="B23" s="686">
        <v>3807.3487662616017</v>
      </c>
      <c r="C23" s="686">
        <v>4004.3221091357273</v>
      </c>
      <c r="D23" s="686">
        <v>2374.4804536318493</v>
      </c>
      <c r="E23" s="686">
        <v>1534.7363893453644</v>
      </c>
      <c r="F23" s="686">
        <v>5975.6689648954143</v>
      </c>
      <c r="G23" s="686">
        <v>1.8838517318752999</v>
      </c>
      <c r="H23" s="686">
        <v>1054.989662048522</v>
      </c>
      <c r="I23" s="686">
        <v>1472.976312802959</v>
      </c>
      <c r="J23" s="686">
        <v>760.99982679920777</v>
      </c>
      <c r="K23" s="686">
        <v>161.10202335511909</v>
      </c>
      <c r="L23" s="686">
        <v>867.59839154119504</v>
      </c>
      <c r="M23" s="686">
        <v>0.12374744063450001</v>
      </c>
      <c r="N23" s="686">
        <v>94.301888948890621</v>
      </c>
      <c r="O23" s="686">
        <v>2347.2114241505328</v>
      </c>
      <c r="P23" s="686">
        <v>148.55908278136923</v>
      </c>
      <c r="Q23" s="686">
        <v>1637.3438916079235</v>
      </c>
      <c r="R23" s="686">
        <v>116.45875328054365</v>
      </c>
      <c r="S23" s="686">
        <v>25.516730058710401</v>
      </c>
      <c r="T23" s="686">
        <v>2354.8826649825605</v>
      </c>
      <c r="U23" s="686">
        <f t="shared" si="2"/>
        <v>28740.504934800007</v>
      </c>
      <c r="V23" s="26"/>
      <c r="W23" s="26"/>
      <c r="X23" s="26"/>
    </row>
    <row r="24" spans="1:24" s="689" customFormat="1" ht="11.1" customHeight="1">
      <c r="A24" s="499" t="s">
        <v>562</v>
      </c>
      <c r="B24" s="698">
        <v>3083.4820115398347</v>
      </c>
      <c r="C24" s="698">
        <v>3485.7025243167818</v>
      </c>
      <c r="D24" s="698">
        <v>2249.3297827482434</v>
      </c>
      <c r="E24" s="698">
        <v>1455.4141809223593</v>
      </c>
      <c r="F24" s="698">
        <v>6143.5487052118997</v>
      </c>
      <c r="G24" s="698">
        <v>3.2403499200000008</v>
      </c>
      <c r="H24" s="698">
        <v>954.49852634148942</v>
      </c>
      <c r="I24" s="698">
        <v>1138.0139167940047</v>
      </c>
      <c r="J24" s="698">
        <v>848.49596778293233</v>
      </c>
      <c r="K24" s="698">
        <v>165.24407570990542</v>
      </c>
      <c r="L24" s="698">
        <v>623.03608142462144</v>
      </c>
      <c r="M24" s="698">
        <v>0.62276748000000004</v>
      </c>
      <c r="N24" s="698">
        <v>97.221415163093823</v>
      </c>
      <c r="O24" s="698">
        <v>2304.2948598076305</v>
      </c>
      <c r="P24" s="698">
        <v>146.67095006699341</v>
      </c>
      <c r="Q24" s="698">
        <v>1281.7746877311115</v>
      </c>
      <c r="R24" s="698">
        <v>194.29350312000008</v>
      </c>
      <c r="S24" s="698">
        <v>21.925662599454892</v>
      </c>
      <c r="T24" s="698">
        <v>2203.0700313196385</v>
      </c>
      <c r="U24" s="698">
        <f t="shared" si="2"/>
        <v>26399.879999999997</v>
      </c>
      <c r="V24" s="26"/>
      <c r="W24" s="26"/>
      <c r="X24" s="26"/>
    </row>
    <row r="25" spans="1:24" s="689" customFormat="1" ht="11.1" customHeight="1">
      <c r="A25" s="496" t="s">
        <v>555</v>
      </c>
      <c r="B25" s="686">
        <v>3479.9549322831035</v>
      </c>
      <c r="C25" s="686">
        <v>4450.2311130739554</v>
      </c>
      <c r="D25" s="686">
        <v>2981.751126243943</v>
      </c>
      <c r="E25" s="686">
        <v>1579.6262306410583</v>
      </c>
      <c r="F25" s="686">
        <v>6780.4482388171236</v>
      </c>
      <c r="G25" s="686">
        <v>2.4615769199999997</v>
      </c>
      <c r="H25" s="686">
        <v>1221.8172069505604</v>
      </c>
      <c r="I25" s="686">
        <v>1806.9748062905328</v>
      </c>
      <c r="J25" s="686">
        <v>977.18060294761358</v>
      </c>
      <c r="K25" s="686">
        <v>204.21620315934024</v>
      </c>
      <c r="L25" s="686">
        <v>691.11100998095981</v>
      </c>
      <c r="M25" s="686">
        <v>0.16162499999999996</v>
      </c>
      <c r="N25" s="686">
        <v>89.677711568620538</v>
      </c>
      <c r="O25" s="686">
        <v>3095.9710949853484</v>
      </c>
      <c r="P25" s="686">
        <v>142.14168667653959</v>
      </c>
      <c r="Q25" s="686">
        <v>1332.8664369782298</v>
      </c>
      <c r="R25" s="686">
        <v>212.95971623999995</v>
      </c>
      <c r="S25" s="686">
        <v>15.521655861600005</v>
      </c>
      <c r="T25" s="686">
        <v>2600.1670253814691</v>
      </c>
      <c r="U25" s="686">
        <f t="shared" si="2"/>
        <v>31665.239999999998</v>
      </c>
      <c r="V25" s="26"/>
      <c r="W25" s="26"/>
      <c r="X25" s="26"/>
    </row>
    <row r="26" spans="1:24" s="689" customFormat="1" ht="11.1" customHeight="1">
      <c r="A26" s="499" t="s">
        <v>563</v>
      </c>
      <c r="B26" s="698">
        <v>3293.9470281053714</v>
      </c>
      <c r="C26" s="698">
        <v>3042.7561418603073</v>
      </c>
      <c r="D26" s="698">
        <v>3333.4617701197421</v>
      </c>
      <c r="E26" s="698">
        <v>1657.3859543285944</v>
      </c>
      <c r="F26" s="698">
        <v>4968.7187434486732</v>
      </c>
      <c r="G26" s="698">
        <v>2.5272083627707995</v>
      </c>
      <c r="H26" s="698">
        <v>1175.8596174447659</v>
      </c>
      <c r="I26" s="698">
        <v>1547.453927726292</v>
      </c>
      <c r="J26" s="698">
        <v>790.67985716001078</v>
      </c>
      <c r="K26" s="698">
        <v>183.75698113735217</v>
      </c>
      <c r="L26" s="698">
        <v>533.75662697276812</v>
      </c>
      <c r="M26" s="698">
        <v>2.6467552446100003E-2</v>
      </c>
      <c r="N26" s="698">
        <v>70.338686029172578</v>
      </c>
      <c r="O26" s="698">
        <v>1884.366838138696</v>
      </c>
      <c r="P26" s="698">
        <v>155.11901328063303</v>
      </c>
      <c r="Q26" s="698">
        <v>1597.1918107229301</v>
      </c>
      <c r="R26" s="698">
        <v>190.68645938268247</v>
      </c>
      <c r="S26" s="698">
        <v>10.842205120226208</v>
      </c>
      <c r="T26" s="698">
        <v>2204.7381088065658</v>
      </c>
      <c r="U26" s="698">
        <f t="shared" si="2"/>
        <v>26643.613445699997</v>
      </c>
      <c r="V26" s="26"/>
      <c r="W26" s="26"/>
      <c r="X26" s="26"/>
    </row>
    <row r="27" spans="1:24" s="689" customFormat="1" ht="11.1" customHeight="1">
      <c r="A27" s="496" t="s">
        <v>564</v>
      </c>
      <c r="B27" s="686">
        <v>4011.8560078080054</v>
      </c>
      <c r="C27" s="686">
        <v>4086.2966753783235</v>
      </c>
      <c r="D27" s="686">
        <v>3727.2898215441833</v>
      </c>
      <c r="E27" s="686">
        <v>1721.5003529904759</v>
      </c>
      <c r="F27" s="686">
        <v>5993.3315862668551</v>
      </c>
      <c r="G27" s="686">
        <v>2.9625057480000003</v>
      </c>
      <c r="H27" s="686">
        <v>1220.3689997751806</v>
      </c>
      <c r="I27" s="686">
        <v>1509.3710477618288</v>
      </c>
      <c r="J27" s="686">
        <v>959.21950161614495</v>
      </c>
      <c r="K27" s="686">
        <v>271.60285869359063</v>
      </c>
      <c r="L27" s="686">
        <v>686.24856920938669</v>
      </c>
      <c r="M27" s="686">
        <v>0.11496938400000001</v>
      </c>
      <c r="N27" s="686">
        <v>98.540423289410057</v>
      </c>
      <c r="O27" s="686">
        <v>2243.1721043374628</v>
      </c>
      <c r="P27" s="686">
        <v>145.36072799788093</v>
      </c>
      <c r="Q27" s="686">
        <v>1355.7103138506977</v>
      </c>
      <c r="R27" s="686">
        <v>271.31017680630032</v>
      </c>
      <c r="S27" s="686">
        <v>14.478108690593881</v>
      </c>
      <c r="T27" s="686">
        <v>2518.5952488516791</v>
      </c>
      <c r="U27" s="686">
        <f t="shared" si="2"/>
        <v>30837.33</v>
      </c>
      <c r="V27" s="26"/>
      <c r="W27" s="26"/>
      <c r="X27" s="26"/>
    </row>
    <row r="28" spans="1:24" s="689" customFormat="1" ht="11.1" customHeight="1">
      <c r="A28" s="499" t="s">
        <v>556</v>
      </c>
      <c r="B28" s="698">
        <v>5470.8318524074575</v>
      </c>
      <c r="C28" s="698">
        <v>6201.969998049065</v>
      </c>
      <c r="D28" s="698">
        <v>4723.6874905101067</v>
      </c>
      <c r="E28" s="698">
        <v>2253.2633082633479</v>
      </c>
      <c r="F28" s="698">
        <v>6662.7467117153919</v>
      </c>
      <c r="G28" s="698">
        <v>4.5059938720000003</v>
      </c>
      <c r="H28" s="698">
        <v>1429.3311896334308</v>
      </c>
      <c r="I28" s="698">
        <v>2275.0981577805051</v>
      </c>
      <c r="J28" s="698">
        <v>1160.9143387913959</v>
      </c>
      <c r="K28" s="698">
        <v>234.08192184778736</v>
      </c>
      <c r="L28" s="698">
        <v>649.74040379848395</v>
      </c>
      <c r="M28" s="698">
        <v>0.27236024200000003</v>
      </c>
      <c r="N28" s="698">
        <v>90.756430617505387</v>
      </c>
      <c r="O28" s="698">
        <v>3549.0929446774398</v>
      </c>
      <c r="P28" s="698">
        <v>246.0898850308412</v>
      </c>
      <c r="Q28" s="698">
        <v>1905.2960516666985</v>
      </c>
      <c r="R28" s="698">
        <v>239.80973984865918</v>
      </c>
      <c r="S28" s="698">
        <v>26.567920029616069</v>
      </c>
      <c r="T28" s="698">
        <v>3082.6293012182678</v>
      </c>
      <c r="U28" s="698">
        <f t="shared" si="2"/>
        <v>40206.686000000002</v>
      </c>
      <c r="V28" s="26"/>
      <c r="W28" s="26"/>
      <c r="X28" s="26"/>
    </row>
    <row r="29" spans="1:24" s="689" customFormat="1" ht="11.1" customHeight="1">
      <c r="A29" s="496" t="s">
        <v>565</v>
      </c>
      <c r="B29" s="686">
        <v>5995.3790895125367</v>
      </c>
      <c r="C29" s="686">
        <v>4540.5301899478854</v>
      </c>
      <c r="D29" s="686">
        <v>3588.0396888712107</v>
      </c>
      <c r="E29" s="686">
        <v>1985.2919529617443</v>
      </c>
      <c r="F29" s="686">
        <v>4036.614105385544</v>
      </c>
      <c r="G29" s="686">
        <v>1.2025014180000002</v>
      </c>
      <c r="H29" s="686">
        <v>1271.8837227426079</v>
      </c>
      <c r="I29" s="686">
        <v>1809.7591903637858</v>
      </c>
      <c r="J29" s="686">
        <v>1446.7194910799417</v>
      </c>
      <c r="K29" s="686">
        <v>206.39342783930184</v>
      </c>
      <c r="L29" s="686">
        <v>787.25183914260776</v>
      </c>
      <c r="M29" s="686">
        <v>0.29080566599999996</v>
      </c>
      <c r="N29" s="686">
        <v>103.89858997816991</v>
      </c>
      <c r="O29" s="686">
        <v>2572.925192449432</v>
      </c>
      <c r="P29" s="686">
        <v>199.32699783840181</v>
      </c>
      <c r="Q29" s="686">
        <v>1837.2220537771416</v>
      </c>
      <c r="R29" s="686">
        <v>297.78992545952917</v>
      </c>
      <c r="S29" s="686">
        <v>25.271161709734017</v>
      </c>
      <c r="T29" s="686">
        <v>2872.6360738564217</v>
      </c>
      <c r="U29" s="686">
        <f t="shared" si="2"/>
        <v>33578.425999999992</v>
      </c>
      <c r="V29" s="26"/>
      <c r="W29" s="26"/>
      <c r="X29" s="26"/>
    </row>
    <row r="30" spans="1:24" s="689" customFormat="1" ht="11.1" customHeight="1">
      <c r="A30" s="499" t="s">
        <v>566</v>
      </c>
      <c r="B30" s="698">
        <v>6524.1357828118207</v>
      </c>
      <c r="C30" s="698">
        <v>4295.6955148749557</v>
      </c>
      <c r="D30" s="698">
        <v>4243.8972181036588</v>
      </c>
      <c r="E30" s="698">
        <v>1714.7620115779177</v>
      </c>
      <c r="F30" s="698">
        <v>2736.2905970129709</v>
      </c>
      <c r="G30" s="698">
        <v>2.1550153121369999</v>
      </c>
      <c r="H30" s="698">
        <v>1669.7076235450772</v>
      </c>
      <c r="I30" s="698">
        <v>2219.0661620908968</v>
      </c>
      <c r="J30" s="698">
        <v>1336.4517517558393</v>
      </c>
      <c r="K30" s="698">
        <v>171.25802997054615</v>
      </c>
      <c r="L30" s="698">
        <v>1041.06446343824</v>
      </c>
      <c r="M30" s="698">
        <v>0.24883761745799998</v>
      </c>
      <c r="N30" s="698">
        <v>85.722052615917818</v>
      </c>
      <c r="O30" s="698">
        <v>4164.6138424884366</v>
      </c>
      <c r="P30" s="698">
        <v>229.3714632651558</v>
      </c>
      <c r="Q30" s="698">
        <v>1943.8908625805921</v>
      </c>
      <c r="R30" s="698">
        <v>406.10461176144361</v>
      </c>
      <c r="S30" s="698">
        <v>29.025908799110272</v>
      </c>
      <c r="T30" s="698">
        <v>3515.2444223778248</v>
      </c>
      <c r="U30" s="698">
        <f t="shared" si="2"/>
        <v>36328.706171999998</v>
      </c>
      <c r="V30" s="26"/>
      <c r="W30" s="26"/>
      <c r="X30" s="26"/>
    </row>
    <row r="31" spans="1:24" s="689" customFormat="1" ht="11.1" customHeight="1">
      <c r="A31" s="496" t="s">
        <v>557</v>
      </c>
      <c r="B31" s="686">
        <v>5763.6964752470376</v>
      </c>
      <c r="C31" s="686">
        <v>3988.4690038620743</v>
      </c>
      <c r="D31" s="686">
        <v>4448.8457345927964</v>
      </c>
      <c r="E31" s="686">
        <v>1462.8587769376813</v>
      </c>
      <c r="F31" s="686">
        <v>2926.0635764315793</v>
      </c>
      <c r="G31" s="686">
        <v>3.5367901832081805</v>
      </c>
      <c r="H31" s="686">
        <v>1432.7032805970359</v>
      </c>
      <c r="I31" s="686">
        <v>2115.7238689315809</v>
      </c>
      <c r="J31" s="686">
        <v>1178.8191712432485</v>
      </c>
      <c r="K31" s="686">
        <v>134.79410146781385</v>
      </c>
      <c r="L31" s="686">
        <v>968.83490438108799</v>
      </c>
      <c r="M31" s="686">
        <v>0.16407297952989999</v>
      </c>
      <c r="N31" s="686">
        <v>85.533615585524473</v>
      </c>
      <c r="O31" s="686">
        <v>4409.1779994078815</v>
      </c>
      <c r="P31" s="686">
        <v>197.73805382633947</v>
      </c>
      <c r="Q31" s="686">
        <v>2024.2446712545971</v>
      </c>
      <c r="R31" s="686">
        <v>333.50282757361737</v>
      </c>
      <c r="S31" s="686">
        <v>16.6749354619811</v>
      </c>
      <c r="T31" s="686">
        <v>3189.6934319353868</v>
      </c>
      <c r="U31" s="686">
        <f t="shared" si="2"/>
        <v>34681.075291900008</v>
      </c>
      <c r="V31" s="26"/>
      <c r="W31" s="26"/>
      <c r="X31" s="26"/>
    </row>
    <row r="32" spans="1:24" s="689" customFormat="1" ht="11.1" customHeight="1">
      <c r="A32" s="500" t="s">
        <v>2664</v>
      </c>
      <c r="B32" s="1726">
        <f>SUM(B33:B44)</f>
        <v>71586.202083070559</v>
      </c>
      <c r="C32" s="1726">
        <f>SUM(C33:C44)</f>
        <v>56088.194283172954</v>
      </c>
      <c r="D32" s="1726">
        <f t="shared" ref="D32:T32" si="3">SUM(D33:D44)</f>
        <v>62062.228624247538</v>
      </c>
      <c r="E32" s="1726">
        <f t="shared" si="3"/>
        <v>21576.031775686224</v>
      </c>
      <c r="F32" s="1726">
        <f t="shared" si="3"/>
        <v>36866.901878700577</v>
      </c>
      <c r="G32" s="1726">
        <f t="shared" si="3"/>
        <v>23.685553884551737</v>
      </c>
      <c r="H32" s="1726">
        <f t="shared" si="3"/>
        <v>19068.097547674228</v>
      </c>
      <c r="I32" s="1726">
        <f t="shared" si="3"/>
        <v>25053.738369557199</v>
      </c>
      <c r="J32" s="1726">
        <f t="shared" si="3"/>
        <v>18276.308086810601</v>
      </c>
      <c r="K32" s="1726">
        <f t="shared" si="3"/>
        <v>1862.7584927051098</v>
      </c>
      <c r="L32" s="1726">
        <f t="shared" si="3"/>
        <v>9458.7769722159937</v>
      </c>
      <c r="M32" s="1726">
        <f t="shared" si="3"/>
        <v>1.5286994588421896</v>
      </c>
      <c r="N32" s="1726">
        <f t="shared" si="3"/>
        <v>1158.2242026518854</v>
      </c>
      <c r="O32" s="1726">
        <f t="shared" si="3"/>
        <v>41626.497531319343</v>
      </c>
      <c r="P32" s="1726">
        <f t="shared" si="3"/>
        <v>3159.5147752095691</v>
      </c>
      <c r="Q32" s="1726">
        <f t="shared" si="3"/>
        <v>25089.211055469259</v>
      </c>
      <c r="R32" s="1726">
        <f t="shared" si="3"/>
        <v>3333.8717821285964</v>
      </c>
      <c r="S32" s="1726">
        <f t="shared" si="3"/>
        <v>308.90503868056112</v>
      </c>
      <c r="T32" s="1726">
        <f t="shared" si="3"/>
        <v>38811.733662282873</v>
      </c>
      <c r="U32" s="1726">
        <f>SUM(B32:T32)</f>
        <v>435412.41041492642</v>
      </c>
      <c r="V32" s="26"/>
      <c r="W32" s="26"/>
      <c r="X32" s="26"/>
    </row>
    <row r="33" spans="1:24" s="689" customFormat="1" ht="11.1" customHeight="1">
      <c r="A33" s="496" t="s">
        <v>559</v>
      </c>
      <c r="B33" s="686">
        <v>5199.9972646467804</v>
      </c>
      <c r="C33" s="686">
        <v>3461.6451396065531</v>
      </c>
      <c r="D33" s="686">
        <v>3446.1323282587218</v>
      </c>
      <c r="E33" s="686">
        <v>1610.9405620046175</v>
      </c>
      <c r="F33" s="686">
        <v>2709.788269454697</v>
      </c>
      <c r="G33" s="686">
        <v>1.9202798531516774</v>
      </c>
      <c r="H33" s="686">
        <v>1288.2149863764694</v>
      </c>
      <c r="I33" s="686">
        <v>1704.905876130912</v>
      </c>
      <c r="J33" s="686">
        <v>1073.9860963812855</v>
      </c>
      <c r="K33" s="686">
        <v>145.88145196161545</v>
      </c>
      <c r="L33" s="686">
        <v>768.96519639572341</v>
      </c>
      <c r="M33" s="686">
        <v>0.11735750050592622</v>
      </c>
      <c r="N33" s="686">
        <v>88.450848081993684</v>
      </c>
      <c r="O33" s="686">
        <v>3255.7714360754712</v>
      </c>
      <c r="P33" s="686">
        <v>190.80311407270992</v>
      </c>
      <c r="Q33" s="686">
        <v>2060.6379937347374</v>
      </c>
      <c r="R33" s="686">
        <v>257.55584314432207</v>
      </c>
      <c r="S33" s="686">
        <v>28.237513865841827</v>
      </c>
      <c r="T33" s="686">
        <v>2927.0686920835938</v>
      </c>
      <c r="U33" s="686">
        <f t="shared" si="2"/>
        <v>30221.020249629702</v>
      </c>
      <c r="V33" s="26"/>
      <c r="W33" s="26"/>
      <c r="X33" s="26"/>
    </row>
    <row r="34" spans="1:24" s="689" customFormat="1" ht="11.1" customHeight="1">
      <c r="A34" s="499" t="s">
        <v>560</v>
      </c>
      <c r="B34" s="698">
        <v>4839.0858484075516</v>
      </c>
      <c r="C34" s="698">
        <v>3237.2319780520684</v>
      </c>
      <c r="D34" s="698">
        <v>3402.3443045395811</v>
      </c>
      <c r="E34" s="698">
        <v>1319.5141877014883</v>
      </c>
      <c r="F34" s="698">
        <v>2819.2186888185083</v>
      </c>
      <c r="G34" s="698">
        <v>1.2630357568959527</v>
      </c>
      <c r="H34" s="698">
        <v>1119.5423284407675</v>
      </c>
      <c r="I34" s="698">
        <v>1782.5721423473369</v>
      </c>
      <c r="J34" s="698">
        <v>1346.6130253620126</v>
      </c>
      <c r="K34" s="698">
        <v>134.42484897223997</v>
      </c>
      <c r="L34" s="698">
        <v>670.47231534823595</v>
      </c>
      <c r="M34" s="698">
        <v>0.11380341164903399</v>
      </c>
      <c r="N34" s="698">
        <v>120.14966716024144</v>
      </c>
      <c r="O34" s="698">
        <v>3364.0548462758998</v>
      </c>
      <c r="P34" s="698">
        <v>160.39932803785027</v>
      </c>
      <c r="Q34" s="698">
        <v>2031.0949999150548</v>
      </c>
      <c r="R34" s="698">
        <v>272.80537414212995</v>
      </c>
      <c r="S34" s="698">
        <v>19.067364697430282</v>
      </c>
      <c r="T34" s="698">
        <v>2838.9510062190579</v>
      </c>
      <c r="U34" s="698">
        <f t="shared" si="2"/>
        <v>29478.919093606</v>
      </c>
      <c r="V34" s="26"/>
      <c r="W34" s="26"/>
      <c r="X34" s="26"/>
    </row>
    <row r="35" spans="1:24" s="689" customFormat="1" ht="11.1" customHeight="1">
      <c r="A35" s="496" t="s">
        <v>554</v>
      </c>
      <c r="B35" s="686">
        <v>4990.6604935645282</v>
      </c>
      <c r="C35" s="686">
        <v>4073.2247444499308</v>
      </c>
      <c r="D35" s="686">
        <v>4461.3286457237919</v>
      </c>
      <c r="E35" s="686">
        <v>1544.0542386706995</v>
      </c>
      <c r="F35" s="686">
        <v>2101.8980340838029</v>
      </c>
      <c r="G35" s="686">
        <v>1.628389803982796</v>
      </c>
      <c r="H35" s="686">
        <v>1517.0981409116102</v>
      </c>
      <c r="I35" s="686">
        <v>1807.1642536470076</v>
      </c>
      <c r="J35" s="686">
        <v>1572.6489498946673</v>
      </c>
      <c r="K35" s="686">
        <v>143.17007888352538</v>
      </c>
      <c r="L35" s="686">
        <v>1013.3537217581157</v>
      </c>
      <c r="M35" s="686">
        <v>0.1028862900953362</v>
      </c>
      <c r="N35" s="686">
        <v>105.9266530523018</v>
      </c>
      <c r="O35" s="686">
        <v>3334.1237946006345</v>
      </c>
      <c r="P35" s="686">
        <v>220.31638384888873</v>
      </c>
      <c r="Q35" s="686">
        <v>2159.1457799032837</v>
      </c>
      <c r="R35" s="686">
        <v>307.48597880176737</v>
      </c>
      <c r="S35" s="686">
        <v>19.605841492582776</v>
      </c>
      <c r="T35" s="686">
        <v>3321.5228979927101</v>
      </c>
      <c r="U35" s="686">
        <f t="shared" si="2"/>
        <v>32694.459907373926</v>
      </c>
      <c r="V35" s="26"/>
      <c r="W35" s="26"/>
      <c r="X35" s="26"/>
    </row>
    <row r="36" spans="1:24" s="689" customFormat="1" ht="11.1" customHeight="1">
      <c r="A36" s="499" t="s">
        <v>561</v>
      </c>
      <c r="B36" s="698">
        <v>4706.3342670170923</v>
      </c>
      <c r="C36" s="698">
        <v>3626.7748556132174</v>
      </c>
      <c r="D36" s="698">
        <v>4425.4769573677768</v>
      </c>
      <c r="E36" s="698">
        <v>1536.3503383178611</v>
      </c>
      <c r="F36" s="698">
        <v>2345.918351357936</v>
      </c>
      <c r="G36" s="698">
        <v>2.086597999519932</v>
      </c>
      <c r="H36" s="698">
        <v>1546.5626982610672</v>
      </c>
      <c r="I36" s="698">
        <v>1976.8926238161978</v>
      </c>
      <c r="J36" s="698">
        <v>1276.3208612154037</v>
      </c>
      <c r="K36" s="698">
        <v>153.23260700425561</v>
      </c>
      <c r="L36" s="698">
        <v>785.9393754362809</v>
      </c>
      <c r="M36" s="698">
        <v>7.0133088070370331E-2</v>
      </c>
      <c r="N36" s="698">
        <v>87.657864326744985</v>
      </c>
      <c r="O36" s="698">
        <v>3415.8087950704148</v>
      </c>
      <c r="P36" s="698">
        <v>176.03535982134252</v>
      </c>
      <c r="Q36" s="698">
        <v>1972.9618717280205</v>
      </c>
      <c r="R36" s="698">
        <v>291.75234531635772</v>
      </c>
      <c r="S36" s="698">
        <v>22.5243135254564</v>
      </c>
      <c r="T36" s="698">
        <v>2914.2490012302956</v>
      </c>
      <c r="U36" s="698">
        <f t="shared" si="2"/>
        <v>31262.949217513316</v>
      </c>
      <c r="V36" s="26"/>
      <c r="W36" s="26"/>
      <c r="X36" s="26"/>
    </row>
    <row r="37" spans="1:24" s="689" customFormat="1" ht="11.1" customHeight="1">
      <c r="A37" s="496" t="s">
        <v>562</v>
      </c>
      <c r="B37" s="686">
        <v>5269.6153062126286</v>
      </c>
      <c r="C37" s="686">
        <v>4908.4257836129755</v>
      </c>
      <c r="D37" s="686">
        <v>4628.0363671652394</v>
      </c>
      <c r="E37" s="686">
        <v>1824.7589024759266</v>
      </c>
      <c r="F37" s="686">
        <v>2538.5387294795537</v>
      </c>
      <c r="G37" s="686">
        <v>1.4645228857672747</v>
      </c>
      <c r="H37" s="686">
        <v>1789.2586447544959</v>
      </c>
      <c r="I37" s="686">
        <v>2113.0511357913142</v>
      </c>
      <c r="J37" s="686">
        <v>1433.0111261803208</v>
      </c>
      <c r="K37" s="686">
        <v>169.15930893997208</v>
      </c>
      <c r="L37" s="686">
        <v>1031.4353107892271</v>
      </c>
      <c r="M37" s="686">
        <v>0.17017276149900001</v>
      </c>
      <c r="N37" s="686">
        <v>90.285875154833548</v>
      </c>
      <c r="O37" s="686">
        <v>4050.8972000814319</v>
      </c>
      <c r="P37" s="686">
        <v>204.21637771437048</v>
      </c>
      <c r="Q37" s="686">
        <v>1918.0677291036288</v>
      </c>
      <c r="R37" s="686">
        <v>281.15542253444784</v>
      </c>
      <c r="S37" s="686">
        <v>21.042252487113192</v>
      </c>
      <c r="T37" s="686">
        <v>3074.3565416939377</v>
      </c>
      <c r="U37" s="686">
        <f t="shared" si="2"/>
        <v>35346.946709818687</v>
      </c>
      <c r="V37" s="26"/>
      <c r="W37" s="26"/>
      <c r="X37" s="26"/>
    </row>
    <row r="38" spans="1:24" s="9" customFormat="1" ht="11.1" customHeight="1">
      <c r="A38" s="499" t="s">
        <v>555</v>
      </c>
      <c r="B38" s="698">
        <v>5985.1350111069332</v>
      </c>
      <c r="C38" s="698">
        <v>5821.5719882321773</v>
      </c>
      <c r="D38" s="698">
        <v>4943.1504799722525</v>
      </c>
      <c r="E38" s="698">
        <v>2009.5163050512631</v>
      </c>
      <c r="F38" s="698">
        <v>3162.7239006858449</v>
      </c>
      <c r="G38" s="698">
        <v>2.5495629916823352</v>
      </c>
      <c r="H38" s="698">
        <v>1773.3754782655767</v>
      </c>
      <c r="I38" s="698">
        <v>2201.6434243751473</v>
      </c>
      <c r="J38" s="698">
        <v>1405.9419328025065</v>
      </c>
      <c r="K38" s="698">
        <v>189.72679782408343</v>
      </c>
      <c r="L38" s="698">
        <v>978.21111285028087</v>
      </c>
      <c r="M38" s="698">
        <v>0.30835467982703602</v>
      </c>
      <c r="N38" s="698">
        <v>117.30676179160646</v>
      </c>
      <c r="O38" s="698">
        <v>3947.5787887313904</v>
      </c>
      <c r="P38" s="698">
        <v>335.72449588439952</v>
      </c>
      <c r="Q38" s="698">
        <v>2380.9175186172038</v>
      </c>
      <c r="R38" s="698">
        <v>347.1883790550304</v>
      </c>
      <c r="S38" s="698">
        <v>23.80572222830715</v>
      </c>
      <c r="T38" s="698">
        <v>3796.716004187891</v>
      </c>
      <c r="U38" s="698">
        <f t="shared" si="2"/>
        <v>39423.092019333402</v>
      </c>
      <c r="W38" s="26"/>
      <c r="X38" s="26"/>
    </row>
    <row r="39" spans="1:24" s="9" customFormat="1" ht="11.1" customHeight="1">
      <c r="A39" s="496" t="s">
        <v>563</v>
      </c>
      <c r="B39" s="686">
        <v>5805.9227787924538</v>
      </c>
      <c r="C39" s="686">
        <v>4746.671141020006</v>
      </c>
      <c r="D39" s="686">
        <v>5740.9626899520972</v>
      </c>
      <c r="E39" s="686">
        <v>2064.6423501089748</v>
      </c>
      <c r="F39" s="686">
        <v>3363.6115973435235</v>
      </c>
      <c r="G39" s="686">
        <v>2.8096245877489343</v>
      </c>
      <c r="H39" s="686">
        <v>1687.7140036473515</v>
      </c>
      <c r="I39" s="686">
        <v>2227.7817428016165</v>
      </c>
      <c r="J39" s="686">
        <v>1732.4673300702877</v>
      </c>
      <c r="K39" s="686">
        <v>171.19375496778898</v>
      </c>
      <c r="L39" s="686">
        <v>853.32269915488064</v>
      </c>
      <c r="M39" s="686">
        <v>7.7910381928845862E-2</v>
      </c>
      <c r="N39" s="686">
        <v>119.57254405717507</v>
      </c>
      <c r="O39" s="686">
        <v>3428.538965312996</v>
      </c>
      <c r="P39" s="686">
        <v>326.86679326982141</v>
      </c>
      <c r="Q39" s="686">
        <v>2304.0237846088776</v>
      </c>
      <c r="R39" s="686">
        <v>313.64068496610815</v>
      </c>
      <c r="S39" s="686">
        <v>69.06173101145076</v>
      </c>
      <c r="T39" s="686">
        <v>3837.7485737533343</v>
      </c>
      <c r="U39" s="686">
        <f t="shared" si="2"/>
        <v>38796.630699808426</v>
      </c>
      <c r="V39" s="150"/>
      <c r="W39" s="26"/>
      <c r="X39" s="26"/>
    </row>
    <row r="40" spans="1:24" s="9" customFormat="1" ht="11.1" customHeight="1">
      <c r="A40" s="499" t="s">
        <v>564</v>
      </c>
      <c r="B40" s="698">
        <v>5996.7340747057924</v>
      </c>
      <c r="C40" s="698">
        <v>4580.0183431389642</v>
      </c>
      <c r="D40" s="698">
        <v>5422.7756296130019</v>
      </c>
      <c r="E40" s="698">
        <v>1811.6332656004433</v>
      </c>
      <c r="F40" s="698">
        <v>3380.0400786951941</v>
      </c>
      <c r="G40" s="698">
        <v>1.2726763823983338</v>
      </c>
      <c r="H40" s="698">
        <v>1539.1450246229965</v>
      </c>
      <c r="I40" s="698">
        <v>2177.0118299353921</v>
      </c>
      <c r="J40" s="698">
        <v>1782.9248989547555</v>
      </c>
      <c r="K40" s="698">
        <v>126.37871216925177</v>
      </c>
      <c r="L40" s="698">
        <v>613.7960005013681</v>
      </c>
      <c r="M40" s="698">
        <v>7.2176820374999978E-2</v>
      </c>
      <c r="N40" s="698">
        <v>94.034562281054548</v>
      </c>
      <c r="O40" s="698">
        <v>3883.7804845348655</v>
      </c>
      <c r="P40" s="698">
        <v>310.64153786777592</v>
      </c>
      <c r="Q40" s="698">
        <v>1960.44168627422</v>
      </c>
      <c r="R40" s="698">
        <v>308.14098355483168</v>
      </c>
      <c r="S40" s="698">
        <v>13.283090192215118</v>
      </c>
      <c r="T40" s="698">
        <v>2926.4965771411444</v>
      </c>
      <c r="U40" s="698">
        <f t="shared" si="2"/>
        <v>36928.621632986047</v>
      </c>
      <c r="V40" s="150"/>
      <c r="W40" s="26"/>
      <c r="X40" s="26"/>
    </row>
    <row r="41" spans="1:24" s="9" customFormat="1" ht="11.1" customHeight="1">
      <c r="A41" s="496" t="s">
        <v>556</v>
      </c>
      <c r="B41" s="686">
        <v>8641.3077185629209</v>
      </c>
      <c r="C41" s="686">
        <v>7190.3491031314716</v>
      </c>
      <c r="D41" s="686">
        <v>6458.6427128627438</v>
      </c>
      <c r="E41" s="686">
        <v>2190.9686573547697</v>
      </c>
      <c r="F41" s="686">
        <v>4482.0060451337577</v>
      </c>
      <c r="G41" s="686">
        <v>2.9576812633039009</v>
      </c>
      <c r="H41" s="686">
        <v>1858.5888611881237</v>
      </c>
      <c r="I41" s="686">
        <v>2720.9489676483108</v>
      </c>
      <c r="J41" s="686">
        <v>1604.3606751458276</v>
      </c>
      <c r="K41" s="686">
        <v>146.84169457318117</v>
      </c>
      <c r="L41" s="686">
        <v>624.4048002429588</v>
      </c>
      <c r="M41" s="686">
        <v>0.20148949750702566</v>
      </c>
      <c r="N41" s="686">
        <v>92.994347301320119</v>
      </c>
      <c r="O41" s="686">
        <v>4334.0197118359874</v>
      </c>
      <c r="P41" s="686">
        <v>316.83962779912133</v>
      </c>
      <c r="Q41" s="686">
        <v>1934.1980841173051</v>
      </c>
      <c r="R41" s="686">
        <v>241.85828290180046</v>
      </c>
      <c r="S41" s="686">
        <v>21.577773323630403</v>
      </c>
      <c r="T41" s="686">
        <v>3148.1545195641843</v>
      </c>
      <c r="U41" s="686">
        <f t="shared" si="2"/>
        <v>46011.220753448215</v>
      </c>
      <c r="V41" s="150"/>
      <c r="W41" s="26"/>
      <c r="X41" s="26"/>
    </row>
    <row r="42" spans="1:24" s="9" customFormat="1" ht="11.1" customHeight="1">
      <c r="A42" s="499" t="s">
        <v>565</v>
      </c>
      <c r="B42" s="698">
        <v>6455.3416010569299</v>
      </c>
      <c r="C42" s="698">
        <v>4943.2591930916824</v>
      </c>
      <c r="D42" s="698">
        <v>6401.6563019283849</v>
      </c>
      <c r="E42" s="698">
        <v>1709.2923317195314</v>
      </c>
      <c r="F42" s="698">
        <v>3929.5554869481739</v>
      </c>
      <c r="G42" s="698">
        <v>1.9438829907922144</v>
      </c>
      <c r="H42" s="698">
        <v>1673.2400167893952</v>
      </c>
      <c r="I42" s="698">
        <v>1932.7278752321224</v>
      </c>
      <c r="J42" s="698">
        <v>1767.7042967915536</v>
      </c>
      <c r="K42" s="698">
        <v>178.33609300740136</v>
      </c>
      <c r="L42" s="698">
        <v>676.84348664687229</v>
      </c>
      <c r="M42" s="698">
        <v>8.4789794134615654E-2</v>
      </c>
      <c r="N42" s="698">
        <v>78.098845019952975</v>
      </c>
      <c r="O42" s="698">
        <v>2674.018209697937</v>
      </c>
      <c r="P42" s="698">
        <v>273.87017400435485</v>
      </c>
      <c r="Q42" s="698">
        <v>2159.3086845354765</v>
      </c>
      <c r="R42" s="698">
        <v>263.85055761696282</v>
      </c>
      <c r="S42" s="698">
        <v>24.835620675036754</v>
      </c>
      <c r="T42" s="698">
        <v>3240.6330332226607</v>
      </c>
      <c r="U42" s="698">
        <f t="shared" si="2"/>
        <v>38384.600480769353</v>
      </c>
      <c r="V42" s="150"/>
      <c r="W42" s="26"/>
      <c r="X42" s="26"/>
    </row>
    <row r="43" spans="1:24" s="9" customFormat="1" ht="11.1" customHeight="1">
      <c r="A43" s="496" t="s">
        <v>566</v>
      </c>
      <c r="B43" s="686">
        <v>6708.9595657969521</v>
      </c>
      <c r="C43" s="686">
        <v>5746.7520796239032</v>
      </c>
      <c r="D43" s="686">
        <v>7990.8692144639399</v>
      </c>
      <c r="E43" s="686">
        <v>2055.1468650806501</v>
      </c>
      <c r="F43" s="686">
        <v>3289.3118386995802</v>
      </c>
      <c r="G43" s="686">
        <v>1.0885881693083854</v>
      </c>
      <c r="H43" s="686">
        <v>1560.6512716163757</v>
      </c>
      <c r="I43" s="686">
        <v>2586.1811974318425</v>
      </c>
      <c r="J43" s="686">
        <v>1740.6779908119784</v>
      </c>
      <c r="K43" s="686">
        <v>161.27545080179476</v>
      </c>
      <c r="L43" s="686">
        <v>752.00124149204862</v>
      </c>
      <c r="M43" s="686">
        <v>8.6865633250000018E-2</v>
      </c>
      <c r="N43" s="686">
        <v>90.335993624660773</v>
      </c>
      <c r="O43" s="686">
        <v>3684.4073219023217</v>
      </c>
      <c r="P43" s="686">
        <v>361.57726248893425</v>
      </c>
      <c r="Q43" s="686">
        <v>2052.7543469314514</v>
      </c>
      <c r="R43" s="686">
        <v>257.91503089483791</v>
      </c>
      <c r="S43" s="686">
        <v>14.191838381496424</v>
      </c>
      <c r="T43" s="686">
        <v>3203.4661679940564</v>
      </c>
      <c r="U43" s="686">
        <f t="shared" si="2"/>
        <v>42257.650131839378</v>
      </c>
      <c r="V43" s="141"/>
      <c r="W43" s="26"/>
      <c r="X43" s="26"/>
    </row>
    <row r="44" spans="1:24" s="9" customFormat="1" ht="11.1" customHeight="1">
      <c r="A44" s="499" t="s">
        <v>557</v>
      </c>
      <c r="B44" s="698">
        <v>6987.1081531999998</v>
      </c>
      <c r="C44" s="698">
        <v>3752.2699336000005</v>
      </c>
      <c r="D44" s="698">
        <v>4740.8529924000004</v>
      </c>
      <c r="E44" s="698">
        <v>1899.2137716000002</v>
      </c>
      <c r="F44" s="698">
        <v>2744.2908580000003</v>
      </c>
      <c r="G44" s="698">
        <v>2.7007112000000002</v>
      </c>
      <c r="H44" s="698">
        <v>1714.7060928000003</v>
      </c>
      <c r="I44" s="698">
        <v>1822.8573004000002</v>
      </c>
      <c r="J44" s="698">
        <v>1539.6509032000001</v>
      </c>
      <c r="K44" s="698">
        <v>143.13769360000001</v>
      </c>
      <c r="L44" s="698">
        <v>690.03171159999999</v>
      </c>
      <c r="M44" s="698">
        <v>0.12275960000000001</v>
      </c>
      <c r="N44" s="698">
        <v>73.410240800000011</v>
      </c>
      <c r="O44" s="698">
        <v>2253.4979771999997</v>
      </c>
      <c r="P44" s="698">
        <v>282.22432040000001</v>
      </c>
      <c r="Q44" s="698">
        <v>2155.6585760000003</v>
      </c>
      <c r="R44" s="698">
        <v>190.52289920000001</v>
      </c>
      <c r="S44" s="698">
        <v>31.671976800000003</v>
      </c>
      <c r="T44" s="698">
        <v>3582.3706472000022</v>
      </c>
      <c r="U44" s="698">
        <f t="shared" si="2"/>
        <v>34606.299518800006</v>
      </c>
      <c r="V44" s="141"/>
      <c r="W44" s="26"/>
      <c r="X44" s="26"/>
    </row>
    <row r="45" spans="1:24" s="9" customFormat="1">
      <c r="A45" s="501" t="s">
        <v>2930</v>
      </c>
      <c r="B45" s="497"/>
      <c r="C45" s="497"/>
      <c r="D45" s="497"/>
      <c r="E45" s="497"/>
      <c r="F45" s="497"/>
      <c r="G45" s="497"/>
      <c r="H45" s="497"/>
      <c r="I45" s="497"/>
      <c r="J45" s="497"/>
      <c r="K45" s="497"/>
      <c r="L45" s="497"/>
      <c r="M45" s="497"/>
      <c r="N45" s="497"/>
      <c r="O45" s="497"/>
      <c r="P45" s="497"/>
      <c r="Q45" s="497"/>
      <c r="R45" s="497"/>
      <c r="S45" s="497"/>
      <c r="T45" s="497"/>
      <c r="U45" s="497"/>
      <c r="V45" s="141"/>
      <c r="W45" s="26"/>
      <c r="X45" s="26"/>
    </row>
    <row r="46" spans="1:24" s="9" customFormat="1">
      <c r="A46" s="499" t="s">
        <v>559</v>
      </c>
      <c r="B46" s="698">
        <v>7240.7475870286071</v>
      </c>
      <c r="C46" s="698">
        <v>3150.7816662492396</v>
      </c>
      <c r="D46" s="698">
        <v>3367.0132869486274</v>
      </c>
      <c r="E46" s="698">
        <v>1833.8727540750394</v>
      </c>
      <c r="F46" s="698">
        <v>145.46721766032641</v>
      </c>
      <c r="G46" s="698">
        <v>1.2580031601286175</v>
      </c>
      <c r="H46" s="698">
        <v>1499.0704160096616</v>
      </c>
      <c r="I46" s="698">
        <v>1750.2899311052893</v>
      </c>
      <c r="J46" s="698">
        <v>4891.45814731463</v>
      </c>
      <c r="K46" s="698">
        <v>87.531355221305844</v>
      </c>
      <c r="L46" s="698">
        <v>540.69772524935684</v>
      </c>
      <c r="M46" s="698">
        <v>0.1232328233832</v>
      </c>
      <c r="N46" s="698">
        <v>335.09132649031574</v>
      </c>
      <c r="O46" s="698">
        <v>1688.8884034365626</v>
      </c>
      <c r="P46" s="698">
        <v>16.077623077088894</v>
      </c>
      <c r="Q46" s="698">
        <v>2482.1884930479823</v>
      </c>
      <c r="R46" s="698">
        <v>260.3574830815536</v>
      </c>
      <c r="S46" s="698">
        <v>2504.1008134100121</v>
      </c>
      <c r="T46" s="698">
        <v>3449.7147689787816</v>
      </c>
      <c r="U46" s="698">
        <v>35244.721764216796</v>
      </c>
      <c r="V46" s="141"/>
      <c r="W46" s="26"/>
      <c r="X46" s="26"/>
    </row>
    <row r="47" spans="1:24" s="9" customFormat="1" ht="12" thickBot="1">
      <c r="A47" s="1654" t="s">
        <v>560</v>
      </c>
      <c r="B47" s="1882">
        <v>6875.6491772432273</v>
      </c>
      <c r="C47" s="1882">
        <v>3071.5892177080177</v>
      </c>
      <c r="D47" s="1882">
        <v>5639.1410520100499</v>
      </c>
      <c r="E47" s="1882">
        <v>1768.9252682763668</v>
      </c>
      <c r="F47" s="1882">
        <v>3279.6340765386535</v>
      </c>
      <c r="G47" s="1882">
        <v>1.7872094229468298</v>
      </c>
      <c r="H47" s="1882">
        <v>1392.1895366516535</v>
      </c>
      <c r="I47" s="1882">
        <v>1649.0158257468888</v>
      </c>
      <c r="J47" s="1882">
        <v>1848.8820521853406</v>
      </c>
      <c r="K47" s="1882">
        <v>160.12030017157019</v>
      </c>
      <c r="L47" s="1882">
        <v>792.90472255879592</v>
      </c>
      <c r="M47" s="1882">
        <v>5.966703508849984E-2</v>
      </c>
      <c r="N47" s="1882">
        <v>155.60506314606931</v>
      </c>
      <c r="O47" s="1882">
        <v>2815.3982420217662</v>
      </c>
      <c r="P47" s="1882">
        <v>272.49121398118444</v>
      </c>
      <c r="Q47" s="1882">
        <v>2616.2897743905896</v>
      </c>
      <c r="R47" s="1882">
        <v>495.85713123463393</v>
      </c>
      <c r="S47" s="1882">
        <v>19.952882712374283</v>
      </c>
      <c r="T47" s="1882">
        <v>3664.6146617314434</v>
      </c>
      <c r="U47" s="1882">
        <v>36520.107074766667</v>
      </c>
      <c r="V47" s="141"/>
      <c r="W47" s="141"/>
      <c r="X47" s="141"/>
    </row>
    <row r="48" spans="1:24" s="9" customFormat="1">
      <c r="A48" s="50" t="s">
        <v>703</v>
      </c>
      <c r="B48" s="9" t="s">
        <v>1286</v>
      </c>
      <c r="C48" s="165"/>
      <c r="D48" s="165"/>
      <c r="E48" s="165"/>
      <c r="F48" s="165"/>
      <c r="G48" s="165"/>
      <c r="H48" s="165"/>
      <c r="I48" s="165"/>
      <c r="J48" s="165"/>
      <c r="K48" s="1699"/>
      <c r="N48" s="538"/>
      <c r="O48" s="538"/>
      <c r="P48" s="538"/>
      <c r="Q48" s="538"/>
      <c r="R48" s="538"/>
      <c r="S48" s="538"/>
      <c r="T48" s="538"/>
      <c r="U48" s="538"/>
      <c r="V48" s="141"/>
      <c r="W48" s="141"/>
      <c r="X48" s="141"/>
    </row>
    <row r="49" spans="1:21" s="1684" customFormat="1" ht="12.75">
      <c r="A49" s="50"/>
      <c r="B49" s="9"/>
      <c r="C49" s="165"/>
      <c r="D49" s="165"/>
      <c r="E49" s="165"/>
      <c r="F49" s="165"/>
      <c r="G49" s="165"/>
      <c r="H49" s="165"/>
      <c r="I49" s="165"/>
      <c r="J49" s="165"/>
      <c r="K49" s="1699"/>
      <c r="L49" s="9"/>
      <c r="M49" s="9"/>
      <c r="N49" s="538"/>
      <c r="O49" s="538"/>
      <c r="P49" s="538"/>
      <c r="Q49" s="538"/>
      <c r="R49" s="538"/>
      <c r="S49" s="538"/>
      <c r="T49" s="538"/>
      <c r="U49" s="538"/>
    </row>
    <row r="50" spans="1:21" s="1684" customFormat="1" ht="12.75"/>
    <row r="51" spans="1:21" s="1684" customFormat="1" ht="12.75"/>
    <row r="52" spans="1:21" s="1684" customFormat="1" ht="12.75"/>
    <row r="53" spans="1:21" s="1684" customFormat="1" ht="12.75"/>
    <row r="54" spans="1:21" s="1684" customFormat="1" ht="12.75"/>
    <row r="55" spans="1:21" s="1684" customFormat="1" ht="12.75"/>
    <row r="56" spans="1:21" s="1684" customFormat="1" ht="12.75"/>
    <row r="57" spans="1:21" s="1684" customFormat="1" ht="12.75"/>
    <row r="58" spans="1:21" s="1684" customFormat="1" ht="12.75">
      <c r="B58" s="1880"/>
      <c r="C58" s="1880"/>
      <c r="D58" s="1880"/>
      <c r="E58" s="1880"/>
      <c r="F58" s="1880"/>
      <c r="G58" s="1880"/>
      <c r="H58" s="1880"/>
      <c r="I58" s="1880"/>
      <c r="J58" s="1880"/>
      <c r="K58" s="1880"/>
      <c r="L58" s="1880"/>
      <c r="M58" s="1880"/>
      <c r="N58" s="1880"/>
      <c r="O58" s="1880"/>
      <c r="P58" s="1880"/>
      <c r="Q58" s="1880"/>
      <c r="R58" s="1880"/>
      <c r="S58" s="1880"/>
      <c r="T58" s="1880"/>
      <c r="U58" s="1880"/>
    </row>
    <row r="59" spans="1:21" s="1684" customFormat="1" ht="12.75">
      <c r="B59" s="1880"/>
      <c r="C59" s="1880"/>
      <c r="D59" s="1880"/>
      <c r="E59" s="1880"/>
      <c r="F59" s="1880"/>
      <c r="G59" s="1880"/>
      <c r="H59" s="1880"/>
      <c r="I59" s="1880"/>
      <c r="J59" s="1880"/>
      <c r="K59" s="1880"/>
      <c r="L59" s="1880"/>
      <c r="M59" s="1880"/>
      <c r="N59" s="1880"/>
      <c r="O59" s="1880"/>
      <c r="P59" s="1880"/>
      <c r="Q59" s="1880"/>
      <c r="R59" s="1880"/>
      <c r="S59" s="1880"/>
      <c r="T59" s="1880"/>
      <c r="U59" s="1880"/>
    </row>
    <row r="60" spans="1:21" s="9" customFormat="1" ht="12.75">
      <c r="A60" s="1684"/>
      <c r="B60" s="1880"/>
      <c r="C60" s="1880"/>
      <c r="D60" s="1880"/>
      <c r="E60" s="1880"/>
      <c r="F60" s="1880"/>
      <c r="G60" s="1880"/>
      <c r="H60" s="1880"/>
      <c r="I60" s="1880"/>
      <c r="J60" s="1880"/>
      <c r="K60" s="1880"/>
      <c r="L60" s="1880"/>
      <c r="M60" s="1880"/>
      <c r="N60" s="1880"/>
      <c r="O60" s="1880"/>
      <c r="P60" s="1880"/>
      <c r="Q60" s="1880"/>
      <c r="R60" s="1880"/>
      <c r="S60" s="1880"/>
      <c r="T60" s="1880"/>
      <c r="U60" s="1880"/>
    </row>
    <row r="61" spans="1:21" s="9" customFormat="1" ht="12.75">
      <c r="B61" s="1880"/>
      <c r="C61" s="1880"/>
      <c r="D61" s="1880"/>
      <c r="E61" s="1880"/>
      <c r="F61" s="1880"/>
      <c r="G61" s="1880"/>
      <c r="H61" s="1880"/>
      <c r="I61" s="1880"/>
      <c r="J61" s="1880"/>
      <c r="K61" s="1880"/>
      <c r="L61" s="1880"/>
      <c r="M61" s="1880"/>
      <c r="N61" s="1880"/>
      <c r="O61" s="1880"/>
      <c r="P61" s="1880"/>
      <c r="Q61" s="1880"/>
      <c r="R61" s="1880"/>
      <c r="S61" s="1880"/>
      <c r="T61" s="1880"/>
      <c r="U61" s="1880"/>
    </row>
    <row r="62" spans="1:21" s="9" customFormat="1"/>
    <row r="63" spans="1:21" s="9" customFormat="1">
      <c r="B63" s="1753"/>
      <c r="C63" s="1753"/>
      <c r="D63" s="1753"/>
      <c r="E63" s="1753"/>
      <c r="F63" s="1753"/>
      <c r="G63" s="1753"/>
      <c r="H63" s="1753"/>
      <c r="I63" s="1753"/>
      <c r="J63" s="1753"/>
      <c r="K63" s="1753"/>
      <c r="L63" s="1753"/>
      <c r="M63" s="1753"/>
      <c r="N63" s="1753"/>
      <c r="O63" s="1753"/>
      <c r="P63" s="1753"/>
      <c r="Q63" s="1753"/>
      <c r="R63" s="1753"/>
      <c r="S63" s="1753"/>
      <c r="T63" s="1753"/>
      <c r="U63" s="1753"/>
    </row>
    <row r="64" spans="1:21" s="9" customFormat="1">
      <c r="B64" s="1753"/>
      <c r="C64" s="1753"/>
      <c r="D64" s="1753"/>
      <c r="E64" s="1753"/>
      <c r="F64" s="1753"/>
      <c r="G64" s="1753"/>
      <c r="H64" s="1753"/>
      <c r="I64" s="1753"/>
      <c r="J64" s="1753"/>
      <c r="K64" s="1753"/>
      <c r="L64" s="1753"/>
      <c r="M64" s="1753"/>
      <c r="N64" s="1753"/>
      <c r="O64" s="1753"/>
      <c r="P64" s="1753"/>
      <c r="Q64" s="1753"/>
      <c r="R64" s="1753"/>
      <c r="S64" s="1753"/>
      <c r="T64" s="1753"/>
      <c r="U64" s="1753"/>
    </row>
    <row r="65" spans="2:21" s="9" customFormat="1">
      <c r="B65" s="1753"/>
      <c r="C65" s="1753"/>
      <c r="D65" s="1753"/>
      <c r="E65" s="1753"/>
      <c r="F65" s="1753"/>
      <c r="G65" s="1753"/>
      <c r="H65" s="1753"/>
      <c r="I65" s="1753"/>
      <c r="J65" s="1753"/>
      <c r="K65" s="1753"/>
      <c r="L65" s="1753"/>
      <c r="M65" s="1753"/>
      <c r="N65" s="1753"/>
      <c r="O65" s="1753"/>
      <c r="P65" s="1753"/>
      <c r="Q65" s="1753"/>
      <c r="R65" s="1753"/>
      <c r="S65" s="1753"/>
      <c r="T65" s="1753"/>
      <c r="U65" s="1753"/>
    </row>
    <row r="66" spans="2:21" s="9" customFormat="1"/>
    <row r="67" spans="2:21" s="9" customFormat="1">
      <c r="B67" s="1753"/>
      <c r="C67" s="1753"/>
      <c r="D67" s="1753"/>
      <c r="E67" s="1753"/>
      <c r="F67" s="1753"/>
      <c r="G67" s="1753"/>
      <c r="H67" s="1753"/>
      <c r="I67" s="1753"/>
      <c r="J67" s="1753"/>
      <c r="K67" s="1753"/>
      <c r="L67" s="1753"/>
      <c r="M67" s="1753"/>
      <c r="N67" s="1753"/>
      <c r="O67" s="1753"/>
      <c r="P67" s="1753"/>
      <c r="Q67" s="1753"/>
      <c r="R67" s="1753"/>
      <c r="S67" s="1753"/>
      <c r="T67" s="1753"/>
      <c r="U67" s="1753"/>
    </row>
    <row r="68" spans="2:21" s="9" customFormat="1">
      <c r="B68" s="1753"/>
      <c r="C68" s="1753"/>
      <c r="D68" s="1753"/>
      <c r="E68" s="1753"/>
      <c r="F68" s="1753"/>
      <c r="G68" s="1753"/>
      <c r="H68" s="1753"/>
      <c r="I68" s="1753"/>
      <c r="J68" s="1753"/>
      <c r="K68" s="1753"/>
      <c r="L68" s="1753"/>
      <c r="M68" s="1753"/>
      <c r="N68" s="1753"/>
      <c r="O68" s="1753"/>
      <c r="P68" s="1753"/>
      <c r="Q68" s="1753"/>
      <c r="R68" s="1753"/>
      <c r="S68" s="1753"/>
      <c r="T68" s="1753"/>
      <c r="U68" s="1753"/>
    </row>
    <row r="69" spans="2:21" s="9" customFormat="1">
      <c r="B69" s="1753"/>
      <c r="C69" s="1753"/>
      <c r="D69" s="1753"/>
      <c r="E69" s="1753"/>
      <c r="F69" s="1753"/>
      <c r="G69" s="1753"/>
      <c r="H69" s="1753"/>
      <c r="I69" s="1753"/>
      <c r="J69" s="1753"/>
      <c r="K69" s="1753"/>
      <c r="L69" s="1753"/>
      <c r="M69" s="1753"/>
      <c r="N69" s="1753"/>
      <c r="O69" s="1753"/>
      <c r="P69" s="1753"/>
      <c r="Q69" s="1753"/>
      <c r="R69" s="1753"/>
      <c r="S69" s="1753"/>
      <c r="T69" s="1753"/>
      <c r="U69" s="1753"/>
    </row>
    <row r="70" spans="2:21" s="9" customFormat="1"/>
    <row r="71" spans="2:21" s="9" customFormat="1"/>
    <row r="72" spans="2:21" s="9" customFormat="1"/>
    <row r="73" spans="2:21" s="9" customFormat="1"/>
    <row r="74" spans="2:21" s="9" customFormat="1"/>
    <row r="75" spans="2:21" s="9" customFormat="1"/>
    <row r="76" spans="2:21" s="9" customFormat="1"/>
    <row r="77" spans="2:21" s="9" customFormat="1"/>
    <row r="78" spans="2:21" s="9" customFormat="1"/>
    <row r="79" spans="2:21" s="9" customFormat="1"/>
    <row r="80" spans="2:21" s="9" customFormat="1"/>
    <row r="81" s="9" customFormat="1"/>
    <row r="82" s="9" customFormat="1"/>
    <row r="83" s="9" customFormat="1"/>
    <row r="84" s="9" customFormat="1"/>
    <row r="85" s="9" customFormat="1"/>
    <row r="86" s="9" customFormat="1"/>
    <row r="87" s="9" customFormat="1"/>
    <row r="88" s="9" customFormat="1"/>
    <row r="89" s="9" customFormat="1"/>
    <row r="90" s="9" customFormat="1"/>
    <row r="91" s="9" customFormat="1"/>
    <row r="92" s="9" customFormat="1"/>
    <row r="93" s="9" customFormat="1"/>
    <row r="94" s="9" customFormat="1"/>
    <row r="95" s="9" customFormat="1"/>
    <row r="96" s="9" customFormat="1"/>
    <row r="97" s="9" customFormat="1"/>
    <row r="98" s="9" customFormat="1"/>
    <row r="99" s="9" customFormat="1"/>
    <row r="100" s="9" customFormat="1"/>
    <row r="101" s="9" customFormat="1"/>
    <row r="102" s="9" customFormat="1"/>
    <row r="103" s="9" customFormat="1"/>
    <row r="104" s="9" customFormat="1"/>
    <row r="105" s="9" customFormat="1"/>
    <row r="106" s="9" customFormat="1"/>
    <row r="107" s="9" customFormat="1"/>
    <row r="108" s="9" customFormat="1"/>
    <row r="109" s="9" customFormat="1"/>
    <row r="110" s="9" customFormat="1"/>
    <row r="111" s="9" customFormat="1"/>
    <row r="112" s="9" customFormat="1"/>
    <row r="113" s="9" customFormat="1"/>
    <row r="114" s="9" customFormat="1"/>
    <row r="115" s="9" customFormat="1"/>
    <row r="116" s="9" customFormat="1"/>
    <row r="117" s="9" customFormat="1"/>
    <row r="118" s="9" customFormat="1"/>
    <row r="119" s="9" customFormat="1"/>
    <row r="120" s="9" customFormat="1"/>
    <row r="121" s="9" customFormat="1"/>
    <row r="122" s="9" customFormat="1"/>
    <row r="123" s="9" customFormat="1"/>
    <row r="124" s="9" customFormat="1"/>
    <row r="125" s="9" customFormat="1"/>
    <row r="126" s="9" customFormat="1"/>
    <row r="127" s="9" customFormat="1"/>
    <row r="128" s="9" customFormat="1"/>
    <row r="129" s="9" customFormat="1"/>
    <row r="130" s="9" customFormat="1"/>
    <row r="131" s="9" customFormat="1"/>
    <row r="132" s="9" customFormat="1"/>
    <row r="133" s="9" customFormat="1"/>
    <row r="134" s="9" customFormat="1"/>
    <row r="135" s="9" customFormat="1"/>
    <row r="136" s="9" customFormat="1"/>
    <row r="137" s="9" customFormat="1"/>
    <row r="138" s="9" customFormat="1"/>
    <row r="139" s="9" customFormat="1"/>
    <row r="140" s="9" customFormat="1"/>
    <row r="141" s="9" customFormat="1"/>
    <row r="142" s="9" customFormat="1"/>
    <row r="143" s="9" customFormat="1"/>
    <row r="144" s="9" customFormat="1"/>
    <row r="145" s="9" customFormat="1"/>
    <row r="146" s="9" customFormat="1"/>
    <row r="147" s="9" customFormat="1"/>
    <row r="148" s="9" customFormat="1"/>
    <row r="149" s="9" customFormat="1"/>
    <row r="150" s="9" customFormat="1"/>
    <row r="151" s="9" customFormat="1"/>
    <row r="152" s="9" customFormat="1"/>
    <row r="153" s="9" customFormat="1"/>
    <row r="154" s="9" customFormat="1"/>
    <row r="155" s="9" customFormat="1"/>
    <row r="156" s="9" customFormat="1"/>
    <row r="157" s="9" customFormat="1"/>
    <row r="158" s="9" customFormat="1"/>
    <row r="159" s="9" customFormat="1"/>
    <row r="160" s="9" customFormat="1"/>
    <row r="161" s="9" customFormat="1"/>
    <row r="162" s="9" customFormat="1"/>
    <row r="163" s="9" customFormat="1"/>
    <row r="164" s="9" customFormat="1"/>
    <row r="165" s="9" customFormat="1"/>
    <row r="166" s="9" customFormat="1"/>
    <row r="167" s="9" customFormat="1"/>
    <row r="168" s="9" customFormat="1"/>
    <row r="169" s="9" customFormat="1"/>
    <row r="170" s="9" customFormat="1"/>
    <row r="171" s="9" customFormat="1"/>
    <row r="172" s="9" customFormat="1"/>
    <row r="173" s="9" customFormat="1"/>
    <row r="174" s="9" customFormat="1"/>
    <row r="175" s="9" customFormat="1"/>
    <row r="176" s="9" customFormat="1"/>
    <row r="177" s="9" customFormat="1"/>
    <row r="178" s="9" customFormat="1"/>
    <row r="179" s="9" customFormat="1"/>
    <row r="180" s="9" customFormat="1"/>
    <row r="181" s="9" customFormat="1"/>
    <row r="182" s="9" customFormat="1"/>
    <row r="183" s="9" customFormat="1"/>
    <row r="184" s="9" customFormat="1"/>
    <row r="185" s="9" customFormat="1"/>
    <row r="186" s="9" customFormat="1"/>
    <row r="187" s="9" customFormat="1"/>
    <row r="188" s="9" customFormat="1"/>
    <row r="189" s="9" customFormat="1"/>
    <row r="190" s="9" customFormat="1"/>
    <row r="191" s="9" customFormat="1"/>
    <row r="192" s="9" customFormat="1"/>
    <row r="193" s="9" customFormat="1"/>
    <row r="194" s="9" customFormat="1"/>
    <row r="195" s="9" customFormat="1"/>
    <row r="196" s="9" customFormat="1"/>
    <row r="197" s="9" customFormat="1"/>
    <row r="198" s="9" customFormat="1"/>
    <row r="199" s="9" customFormat="1"/>
    <row r="200" s="9" customFormat="1"/>
    <row r="201" s="9" customFormat="1"/>
    <row r="202" s="9" customFormat="1"/>
    <row r="203" s="9" customFormat="1"/>
    <row r="204" s="9" customFormat="1"/>
    <row r="205" s="9" customFormat="1"/>
    <row r="206" s="9" customFormat="1"/>
    <row r="207" s="9" customFormat="1"/>
    <row r="208" s="9" customFormat="1"/>
    <row r="209" s="9" customFormat="1"/>
    <row r="210" s="9" customFormat="1"/>
    <row r="211" s="9" customFormat="1"/>
    <row r="212" s="9" customFormat="1"/>
    <row r="213" s="9" customFormat="1"/>
    <row r="214" s="9" customFormat="1"/>
    <row r="215" s="9" customFormat="1"/>
    <row r="216" s="9" customFormat="1"/>
    <row r="217" s="9" customFormat="1"/>
    <row r="218" s="9" customFormat="1"/>
    <row r="219" s="9" customFormat="1"/>
    <row r="220" s="9" customFormat="1"/>
    <row r="221" s="9" customFormat="1"/>
    <row r="222" s="9" customFormat="1"/>
    <row r="223" s="9" customFormat="1"/>
    <row r="224" s="9" customFormat="1"/>
    <row r="225" s="9" customFormat="1"/>
    <row r="226" s="9" customFormat="1"/>
    <row r="227" s="9" customFormat="1"/>
    <row r="228" s="9" customFormat="1"/>
    <row r="229" s="9" customFormat="1"/>
    <row r="230" s="9" customFormat="1"/>
    <row r="231" s="9" customFormat="1"/>
    <row r="232" s="9" customFormat="1"/>
    <row r="233" s="9" customFormat="1"/>
    <row r="234" s="9" customFormat="1"/>
    <row r="235" s="9" customFormat="1"/>
    <row r="236" s="9" customFormat="1"/>
    <row r="237" s="9" customFormat="1"/>
    <row r="238" s="9" customFormat="1"/>
    <row r="239" s="9" customFormat="1"/>
    <row r="240" s="9" customFormat="1"/>
    <row r="241" s="9" customFormat="1"/>
    <row r="242" s="9" customFormat="1"/>
    <row r="243" s="9" customFormat="1"/>
    <row r="244" s="9" customFormat="1"/>
    <row r="245" s="9" customFormat="1"/>
    <row r="246" s="9" customFormat="1"/>
    <row r="247" s="9" customFormat="1"/>
    <row r="248" s="9" customFormat="1"/>
    <row r="249" s="9" customFormat="1"/>
    <row r="250" s="9" customFormat="1"/>
    <row r="251" s="9" customFormat="1"/>
    <row r="252" s="9" customFormat="1"/>
    <row r="253" s="9" customFormat="1"/>
    <row r="254" s="9" customFormat="1"/>
    <row r="255" s="9" customFormat="1"/>
    <row r="256" s="9" customFormat="1"/>
    <row r="257" s="9" customFormat="1"/>
    <row r="258" s="9" customFormat="1"/>
    <row r="259" s="9" customFormat="1"/>
    <row r="260" s="9" customFormat="1"/>
    <row r="261" s="9" customFormat="1"/>
    <row r="262" s="9" customFormat="1"/>
    <row r="263" s="9" customFormat="1"/>
    <row r="264" s="9" customFormat="1"/>
    <row r="265" s="9" customFormat="1"/>
    <row r="266" s="9" customFormat="1"/>
    <row r="267" s="9" customFormat="1"/>
    <row r="268" s="9" customFormat="1"/>
    <row r="269" s="9" customFormat="1"/>
    <row r="270" s="9" customFormat="1"/>
    <row r="271" s="9" customFormat="1"/>
    <row r="272" s="9" customFormat="1"/>
    <row r="273" s="9" customFormat="1"/>
    <row r="274" s="9" customFormat="1"/>
    <row r="275" s="9" customFormat="1"/>
    <row r="276" s="9" customFormat="1"/>
    <row r="277" s="9" customFormat="1"/>
    <row r="278" s="9" customFormat="1"/>
    <row r="279" s="9" customFormat="1"/>
    <row r="280" s="9" customFormat="1"/>
    <row r="281" s="9" customFormat="1"/>
    <row r="282" s="9" customFormat="1"/>
    <row r="283" s="9" customFormat="1"/>
    <row r="284" s="9" customFormat="1"/>
    <row r="285" s="9" customFormat="1"/>
    <row r="286" s="9" customFormat="1"/>
    <row r="287" s="9" customFormat="1"/>
    <row r="288" s="9" customFormat="1"/>
    <row r="289" s="9" customFormat="1"/>
    <row r="290" s="9" customFormat="1"/>
    <row r="291" s="9" customFormat="1"/>
    <row r="292" s="9" customFormat="1"/>
    <row r="293" s="9" customFormat="1"/>
    <row r="294" s="9" customFormat="1"/>
    <row r="295" s="9" customFormat="1"/>
    <row r="296" s="9" customFormat="1"/>
    <row r="297" s="9" customFormat="1"/>
    <row r="298" s="9" customFormat="1"/>
    <row r="299" s="9" customFormat="1"/>
    <row r="300" s="9" customFormat="1"/>
    <row r="301" s="9" customFormat="1"/>
    <row r="302" s="9" customFormat="1"/>
    <row r="303" s="9" customFormat="1"/>
    <row r="304" s="9" customFormat="1"/>
    <row r="305" spans="1:21" s="9" customFormat="1"/>
    <row r="306" spans="1:21" s="9" customFormat="1"/>
    <row r="307" spans="1:21" s="9" customFormat="1"/>
    <row r="308" spans="1:21" s="9" customFormat="1"/>
    <row r="309" spans="1:21" s="9" customFormat="1"/>
    <row r="310" spans="1:2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</row>
    <row r="311" spans="1:2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</row>
    <row r="312" spans="1:2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</row>
    <row r="313" spans="1:2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</row>
    <row r="314" spans="1:2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</row>
    <row r="315" spans="1:2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</row>
    <row r="316" spans="1:2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</row>
    <row r="317" spans="1:2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</row>
    <row r="318" spans="1:2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</row>
    <row r="319" spans="1:2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</row>
  </sheetData>
  <customSheetViews>
    <customSheetView guid="{A374FC54-96E3-45F0-9C12-8450400C12DF}" scale="140">
      <pane xSplit="1" ySplit="3" topLeftCell="F35" activePane="bottomRight" state="frozen"/>
      <selection pane="bottomRight" activeCell="O48" sqref="O48"/>
      <pageMargins left="0.55118110236220497" right="0.511811023622047" top="0.511811023622047" bottom="0.27559055118110198" header="0" footer="0.143700787"/>
      <pageSetup paperSize="132" firstPageNumber="84" orientation="portrait" useFirstPageNumber="1" r:id="rId1"/>
      <headerFooter>
        <oddFooter>&amp;C&amp;"Times New Roman,Regular"&amp;8&amp;P</oddFooter>
      </headerFooter>
    </customSheetView>
  </customSheetViews>
  <mergeCells count="4">
    <mergeCell ref="T1:U1"/>
    <mergeCell ref="T2:U2"/>
    <mergeCell ref="A1:J1"/>
    <mergeCell ref="K1:M1"/>
  </mergeCells>
  <phoneticPr fontId="44" type="noConversion"/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sheetPr codeName="Sheet33"/>
  <dimension ref="A1:BW52"/>
  <sheetViews>
    <sheetView zoomScale="150" zoomScaleNormal="150" workbookViewId="0">
      <pane xSplit="1" ySplit="6" topLeftCell="BJ28" activePane="bottomRight" state="frozen"/>
      <selection activeCell="BU10" sqref="BU10"/>
      <selection pane="topRight" activeCell="BU10" sqref="BU10"/>
      <selection pane="bottomLeft" activeCell="BU10" sqref="BU10"/>
      <selection pane="bottomRight" activeCell="BZ33" sqref="BZ33"/>
    </sheetView>
  </sheetViews>
  <sheetFormatPr defaultColWidth="9.140625" defaultRowHeight="11.25"/>
  <cols>
    <col min="1" max="1" width="9.28515625" style="40" customWidth="1"/>
    <col min="2" max="2" width="9.85546875" style="9" customWidth="1"/>
    <col min="3" max="3" width="9.7109375" style="9" customWidth="1"/>
    <col min="4" max="4" width="10.140625" style="9" customWidth="1"/>
    <col min="5" max="5" width="11" style="9" customWidth="1"/>
    <col min="6" max="6" width="11.28515625" style="9" customWidth="1"/>
    <col min="7" max="7" width="11.85546875" style="9" customWidth="1"/>
    <col min="8" max="8" width="9.85546875" style="9" customWidth="1"/>
    <col min="9" max="9" width="9.5703125" style="9" customWidth="1"/>
    <col min="10" max="10" width="9.28515625" style="9" customWidth="1"/>
    <col min="11" max="11" width="9.7109375" style="9" customWidth="1"/>
    <col min="12" max="12" width="9.42578125" style="9" customWidth="1"/>
    <col min="13" max="13" width="8" style="9" customWidth="1"/>
    <col min="14" max="14" width="8.7109375" style="9" customWidth="1"/>
    <col min="15" max="15" width="7.5703125" style="9" customWidth="1"/>
    <col min="16" max="16" width="11.42578125" style="40" customWidth="1"/>
    <col min="17" max="17" width="10.7109375" style="9" customWidth="1"/>
    <col min="18" max="18" width="10.5703125" style="9" customWidth="1"/>
    <col min="19" max="19" width="10.7109375" style="9" customWidth="1"/>
    <col min="20" max="20" width="10.85546875" style="9" customWidth="1"/>
    <col min="21" max="21" width="10.5703125" style="9" customWidth="1"/>
    <col min="22" max="22" width="10.7109375" style="9" customWidth="1"/>
    <col min="23" max="23" width="9.85546875" style="9" customWidth="1"/>
    <col min="24" max="24" width="9.140625" style="9" customWidth="1"/>
    <col min="25" max="25" width="9.42578125" style="9" customWidth="1"/>
    <col min="26" max="26" width="9" style="9" customWidth="1"/>
    <col min="27" max="27" width="9.42578125" style="9" customWidth="1"/>
    <col min="28" max="29" width="9.7109375" style="9" customWidth="1"/>
    <col min="30" max="30" width="9.42578125" style="9" customWidth="1"/>
    <col min="31" max="31" width="10.42578125" style="40" customWidth="1"/>
    <col min="32" max="32" width="10.7109375" style="9" customWidth="1"/>
    <col min="33" max="34" width="10.85546875" style="9" customWidth="1"/>
    <col min="35" max="35" width="11.140625" style="9" customWidth="1"/>
    <col min="36" max="36" width="11.42578125" style="9" customWidth="1"/>
    <col min="37" max="37" width="9" style="9" customWidth="1"/>
    <col min="38" max="38" width="9.7109375" style="9" customWidth="1"/>
    <col min="39" max="39" width="9.5703125" style="9" customWidth="1"/>
    <col min="40" max="40" width="9.28515625" style="9" customWidth="1"/>
    <col min="41" max="41" width="9.42578125" style="9" customWidth="1"/>
    <col min="42" max="42" width="9.140625" style="9" customWidth="1"/>
    <col min="43" max="43" width="9.28515625" style="9" customWidth="1"/>
    <col min="44" max="44" width="10" style="9" customWidth="1"/>
    <col min="45" max="45" width="9.140625" style="9" customWidth="1"/>
    <col min="46" max="46" width="10.7109375" style="40" customWidth="1"/>
    <col min="47" max="47" width="10.85546875" style="9" customWidth="1"/>
    <col min="48" max="48" width="10.5703125" style="9" customWidth="1"/>
    <col min="49" max="49" width="10.28515625" style="9" customWidth="1"/>
    <col min="50" max="50" width="10.5703125" style="9" customWidth="1"/>
    <col min="51" max="51" width="11" style="9" customWidth="1"/>
    <col min="52" max="52" width="11.42578125" style="9" customWidth="1"/>
    <col min="53" max="53" width="9.85546875" style="9" customWidth="1"/>
    <col min="54" max="54" width="9.28515625" style="9" customWidth="1"/>
    <col min="55" max="55" width="9.85546875" style="9" customWidth="1"/>
    <col min="56" max="56" width="9.140625" style="9" customWidth="1"/>
    <col min="57" max="57" width="9.7109375" style="9" customWidth="1"/>
    <col min="58" max="58" width="8.7109375" style="9" customWidth="1"/>
    <col min="59" max="59" width="9" style="9" customWidth="1"/>
    <col min="60" max="60" width="9.28515625" style="9" customWidth="1"/>
    <col min="61" max="61" width="10" style="40" customWidth="1"/>
    <col min="62" max="62" width="10.28515625" style="9" customWidth="1"/>
    <col min="63" max="63" width="10.42578125" style="9" customWidth="1"/>
    <col min="64" max="64" width="10.140625" style="9" customWidth="1"/>
    <col min="65" max="65" width="11" style="9" customWidth="1"/>
    <col min="66" max="66" width="10.7109375" style="9" customWidth="1"/>
    <col min="67" max="67" width="11.42578125" style="9" customWidth="1"/>
    <col min="68" max="68" width="10" style="9" customWidth="1"/>
    <col min="69" max="69" width="9.42578125" style="9" customWidth="1"/>
    <col min="70" max="70" width="9" style="9" customWidth="1"/>
    <col min="71" max="71" width="9.7109375" style="9" customWidth="1"/>
    <col min="72" max="72" width="9.28515625" style="9" customWidth="1"/>
    <col min="73" max="73" width="9.42578125" style="9" customWidth="1"/>
    <col min="74" max="74" width="9.5703125" style="9" customWidth="1"/>
    <col min="75" max="75" width="9.140625" style="9" customWidth="1"/>
    <col min="76" max="16384" width="9.140625" style="9"/>
  </cols>
  <sheetData>
    <row r="1" spans="1:75" s="115" customFormat="1" ht="14.25" customHeight="1">
      <c r="C1" s="49"/>
      <c r="D1" s="49"/>
      <c r="F1" s="2366" t="s">
        <v>321</v>
      </c>
      <c r="G1" s="2366"/>
      <c r="H1" s="126" t="s">
        <v>319</v>
      </c>
      <c r="M1" s="2366" t="s">
        <v>1077</v>
      </c>
      <c r="N1" s="2366"/>
      <c r="O1" s="2366"/>
      <c r="U1" s="2366" t="s">
        <v>321</v>
      </c>
      <c r="V1" s="2366"/>
      <c r="W1" s="126" t="s">
        <v>319</v>
      </c>
      <c r="AB1" s="2366" t="s">
        <v>1077</v>
      </c>
      <c r="AC1" s="2366"/>
      <c r="AD1" s="2366"/>
      <c r="AJ1" s="2366" t="s">
        <v>321</v>
      </c>
      <c r="AK1" s="2366"/>
      <c r="AL1" s="126" t="s">
        <v>319</v>
      </c>
      <c r="AQ1" s="2366" t="s">
        <v>1077</v>
      </c>
      <c r="AR1" s="2366"/>
      <c r="AS1" s="2366"/>
      <c r="AY1" s="2366" t="s">
        <v>321</v>
      </c>
      <c r="AZ1" s="2366"/>
      <c r="BA1" s="126" t="s">
        <v>319</v>
      </c>
      <c r="BF1" s="2366" t="s">
        <v>1077</v>
      </c>
      <c r="BG1" s="2366"/>
      <c r="BH1" s="2366"/>
      <c r="BN1" s="2366" t="s">
        <v>321</v>
      </c>
      <c r="BO1" s="2366"/>
      <c r="BP1" s="126" t="s">
        <v>319</v>
      </c>
      <c r="BU1" s="2366" t="s">
        <v>1078</v>
      </c>
      <c r="BV1" s="2366"/>
      <c r="BW1" s="2366"/>
    </row>
    <row r="2" spans="1:75" s="57" customFormat="1" ht="12.75" customHeight="1">
      <c r="G2" s="1690" t="s">
        <v>318</v>
      </c>
      <c r="H2" s="827" t="s">
        <v>320</v>
      </c>
      <c r="I2" s="72"/>
      <c r="J2" s="72"/>
      <c r="K2" s="72"/>
      <c r="L2" s="72"/>
      <c r="M2" s="72"/>
      <c r="P2" s="72"/>
      <c r="Q2" s="72"/>
      <c r="R2" s="72"/>
      <c r="S2" s="72"/>
      <c r="T2" s="72"/>
      <c r="V2" s="1690" t="s">
        <v>318</v>
      </c>
      <c r="W2" s="827" t="s">
        <v>320</v>
      </c>
      <c r="AC2" s="2623"/>
      <c r="AD2" s="2623"/>
      <c r="AK2" s="1690" t="s">
        <v>318</v>
      </c>
      <c r="AL2" s="827" t="s">
        <v>320</v>
      </c>
      <c r="AZ2" s="1690" t="s">
        <v>318</v>
      </c>
      <c r="BA2" s="827" t="s">
        <v>320</v>
      </c>
      <c r="BO2" s="1690" t="s">
        <v>318</v>
      </c>
      <c r="BP2" s="827" t="s">
        <v>320</v>
      </c>
    </row>
    <row r="3" spans="1:75" s="79" customFormat="1" ht="11.25" customHeight="1">
      <c r="A3" s="2392" t="s">
        <v>481</v>
      </c>
      <c r="B3" s="2392" t="s">
        <v>612</v>
      </c>
      <c r="C3" s="2392"/>
      <c r="D3" s="2392" t="s">
        <v>514</v>
      </c>
      <c r="E3" s="2392"/>
      <c r="F3" s="2392" t="s">
        <v>515</v>
      </c>
      <c r="G3" s="2392"/>
      <c r="H3" s="2392" t="s">
        <v>516</v>
      </c>
      <c r="I3" s="2392"/>
      <c r="J3" s="2392" t="s">
        <v>56</v>
      </c>
      <c r="K3" s="2392"/>
      <c r="L3" s="2392" t="s">
        <v>517</v>
      </c>
      <c r="M3" s="2392"/>
      <c r="N3" s="2392" t="s">
        <v>1325</v>
      </c>
      <c r="O3" s="2392"/>
      <c r="P3" s="2392" t="s">
        <v>481</v>
      </c>
      <c r="Q3" s="2181" t="s">
        <v>58</v>
      </c>
      <c r="R3" s="2181"/>
      <c r="S3" s="2392" t="s">
        <v>518</v>
      </c>
      <c r="T3" s="2392"/>
      <c r="U3" s="2392" t="s">
        <v>519</v>
      </c>
      <c r="V3" s="2392"/>
      <c r="W3" s="2392" t="s">
        <v>239</v>
      </c>
      <c r="X3" s="2392"/>
      <c r="Y3" s="2392" t="s">
        <v>59</v>
      </c>
      <c r="Z3" s="2392"/>
      <c r="AA3" s="2392" t="s">
        <v>520</v>
      </c>
      <c r="AB3" s="2392"/>
      <c r="AC3" s="2392" t="s">
        <v>613</v>
      </c>
      <c r="AD3" s="2392"/>
      <c r="AE3" s="2392" t="s">
        <v>481</v>
      </c>
      <c r="AF3" s="2392" t="s">
        <v>240</v>
      </c>
      <c r="AG3" s="2392"/>
      <c r="AH3" s="2392" t="s">
        <v>521</v>
      </c>
      <c r="AI3" s="2392"/>
      <c r="AJ3" s="2392" t="s">
        <v>522</v>
      </c>
      <c r="AK3" s="2392"/>
      <c r="AL3" s="2392" t="s">
        <v>523</v>
      </c>
      <c r="AM3" s="2392"/>
      <c r="AN3" s="2392" t="s">
        <v>524</v>
      </c>
      <c r="AO3" s="2392"/>
      <c r="AP3" s="2392" t="s">
        <v>525</v>
      </c>
      <c r="AQ3" s="2392"/>
      <c r="AR3" s="2392" t="s">
        <v>526</v>
      </c>
      <c r="AS3" s="2392"/>
      <c r="AT3" s="2392" t="s">
        <v>481</v>
      </c>
      <c r="AU3" s="2392" t="s">
        <v>527</v>
      </c>
      <c r="AV3" s="2392"/>
      <c r="AW3" s="2392" t="s">
        <v>528</v>
      </c>
      <c r="AX3" s="2392"/>
      <c r="AY3" s="2392" t="s">
        <v>529</v>
      </c>
      <c r="AZ3" s="2392"/>
      <c r="BA3" s="2392" t="s">
        <v>241</v>
      </c>
      <c r="BB3" s="2392"/>
      <c r="BC3" s="2392" t="s">
        <v>530</v>
      </c>
      <c r="BD3" s="2392"/>
      <c r="BE3" s="2392" t="s">
        <v>531</v>
      </c>
      <c r="BF3" s="2392"/>
      <c r="BG3" s="2392" t="s">
        <v>376</v>
      </c>
      <c r="BH3" s="2392"/>
      <c r="BI3" s="2392" t="s">
        <v>481</v>
      </c>
      <c r="BJ3" s="2392" t="s">
        <v>652</v>
      </c>
      <c r="BK3" s="2392"/>
      <c r="BL3" s="2392" t="s">
        <v>614</v>
      </c>
      <c r="BM3" s="2392"/>
      <c r="BN3" s="2392" t="s">
        <v>532</v>
      </c>
      <c r="BO3" s="2392"/>
      <c r="BP3" s="2392" t="s">
        <v>1513</v>
      </c>
      <c r="BQ3" s="2392"/>
      <c r="BR3" s="2392" t="s">
        <v>533</v>
      </c>
      <c r="BS3" s="2392"/>
      <c r="BT3" s="2392" t="s">
        <v>534</v>
      </c>
      <c r="BU3" s="2392"/>
      <c r="BV3" s="2392" t="s">
        <v>1112</v>
      </c>
      <c r="BW3" s="2392"/>
    </row>
    <row r="4" spans="1:75" s="1695" customFormat="1" ht="20.25" customHeight="1">
      <c r="A4" s="2392"/>
      <c r="B4" s="2178" t="s">
        <v>991</v>
      </c>
      <c r="C4" s="2178" t="s">
        <v>992</v>
      </c>
      <c r="D4" s="2178" t="s">
        <v>991</v>
      </c>
      <c r="E4" s="2178" t="s">
        <v>992</v>
      </c>
      <c r="F4" s="2178" t="s">
        <v>991</v>
      </c>
      <c r="G4" s="2178" t="s">
        <v>993</v>
      </c>
      <c r="H4" s="2178" t="s">
        <v>991</v>
      </c>
      <c r="I4" s="2178" t="s">
        <v>992</v>
      </c>
      <c r="J4" s="2178" t="s">
        <v>991</v>
      </c>
      <c r="K4" s="2178" t="s">
        <v>992</v>
      </c>
      <c r="L4" s="2178" t="s">
        <v>991</v>
      </c>
      <c r="M4" s="2178" t="s">
        <v>992</v>
      </c>
      <c r="N4" s="2178" t="s">
        <v>991</v>
      </c>
      <c r="O4" s="2178" t="s">
        <v>992</v>
      </c>
      <c r="P4" s="2392"/>
      <c r="Q4" s="2178" t="s">
        <v>991</v>
      </c>
      <c r="R4" s="2178" t="s">
        <v>992</v>
      </c>
      <c r="S4" s="2178" t="s">
        <v>991</v>
      </c>
      <c r="T4" s="2178" t="s">
        <v>992</v>
      </c>
      <c r="U4" s="2178" t="s">
        <v>991</v>
      </c>
      <c r="V4" s="2178" t="s">
        <v>993</v>
      </c>
      <c r="W4" s="2178" t="s">
        <v>991</v>
      </c>
      <c r="X4" s="2178" t="s">
        <v>992</v>
      </c>
      <c r="Y4" s="2178" t="s">
        <v>991</v>
      </c>
      <c r="Z4" s="2178" t="s">
        <v>992</v>
      </c>
      <c r="AA4" s="2178" t="s">
        <v>991</v>
      </c>
      <c r="AB4" s="2178" t="s">
        <v>992</v>
      </c>
      <c r="AC4" s="2178" t="s">
        <v>991</v>
      </c>
      <c r="AD4" s="2178" t="s">
        <v>992</v>
      </c>
      <c r="AE4" s="2392"/>
      <c r="AF4" s="2178" t="s">
        <v>991</v>
      </c>
      <c r="AG4" s="2178" t="s">
        <v>992</v>
      </c>
      <c r="AH4" s="2178" t="s">
        <v>991</v>
      </c>
      <c r="AI4" s="2178" t="s">
        <v>992</v>
      </c>
      <c r="AJ4" s="2178" t="s">
        <v>991</v>
      </c>
      <c r="AK4" s="2178" t="s">
        <v>993</v>
      </c>
      <c r="AL4" s="2178" t="s">
        <v>991</v>
      </c>
      <c r="AM4" s="2178" t="s">
        <v>992</v>
      </c>
      <c r="AN4" s="2178" t="s">
        <v>991</v>
      </c>
      <c r="AO4" s="2178" t="s">
        <v>992</v>
      </c>
      <c r="AP4" s="2178" t="s">
        <v>991</v>
      </c>
      <c r="AQ4" s="2178" t="s">
        <v>992</v>
      </c>
      <c r="AR4" s="2178" t="s">
        <v>991</v>
      </c>
      <c r="AS4" s="2178" t="s">
        <v>992</v>
      </c>
      <c r="AT4" s="2392"/>
      <c r="AU4" s="2178" t="s">
        <v>991</v>
      </c>
      <c r="AV4" s="2178" t="s">
        <v>992</v>
      </c>
      <c r="AW4" s="2178" t="s">
        <v>991</v>
      </c>
      <c r="AX4" s="2178" t="s">
        <v>992</v>
      </c>
      <c r="AY4" s="2178" t="s">
        <v>991</v>
      </c>
      <c r="AZ4" s="2178" t="s">
        <v>993</v>
      </c>
      <c r="BA4" s="2178" t="s">
        <v>991</v>
      </c>
      <c r="BB4" s="2178" t="s">
        <v>992</v>
      </c>
      <c r="BC4" s="2178" t="s">
        <v>991</v>
      </c>
      <c r="BD4" s="2178" t="s">
        <v>992</v>
      </c>
      <c r="BE4" s="2178" t="s">
        <v>991</v>
      </c>
      <c r="BF4" s="2178" t="s">
        <v>992</v>
      </c>
      <c r="BG4" s="2178" t="s">
        <v>991</v>
      </c>
      <c r="BH4" s="2178" t="s">
        <v>992</v>
      </c>
      <c r="BI4" s="2392"/>
      <c r="BJ4" s="2178" t="s">
        <v>991</v>
      </c>
      <c r="BK4" s="2178" t="s">
        <v>992</v>
      </c>
      <c r="BL4" s="2178" t="s">
        <v>991</v>
      </c>
      <c r="BM4" s="2178" t="s">
        <v>992</v>
      </c>
      <c r="BN4" s="2178" t="s">
        <v>991</v>
      </c>
      <c r="BO4" s="2178" t="s">
        <v>993</v>
      </c>
      <c r="BP4" s="2178" t="s">
        <v>991</v>
      </c>
      <c r="BQ4" s="2178" t="s">
        <v>992</v>
      </c>
      <c r="BR4" s="2178" t="s">
        <v>991</v>
      </c>
      <c r="BS4" s="2178" t="s">
        <v>992</v>
      </c>
      <c r="BT4" s="2178" t="s">
        <v>991</v>
      </c>
      <c r="BU4" s="2178" t="s">
        <v>992</v>
      </c>
      <c r="BV4" s="2178" t="s">
        <v>991</v>
      </c>
      <c r="BW4" s="2178" t="s">
        <v>992</v>
      </c>
    </row>
    <row r="5" spans="1:75" s="1695" customFormat="1" ht="15.75" customHeight="1">
      <c r="A5" s="2392"/>
      <c r="B5" s="2180"/>
      <c r="C5" s="2180"/>
      <c r="D5" s="2180"/>
      <c r="E5" s="2180"/>
      <c r="F5" s="2180"/>
      <c r="G5" s="2180"/>
      <c r="H5" s="2180"/>
      <c r="I5" s="2180"/>
      <c r="J5" s="2180"/>
      <c r="K5" s="2180"/>
      <c r="L5" s="2180"/>
      <c r="M5" s="2180"/>
      <c r="N5" s="2180"/>
      <c r="O5" s="2180"/>
      <c r="P5" s="2392"/>
      <c r="Q5" s="2180"/>
      <c r="R5" s="2180"/>
      <c r="S5" s="2180"/>
      <c r="T5" s="2180"/>
      <c r="U5" s="2180"/>
      <c r="V5" s="2180"/>
      <c r="W5" s="2180"/>
      <c r="X5" s="2180"/>
      <c r="Y5" s="2180"/>
      <c r="Z5" s="2180"/>
      <c r="AA5" s="2180"/>
      <c r="AB5" s="2180"/>
      <c r="AC5" s="2180"/>
      <c r="AD5" s="2180"/>
      <c r="AE5" s="2392"/>
      <c r="AF5" s="2180"/>
      <c r="AG5" s="2180"/>
      <c r="AH5" s="2180"/>
      <c r="AI5" s="2180"/>
      <c r="AJ5" s="2180"/>
      <c r="AK5" s="2180"/>
      <c r="AL5" s="2180"/>
      <c r="AM5" s="2180"/>
      <c r="AN5" s="2180"/>
      <c r="AO5" s="2180"/>
      <c r="AP5" s="2180"/>
      <c r="AQ5" s="2180"/>
      <c r="AR5" s="2180"/>
      <c r="AS5" s="2180"/>
      <c r="AT5" s="2392"/>
      <c r="AU5" s="2180"/>
      <c r="AV5" s="2180"/>
      <c r="AW5" s="2180"/>
      <c r="AX5" s="2180"/>
      <c r="AY5" s="2180"/>
      <c r="AZ5" s="2180"/>
      <c r="BA5" s="2180"/>
      <c r="BB5" s="2180"/>
      <c r="BC5" s="2180"/>
      <c r="BD5" s="2180"/>
      <c r="BE5" s="2180"/>
      <c r="BF5" s="2180"/>
      <c r="BG5" s="2180"/>
      <c r="BH5" s="2180"/>
      <c r="BI5" s="2392"/>
      <c r="BJ5" s="2180"/>
      <c r="BK5" s="2180"/>
      <c r="BL5" s="2180"/>
      <c r="BM5" s="2180"/>
      <c r="BN5" s="2180"/>
      <c r="BO5" s="2180"/>
      <c r="BP5" s="2180"/>
      <c r="BQ5" s="2180"/>
      <c r="BR5" s="2180"/>
      <c r="BS5" s="2180"/>
      <c r="BT5" s="2180"/>
      <c r="BU5" s="2180"/>
      <c r="BV5" s="2180"/>
      <c r="BW5" s="2180"/>
    </row>
    <row r="6" spans="1:75" s="127" customFormat="1" ht="12">
      <c r="A6" s="2392"/>
      <c r="B6" s="1698">
        <v>1</v>
      </c>
      <c r="C6" s="1698">
        <v>2</v>
      </c>
      <c r="D6" s="1698">
        <v>3</v>
      </c>
      <c r="E6" s="1698">
        <v>4</v>
      </c>
      <c r="F6" s="1698">
        <v>5</v>
      </c>
      <c r="G6" s="1698">
        <v>6</v>
      </c>
      <c r="H6" s="1698">
        <v>7</v>
      </c>
      <c r="I6" s="1698">
        <v>8</v>
      </c>
      <c r="J6" s="1698">
        <v>9</v>
      </c>
      <c r="K6" s="1698">
        <v>10</v>
      </c>
      <c r="L6" s="1698">
        <v>11</v>
      </c>
      <c r="M6" s="1698">
        <v>12</v>
      </c>
      <c r="N6" s="1698">
        <v>13</v>
      </c>
      <c r="O6" s="1698">
        <v>14</v>
      </c>
      <c r="P6" s="2392"/>
      <c r="Q6" s="1698">
        <v>15</v>
      </c>
      <c r="R6" s="1698">
        <v>16</v>
      </c>
      <c r="S6" s="1698">
        <v>17</v>
      </c>
      <c r="T6" s="1698">
        <v>18</v>
      </c>
      <c r="U6" s="1698">
        <v>19</v>
      </c>
      <c r="V6" s="1698">
        <v>20</v>
      </c>
      <c r="W6" s="1698">
        <v>21</v>
      </c>
      <c r="X6" s="1698">
        <v>22</v>
      </c>
      <c r="Y6" s="1698">
        <v>23</v>
      </c>
      <c r="Z6" s="1698">
        <v>24</v>
      </c>
      <c r="AA6" s="1698">
        <v>25</v>
      </c>
      <c r="AB6" s="1698">
        <v>26</v>
      </c>
      <c r="AC6" s="1698">
        <v>27</v>
      </c>
      <c r="AD6" s="1698">
        <v>28</v>
      </c>
      <c r="AE6" s="2392"/>
      <c r="AF6" s="1698">
        <v>29</v>
      </c>
      <c r="AG6" s="1698">
        <v>30</v>
      </c>
      <c r="AH6" s="1698">
        <v>31</v>
      </c>
      <c r="AI6" s="1698">
        <v>32</v>
      </c>
      <c r="AJ6" s="1698">
        <v>33</v>
      </c>
      <c r="AK6" s="1698">
        <v>34</v>
      </c>
      <c r="AL6" s="1698">
        <v>35</v>
      </c>
      <c r="AM6" s="1698">
        <v>36</v>
      </c>
      <c r="AN6" s="1698">
        <v>37</v>
      </c>
      <c r="AO6" s="1698">
        <v>38</v>
      </c>
      <c r="AP6" s="1698">
        <v>39</v>
      </c>
      <c r="AQ6" s="1698">
        <v>40</v>
      </c>
      <c r="AR6" s="1698">
        <v>41</v>
      </c>
      <c r="AS6" s="1698">
        <v>42</v>
      </c>
      <c r="AT6" s="2392"/>
      <c r="AU6" s="1698">
        <v>43</v>
      </c>
      <c r="AV6" s="1698">
        <v>44</v>
      </c>
      <c r="AW6" s="1698">
        <v>45</v>
      </c>
      <c r="AX6" s="1698">
        <v>46</v>
      </c>
      <c r="AY6" s="1698">
        <v>47</v>
      </c>
      <c r="AZ6" s="1698">
        <v>48</v>
      </c>
      <c r="BA6" s="1698">
        <v>49</v>
      </c>
      <c r="BB6" s="1698">
        <v>50</v>
      </c>
      <c r="BC6" s="1698">
        <v>51</v>
      </c>
      <c r="BD6" s="1698">
        <v>52</v>
      </c>
      <c r="BE6" s="1698">
        <v>53</v>
      </c>
      <c r="BF6" s="1698">
        <v>54</v>
      </c>
      <c r="BG6" s="1698">
        <v>55</v>
      </c>
      <c r="BH6" s="1698">
        <v>56</v>
      </c>
      <c r="BI6" s="2392"/>
      <c r="BJ6" s="1698">
        <v>57</v>
      </c>
      <c r="BK6" s="1698">
        <v>58</v>
      </c>
      <c r="BL6" s="1698">
        <v>59</v>
      </c>
      <c r="BM6" s="1698">
        <v>60</v>
      </c>
      <c r="BN6" s="1698">
        <v>61</v>
      </c>
      <c r="BO6" s="1698">
        <v>62</v>
      </c>
      <c r="BP6" s="1698">
        <v>63</v>
      </c>
      <c r="BQ6" s="1698">
        <v>64</v>
      </c>
      <c r="BR6" s="1698">
        <v>65</v>
      </c>
      <c r="BS6" s="1698">
        <v>66</v>
      </c>
      <c r="BT6" s="1698">
        <v>67</v>
      </c>
      <c r="BU6" s="1698">
        <v>68</v>
      </c>
      <c r="BV6" s="1698">
        <v>69</v>
      </c>
      <c r="BW6" s="1698">
        <v>70</v>
      </c>
    </row>
    <row r="7" spans="1:75" ht="11.1" customHeight="1">
      <c r="A7" s="223" t="s">
        <v>701</v>
      </c>
      <c r="B7" s="14">
        <v>81.650000000000006</v>
      </c>
      <c r="C7" s="14">
        <v>83.78</v>
      </c>
      <c r="D7" s="14">
        <v>79.099999999999994</v>
      </c>
      <c r="E7" s="14">
        <v>81.819999999999993</v>
      </c>
      <c r="F7" s="14">
        <v>209.8</v>
      </c>
      <c r="G7" s="14">
        <v>217.03</v>
      </c>
      <c r="H7" s="14">
        <v>78.84</v>
      </c>
      <c r="I7" s="14">
        <v>80.45</v>
      </c>
      <c r="J7" s="14">
        <v>12.47</v>
      </c>
      <c r="K7" s="14">
        <v>12.94</v>
      </c>
      <c r="L7" s="14">
        <v>14.22</v>
      </c>
      <c r="M7" s="14">
        <v>13.91</v>
      </c>
      <c r="N7" s="14">
        <v>105.78</v>
      </c>
      <c r="O7" s="14">
        <v>103.45</v>
      </c>
      <c r="P7" s="223" t="s">
        <v>701</v>
      </c>
      <c r="Q7" s="14">
        <v>10.18</v>
      </c>
      <c r="R7" s="14">
        <v>10.55</v>
      </c>
      <c r="S7" s="14">
        <v>1.58</v>
      </c>
      <c r="T7" s="14">
        <v>1.47</v>
      </c>
      <c r="U7" s="14">
        <v>0.01</v>
      </c>
      <c r="V7" s="14">
        <v>0.01</v>
      </c>
      <c r="W7" s="14">
        <v>0.01</v>
      </c>
      <c r="X7" s="14">
        <v>0.01</v>
      </c>
      <c r="Y7" s="14">
        <v>1.01</v>
      </c>
      <c r="Z7" s="14">
        <v>1.02</v>
      </c>
      <c r="AA7" s="14">
        <v>285.58</v>
      </c>
      <c r="AB7" s="14">
        <v>292.27</v>
      </c>
      <c r="AC7" s="14">
        <v>25.63</v>
      </c>
      <c r="AD7" s="14">
        <v>25.81</v>
      </c>
      <c r="AE7" s="223" t="s">
        <v>701</v>
      </c>
      <c r="AF7" s="14">
        <v>12.32</v>
      </c>
      <c r="AG7" s="14">
        <v>12.74</v>
      </c>
      <c r="AH7" s="14">
        <v>0.99</v>
      </c>
      <c r="AI7" s="14">
        <v>0.9</v>
      </c>
      <c r="AJ7" s="14">
        <v>63.62</v>
      </c>
      <c r="AK7" s="14">
        <v>65.52</v>
      </c>
      <c r="AL7" s="14">
        <v>13.79</v>
      </c>
      <c r="AM7" s="14">
        <v>13.72</v>
      </c>
      <c r="AN7" s="14">
        <v>205.3</v>
      </c>
      <c r="AO7" s="14">
        <v>212.52</v>
      </c>
      <c r="AP7" s="14">
        <v>0.89</v>
      </c>
      <c r="AQ7" s="14">
        <v>0.87</v>
      </c>
      <c r="AR7" s="14">
        <v>1.84</v>
      </c>
      <c r="AS7" s="14">
        <v>1.94</v>
      </c>
      <c r="AT7" s="223" t="s">
        <v>701</v>
      </c>
      <c r="AU7" s="14">
        <v>21.72</v>
      </c>
      <c r="AV7" s="14">
        <v>22.47</v>
      </c>
      <c r="AW7" s="14">
        <v>2.61</v>
      </c>
      <c r="AX7" s="14">
        <v>2.4900000000000002</v>
      </c>
      <c r="AY7" s="14">
        <v>21.09</v>
      </c>
      <c r="AZ7" s="14">
        <v>21.82</v>
      </c>
      <c r="BA7" s="14">
        <v>7.0000000000000007E-2</v>
      </c>
      <c r="BB7" s="14">
        <v>7.0000000000000007E-2</v>
      </c>
      <c r="BC7" s="14">
        <v>62.78</v>
      </c>
      <c r="BD7" s="14">
        <v>64.650000000000006</v>
      </c>
      <c r="BE7" s="14">
        <v>11.76</v>
      </c>
      <c r="BF7" s="14">
        <v>11.82</v>
      </c>
      <c r="BG7" s="14">
        <v>0.68</v>
      </c>
      <c r="BH7" s="14">
        <v>0.61</v>
      </c>
      <c r="BI7" s="223" t="s">
        <v>701</v>
      </c>
      <c r="BJ7" s="14">
        <v>88.18</v>
      </c>
      <c r="BK7" s="14">
        <v>86.11</v>
      </c>
      <c r="BL7" s="14">
        <v>1.47</v>
      </c>
      <c r="BM7" s="14">
        <v>1.28</v>
      </c>
      <c r="BN7" s="14">
        <v>123.03</v>
      </c>
      <c r="BO7" s="14">
        <v>124.16</v>
      </c>
      <c r="BP7" s="14">
        <v>2.56</v>
      </c>
      <c r="BQ7" s="14">
        <v>2.59</v>
      </c>
      <c r="BR7" s="14">
        <v>21.53</v>
      </c>
      <c r="BS7" s="14">
        <v>22.28</v>
      </c>
      <c r="BT7" s="14">
        <v>79.099999999999994</v>
      </c>
      <c r="BU7" s="14">
        <v>81.819999999999993</v>
      </c>
      <c r="BV7" s="14">
        <v>125.28</v>
      </c>
      <c r="BW7" s="14">
        <v>128.19999999999999</v>
      </c>
    </row>
    <row r="8" spans="1:75" ht="11.1" customHeight="1">
      <c r="A8" s="292" t="s">
        <v>809</v>
      </c>
      <c r="B8" s="261">
        <v>82.13</v>
      </c>
      <c r="C8" s="261">
        <v>71.099999999999994</v>
      </c>
      <c r="D8" s="261">
        <v>79.930000000000007</v>
      </c>
      <c r="E8" s="261">
        <v>77.77</v>
      </c>
      <c r="F8" s="261">
        <v>212.02</v>
      </c>
      <c r="G8" s="261">
        <v>206.27</v>
      </c>
      <c r="H8" s="261">
        <v>79.62</v>
      </c>
      <c r="I8" s="261">
        <v>73.900000000000006</v>
      </c>
      <c r="J8" s="261">
        <v>12.72</v>
      </c>
      <c r="K8" s="261">
        <v>12.59</v>
      </c>
      <c r="L8" s="261">
        <v>13.87</v>
      </c>
      <c r="M8" s="261">
        <v>13.57</v>
      </c>
      <c r="N8" s="261">
        <v>103.37</v>
      </c>
      <c r="O8" s="261">
        <v>101.19</v>
      </c>
      <c r="P8" s="292" t="s">
        <v>809</v>
      </c>
      <c r="Q8" s="261">
        <v>10.31</v>
      </c>
      <c r="R8" s="261">
        <v>10.029999999999999</v>
      </c>
      <c r="S8" s="261">
        <v>1.46</v>
      </c>
      <c r="T8" s="261">
        <v>1.31</v>
      </c>
      <c r="U8" s="261">
        <v>0.01</v>
      </c>
      <c r="V8" s="261">
        <v>0.01</v>
      </c>
      <c r="W8" s="261">
        <v>0.01</v>
      </c>
      <c r="X8" s="261">
        <v>0.01</v>
      </c>
      <c r="Y8" s="261">
        <v>0.92</v>
      </c>
      <c r="Z8" s="261">
        <v>0.78</v>
      </c>
      <c r="AA8" s="261">
        <v>282.77999999999997</v>
      </c>
      <c r="AB8" s="261">
        <v>272.62</v>
      </c>
      <c r="AC8" s="261">
        <v>25.93</v>
      </c>
      <c r="AD8" s="261">
        <v>24.61</v>
      </c>
      <c r="AE8" s="292" t="s">
        <v>809</v>
      </c>
      <c r="AF8" s="261">
        <v>12.45</v>
      </c>
      <c r="AG8" s="261">
        <v>12.11</v>
      </c>
      <c r="AH8" s="261">
        <v>0.91</v>
      </c>
      <c r="AI8" s="261">
        <v>0.81</v>
      </c>
      <c r="AJ8" s="261">
        <v>65.7</v>
      </c>
      <c r="AK8" s="261">
        <v>60.24</v>
      </c>
      <c r="AL8" s="261">
        <v>13.88</v>
      </c>
      <c r="AM8" s="261">
        <v>12.81</v>
      </c>
      <c r="AN8" s="261">
        <v>207.59</v>
      </c>
      <c r="AO8" s="261">
        <v>201.99</v>
      </c>
      <c r="AP8" s="261">
        <v>0.83</v>
      </c>
      <c r="AQ8" s="261">
        <v>0.78</v>
      </c>
      <c r="AR8" s="261">
        <v>1.93</v>
      </c>
      <c r="AS8" s="261">
        <v>1.8</v>
      </c>
      <c r="AT8" s="292" t="s">
        <v>809</v>
      </c>
      <c r="AU8" s="261">
        <v>21.95</v>
      </c>
      <c r="AV8" s="261">
        <v>21.36</v>
      </c>
      <c r="AW8" s="261">
        <v>2.56</v>
      </c>
      <c r="AX8" s="261">
        <v>2.36</v>
      </c>
      <c r="AY8" s="261">
        <v>21.31</v>
      </c>
      <c r="AZ8" s="261">
        <v>20.74</v>
      </c>
      <c r="BA8" s="261">
        <v>7.0000000000000007E-2</v>
      </c>
      <c r="BB8" s="261">
        <v>7.0000000000000007E-2</v>
      </c>
      <c r="BC8" s="261">
        <v>64.540000000000006</v>
      </c>
      <c r="BD8" s="261">
        <v>61.36</v>
      </c>
      <c r="BE8" s="261">
        <v>12.12</v>
      </c>
      <c r="BF8" s="261">
        <v>11.6</v>
      </c>
      <c r="BG8" s="261">
        <v>0.62</v>
      </c>
      <c r="BH8" s="261">
        <v>0.6</v>
      </c>
      <c r="BI8" s="292" t="s">
        <v>809</v>
      </c>
      <c r="BJ8" s="261">
        <v>84.91</v>
      </c>
      <c r="BK8" s="261">
        <v>82.32</v>
      </c>
      <c r="BL8" s="261">
        <v>1.1200000000000001</v>
      </c>
      <c r="BM8" s="261">
        <v>0.77</v>
      </c>
      <c r="BN8" s="261">
        <v>121.56</v>
      </c>
      <c r="BO8" s="261">
        <v>116.96</v>
      </c>
      <c r="BP8" s="261">
        <v>2.63</v>
      </c>
      <c r="BQ8" s="261">
        <v>2.5</v>
      </c>
      <c r="BR8" s="261">
        <v>21.76</v>
      </c>
      <c r="BS8" s="261">
        <v>21.17</v>
      </c>
      <c r="BT8" s="261">
        <v>79.930000000000007</v>
      </c>
      <c r="BU8" s="261">
        <v>77.77</v>
      </c>
      <c r="BV8" s="261">
        <v>125.45</v>
      </c>
      <c r="BW8" s="261">
        <v>118.24</v>
      </c>
    </row>
    <row r="9" spans="1:75" s="140" customFormat="1" ht="11.1" customHeight="1">
      <c r="A9" s="545" t="s">
        <v>982</v>
      </c>
      <c r="B9" s="293">
        <v>71.366500000000002</v>
      </c>
      <c r="C9" s="293">
        <v>73.17</v>
      </c>
      <c r="D9" s="293">
        <v>77.721800000000002</v>
      </c>
      <c r="E9" s="293">
        <v>77.63</v>
      </c>
      <c r="F9" s="293">
        <v>206.1584</v>
      </c>
      <c r="G9" s="293">
        <v>205.92</v>
      </c>
      <c r="H9" s="293">
        <v>72.688100000000006</v>
      </c>
      <c r="I9" s="293">
        <v>72.81</v>
      </c>
      <c r="J9" s="293">
        <v>12.6509</v>
      </c>
      <c r="K9" s="293">
        <v>12.62</v>
      </c>
      <c r="L9" s="293">
        <v>14.135199999999999</v>
      </c>
      <c r="M9" s="293">
        <v>14.21</v>
      </c>
      <c r="N9" s="293">
        <v>105.4555</v>
      </c>
      <c r="O9" s="293">
        <v>105.96</v>
      </c>
      <c r="P9" s="545" t="s">
        <v>982</v>
      </c>
      <c r="Q9" s="293">
        <v>10.021800000000001</v>
      </c>
      <c r="R9" s="293">
        <v>10.02</v>
      </c>
      <c r="S9" s="293">
        <v>1.2666999999999999</v>
      </c>
      <c r="T9" s="293">
        <v>1.29</v>
      </c>
      <c r="U9" s="293">
        <v>6.7999999999999996E-3</v>
      </c>
      <c r="V9" s="293">
        <v>0.01</v>
      </c>
      <c r="W9" s="293">
        <v>3.0999999999999999E-3</v>
      </c>
      <c r="X9" s="293">
        <v>0</v>
      </c>
      <c r="Y9" s="293">
        <v>0.76949999999999996</v>
      </c>
      <c r="Z9" s="293">
        <v>0.77</v>
      </c>
      <c r="AA9" s="293">
        <v>274.81169999999997</v>
      </c>
      <c r="AB9" s="293">
        <v>275.48</v>
      </c>
      <c r="AC9" s="293">
        <v>23.951899999999998</v>
      </c>
      <c r="AD9" s="293">
        <v>24.19</v>
      </c>
      <c r="AE9" s="545" t="s">
        <v>982</v>
      </c>
      <c r="AF9" s="293">
        <v>12.106199999999999</v>
      </c>
      <c r="AG9" s="293">
        <v>12.09</v>
      </c>
      <c r="AH9" s="293">
        <v>0.79120000000000001</v>
      </c>
      <c r="AI9" s="293">
        <v>0.81</v>
      </c>
      <c r="AJ9" s="293">
        <v>64.542199999999994</v>
      </c>
      <c r="AK9" s="293">
        <v>68.16</v>
      </c>
      <c r="AL9" s="293">
        <v>12.898300000000001</v>
      </c>
      <c r="AM9" s="293">
        <v>12.68</v>
      </c>
      <c r="AN9" s="293">
        <v>201.87649999999999</v>
      </c>
      <c r="AO9" s="293">
        <v>201.64</v>
      </c>
      <c r="AP9" s="293">
        <v>0.75619999999999998</v>
      </c>
      <c r="AQ9" s="293">
        <v>0.79</v>
      </c>
      <c r="AR9" s="293">
        <v>1.7890999999999999</v>
      </c>
      <c r="AS9" s="293">
        <v>1.78</v>
      </c>
      <c r="AT9" s="545" t="s">
        <v>982</v>
      </c>
      <c r="AU9" s="293">
        <v>21.345800000000001</v>
      </c>
      <c r="AV9" s="293">
        <v>21.32</v>
      </c>
      <c r="AW9" s="293">
        <v>2.3018000000000001</v>
      </c>
      <c r="AX9" s="293">
        <v>2.2999999999999998</v>
      </c>
      <c r="AY9" s="293">
        <v>20.723500000000001</v>
      </c>
      <c r="AZ9" s="293">
        <v>20.7</v>
      </c>
      <c r="BA9" s="293">
        <v>7.3099999999999998E-2</v>
      </c>
      <c r="BB9" s="293">
        <v>0.08</v>
      </c>
      <c r="BC9" s="293">
        <v>61.703600000000002</v>
      </c>
      <c r="BD9" s="293">
        <v>62.12</v>
      </c>
      <c r="BE9" s="293">
        <v>11.901199999999999</v>
      </c>
      <c r="BF9" s="293">
        <v>11.52</v>
      </c>
      <c r="BG9" s="293">
        <v>0.5927</v>
      </c>
      <c r="BH9" s="293">
        <v>0.6</v>
      </c>
      <c r="BI9" s="545" t="s">
        <v>982</v>
      </c>
      <c r="BJ9" s="293">
        <v>85.985900000000001</v>
      </c>
      <c r="BK9" s="293">
        <v>87.15</v>
      </c>
      <c r="BL9" s="293">
        <v>0.57769999999999999</v>
      </c>
      <c r="BM9" s="293">
        <v>0.52</v>
      </c>
      <c r="BN9" s="293">
        <v>119.22799999999999</v>
      </c>
      <c r="BO9" s="293">
        <v>119.87</v>
      </c>
      <c r="BP9" s="293">
        <v>2.4632000000000001</v>
      </c>
      <c r="BQ9" s="293">
        <v>2.39</v>
      </c>
      <c r="BR9" s="293">
        <v>21.160299999999999</v>
      </c>
      <c r="BS9" s="293">
        <v>21.14</v>
      </c>
      <c r="BT9" s="293">
        <v>77.721800000000002</v>
      </c>
      <c r="BU9" s="293">
        <v>77.63</v>
      </c>
      <c r="BV9" s="293">
        <v>126.401</v>
      </c>
      <c r="BW9" s="293">
        <v>132.24</v>
      </c>
    </row>
    <row r="10" spans="1:75" s="26" customFormat="1" ht="11.1" customHeight="1">
      <c r="A10" s="443" t="s">
        <v>1033</v>
      </c>
      <c r="B10" s="334">
        <v>65.014200000000002</v>
      </c>
      <c r="C10" s="334">
        <v>59.81</v>
      </c>
      <c r="D10" s="334">
        <v>77.674599999999998</v>
      </c>
      <c r="E10" s="334">
        <v>77.81</v>
      </c>
      <c r="F10" s="334">
        <v>206.0292</v>
      </c>
      <c r="G10" s="334">
        <v>206.35</v>
      </c>
      <c r="H10" s="334">
        <v>66.458699999999993</v>
      </c>
      <c r="I10" s="334">
        <v>62.78</v>
      </c>
      <c r="J10" s="334">
        <v>12.6549</v>
      </c>
      <c r="K10" s="334">
        <v>12.73</v>
      </c>
      <c r="L10" s="334">
        <v>12.5419</v>
      </c>
      <c r="M10" s="334">
        <v>11.72</v>
      </c>
      <c r="N10" s="334">
        <v>93.459400000000002</v>
      </c>
      <c r="O10" s="334">
        <v>87.43</v>
      </c>
      <c r="P10" s="443" t="s">
        <v>1033</v>
      </c>
      <c r="Q10" s="334">
        <v>10.017799999999999</v>
      </c>
      <c r="R10" s="334">
        <v>10.039999999999999</v>
      </c>
      <c r="S10" s="334">
        <v>1.2528999999999999</v>
      </c>
      <c r="T10" s="334">
        <v>1.22</v>
      </c>
      <c r="U10" s="334">
        <v>6.1999999999999998E-3</v>
      </c>
      <c r="V10" s="334">
        <v>0.01</v>
      </c>
      <c r="W10" s="334">
        <v>2.8E-3</v>
      </c>
      <c r="X10" s="334">
        <v>0</v>
      </c>
      <c r="Y10" s="334">
        <v>0.6804</v>
      </c>
      <c r="Z10" s="334">
        <v>0.63</v>
      </c>
      <c r="AA10" s="334">
        <v>265.0548</v>
      </c>
      <c r="AB10" s="334">
        <v>257.42</v>
      </c>
      <c r="AC10" s="334">
        <v>22.543600000000001</v>
      </c>
      <c r="AD10" s="334">
        <v>20.55</v>
      </c>
      <c r="AE10" s="443" t="s">
        <v>1033</v>
      </c>
      <c r="AF10" s="334">
        <v>7.5800000000000006E-2</v>
      </c>
      <c r="AG10" s="334">
        <v>7.0000000000000007E-2</v>
      </c>
      <c r="AH10" s="334">
        <v>0.78300000000000003</v>
      </c>
      <c r="AI10" s="334">
        <v>0.76</v>
      </c>
      <c r="AJ10" s="334">
        <v>60.438099999999999</v>
      </c>
      <c r="AK10" s="334">
        <v>53.34</v>
      </c>
      <c r="AL10" s="334">
        <v>10.959300000000001</v>
      </c>
      <c r="AM10" s="334">
        <v>9.9</v>
      </c>
      <c r="AN10" s="334">
        <v>201.7544</v>
      </c>
      <c r="AO10" s="334">
        <v>202.12</v>
      </c>
      <c r="AP10" s="334">
        <v>0.76639999999999997</v>
      </c>
      <c r="AQ10" s="334">
        <v>0.76</v>
      </c>
      <c r="AR10" s="334">
        <v>1.7483</v>
      </c>
      <c r="AS10" s="334">
        <v>1.72</v>
      </c>
      <c r="AT10" s="443" t="s">
        <v>1033</v>
      </c>
      <c r="AU10" s="334">
        <v>21.332699999999999</v>
      </c>
      <c r="AV10" s="334">
        <v>21.37</v>
      </c>
      <c r="AW10" s="334">
        <v>1.6351</v>
      </c>
      <c r="AX10" s="334">
        <v>1.4</v>
      </c>
      <c r="AY10" s="334">
        <v>20.705300000000001</v>
      </c>
      <c r="AZ10" s="334">
        <v>20.74</v>
      </c>
      <c r="BA10" s="334">
        <v>7.2099999999999997E-2</v>
      </c>
      <c r="BB10" s="334">
        <v>7.0000000000000007E-2</v>
      </c>
      <c r="BC10" s="334">
        <v>59.317100000000003</v>
      </c>
      <c r="BD10" s="334">
        <v>57.8</v>
      </c>
      <c r="BE10" s="334">
        <v>10.058400000000001</v>
      </c>
      <c r="BF10" s="334">
        <v>9.44</v>
      </c>
      <c r="BG10" s="334">
        <v>0.58940000000000003</v>
      </c>
      <c r="BH10" s="334">
        <v>0.57999999999999996</v>
      </c>
      <c r="BI10" s="443" t="s">
        <v>1033</v>
      </c>
      <c r="BJ10" s="334">
        <v>82.442999999999998</v>
      </c>
      <c r="BK10" s="334">
        <v>84.03</v>
      </c>
      <c r="BL10" s="334">
        <v>0.43109999999999998</v>
      </c>
      <c r="BM10" s="334">
        <v>0.36</v>
      </c>
      <c r="BN10" s="334">
        <v>112.64660000000001</v>
      </c>
      <c r="BO10" s="334">
        <v>109.18</v>
      </c>
      <c r="BP10" s="334">
        <v>2.3778999999999999</v>
      </c>
      <c r="BQ10" s="334">
        <v>2.2999999999999998</v>
      </c>
      <c r="BR10" s="334">
        <v>21.147400000000001</v>
      </c>
      <c r="BS10" s="334">
        <v>21.18</v>
      </c>
      <c r="BT10" s="334">
        <v>77.674599999999998</v>
      </c>
      <c r="BU10" s="334">
        <v>77.81</v>
      </c>
      <c r="BV10" s="334">
        <v>122.4104</v>
      </c>
      <c r="BW10" s="334">
        <v>122.42</v>
      </c>
    </row>
    <row r="11" spans="1:75" s="231" customFormat="1" ht="11.1" customHeight="1">
      <c r="A11" s="448" t="s">
        <v>1154</v>
      </c>
      <c r="B11" s="320">
        <v>57.023499999999999</v>
      </c>
      <c r="C11" s="320">
        <v>58.42</v>
      </c>
      <c r="D11" s="320">
        <v>78.2637</v>
      </c>
      <c r="E11" s="320">
        <v>78.400000000000006</v>
      </c>
      <c r="F11" s="320">
        <v>207.56620000000001</v>
      </c>
      <c r="G11" s="320">
        <v>207.76</v>
      </c>
      <c r="H11" s="320">
        <v>59.080199999999998</v>
      </c>
      <c r="I11" s="320">
        <v>60.63</v>
      </c>
      <c r="J11" s="320">
        <v>12.1837</v>
      </c>
      <c r="K11" s="320">
        <v>11.82</v>
      </c>
      <c r="L11" s="320">
        <v>11.653600000000001</v>
      </c>
      <c r="M11" s="320">
        <v>11.73</v>
      </c>
      <c r="N11" s="320">
        <v>86.882900000000006</v>
      </c>
      <c r="O11" s="320">
        <v>87.21</v>
      </c>
      <c r="P11" s="448" t="s">
        <v>1154</v>
      </c>
      <c r="Q11" s="320">
        <v>10.0863</v>
      </c>
      <c r="R11" s="320">
        <v>10.1</v>
      </c>
      <c r="S11" s="320">
        <v>1.1812</v>
      </c>
      <c r="T11" s="320">
        <v>1.1599999999999999</v>
      </c>
      <c r="U11" s="320">
        <v>5.7999999999999996E-3</v>
      </c>
      <c r="V11" s="320">
        <v>0.01</v>
      </c>
      <c r="W11" s="320">
        <v>2.5999999999999999E-3</v>
      </c>
      <c r="X11" s="320">
        <v>0</v>
      </c>
      <c r="Y11" s="320">
        <v>0.67200000000000004</v>
      </c>
      <c r="Z11" s="320">
        <v>0.76</v>
      </c>
      <c r="AA11" s="320">
        <v>258.94290000000001</v>
      </c>
      <c r="AB11" s="320">
        <v>259.52</v>
      </c>
      <c r="AC11" s="320">
        <v>18.955200000000001</v>
      </c>
      <c r="AD11" s="320">
        <v>19.5</v>
      </c>
      <c r="AE11" s="448" t="s">
        <v>1154</v>
      </c>
      <c r="AF11" s="320">
        <v>6.3100000000000003E-2</v>
      </c>
      <c r="AG11" s="320">
        <v>7.0000000000000007E-2</v>
      </c>
      <c r="AH11" s="320">
        <v>0.73850000000000005</v>
      </c>
      <c r="AI11" s="320">
        <v>0.72</v>
      </c>
      <c r="AJ11" s="320">
        <v>52.3</v>
      </c>
      <c r="AK11" s="320">
        <v>55.76</v>
      </c>
      <c r="AL11" s="320">
        <v>9.3177000000000003</v>
      </c>
      <c r="AM11" s="320">
        <v>9.34</v>
      </c>
      <c r="AN11" s="320">
        <v>203.2773</v>
      </c>
      <c r="AO11" s="320">
        <v>203.63</v>
      </c>
      <c r="AP11" s="320">
        <v>0.75029999999999997</v>
      </c>
      <c r="AQ11" s="320">
        <v>0.75</v>
      </c>
      <c r="AR11" s="320">
        <v>1.6767000000000001</v>
      </c>
      <c r="AS11" s="320">
        <v>1.67</v>
      </c>
      <c r="AT11" s="448" t="s">
        <v>1154</v>
      </c>
      <c r="AU11" s="320">
        <v>21.494900000000001</v>
      </c>
      <c r="AV11" s="320">
        <v>21.53</v>
      </c>
      <c r="AW11" s="320">
        <v>1.1691</v>
      </c>
      <c r="AX11" s="320">
        <v>1.22</v>
      </c>
      <c r="AY11" s="320">
        <v>20.8674</v>
      </c>
      <c r="AZ11" s="320">
        <v>20.9</v>
      </c>
      <c r="BA11" s="320">
        <v>6.6699999999999995E-2</v>
      </c>
      <c r="BB11" s="320">
        <v>7.0000000000000007E-2</v>
      </c>
      <c r="BC11" s="320">
        <v>56.334699999999998</v>
      </c>
      <c r="BD11" s="320">
        <v>58.16</v>
      </c>
      <c r="BE11" s="320">
        <v>9.3073999999999995</v>
      </c>
      <c r="BF11" s="320">
        <v>9.25</v>
      </c>
      <c r="BG11" s="320">
        <v>0.55110000000000003</v>
      </c>
      <c r="BH11" s="320">
        <v>0.54</v>
      </c>
      <c r="BI11" s="448" t="s">
        <v>1154</v>
      </c>
      <c r="BJ11" s="320">
        <v>79.908100000000005</v>
      </c>
      <c r="BK11" s="320">
        <v>80.02</v>
      </c>
      <c r="BL11" s="320">
        <v>0.35630000000000001</v>
      </c>
      <c r="BM11" s="320">
        <v>0.36</v>
      </c>
      <c r="BN11" s="320">
        <v>109.4175</v>
      </c>
      <c r="BO11" s="320">
        <v>109.44</v>
      </c>
      <c r="BP11" s="320">
        <v>2.2054999999999998</v>
      </c>
      <c r="BQ11" s="320">
        <v>2.2200000000000002</v>
      </c>
      <c r="BR11" s="320">
        <v>21.308199999999999</v>
      </c>
      <c r="BS11" s="320">
        <v>21.35</v>
      </c>
      <c r="BT11" s="320">
        <v>78.2637</v>
      </c>
      <c r="BU11" s="320">
        <v>78.400000000000006</v>
      </c>
      <c r="BV11" s="320">
        <v>116.15600000000001</v>
      </c>
      <c r="BW11" s="320">
        <v>105.25</v>
      </c>
    </row>
    <row r="12" spans="1:75" s="231" customFormat="1" ht="11.1" customHeight="1">
      <c r="A12" s="443" t="s">
        <v>1178</v>
      </c>
      <c r="B12" s="334">
        <v>59.658900000000003</v>
      </c>
      <c r="C12" s="334">
        <v>61.93</v>
      </c>
      <c r="D12" s="334">
        <v>79.119200000000006</v>
      </c>
      <c r="E12" s="334">
        <v>80.599999999999994</v>
      </c>
      <c r="F12" s="334">
        <v>209.82980000000001</v>
      </c>
      <c r="G12" s="334">
        <v>213.64</v>
      </c>
      <c r="H12" s="334">
        <v>59.645600000000002</v>
      </c>
      <c r="I12" s="334">
        <v>61.98</v>
      </c>
      <c r="J12" s="334">
        <v>11.6242</v>
      </c>
      <c r="K12" s="334">
        <v>11.9</v>
      </c>
      <c r="L12" s="334">
        <v>11.596</v>
      </c>
      <c r="M12" s="334">
        <v>12.4</v>
      </c>
      <c r="N12" s="334">
        <v>86.2637</v>
      </c>
      <c r="O12" s="334">
        <v>92.21</v>
      </c>
      <c r="P12" s="443" t="s">
        <v>1178</v>
      </c>
      <c r="Q12" s="334">
        <v>10.189</v>
      </c>
      <c r="R12" s="334">
        <v>10.33</v>
      </c>
      <c r="S12" s="334">
        <v>1.1911</v>
      </c>
      <c r="T12" s="334">
        <v>1.25</v>
      </c>
      <c r="U12" s="334">
        <v>6.0000000000000001E-3</v>
      </c>
      <c r="V12" s="334">
        <v>0.01</v>
      </c>
      <c r="W12" s="334">
        <v>2.5000000000000001E-3</v>
      </c>
      <c r="X12" s="334">
        <v>0</v>
      </c>
      <c r="Y12" s="334">
        <v>0.7268</v>
      </c>
      <c r="Z12" s="334">
        <v>0.72</v>
      </c>
      <c r="AA12" s="334">
        <v>260.45460000000003</v>
      </c>
      <c r="AB12" s="334">
        <v>265.73</v>
      </c>
      <c r="AC12" s="334">
        <v>18.4786</v>
      </c>
      <c r="AD12" s="334">
        <v>18.77</v>
      </c>
      <c r="AE12" s="443" t="s">
        <v>1178</v>
      </c>
      <c r="AF12" s="334">
        <v>6.0699999999999997E-2</v>
      </c>
      <c r="AG12" s="334">
        <v>0.06</v>
      </c>
      <c r="AH12" s="334">
        <v>0.74399999999999999</v>
      </c>
      <c r="AI12" s="334">
        <v>0.78</v>
      </c>
      <c r="AJ12" s="334">
        <v>56.3782</v>
      </c>
      <c r="AK12" s="334">
        <v>58.84</v>
      </c>
      <c r="AL12" s="334">
        <v>9.4036000000000008</v>
      </c>
      <c r="AM12" s="334">
        <v>9.61</v>
      </c>
      <c r="AN12" s="334">
        <v>205.4922</v>
      </c>
      <c r="AO12" s="334">
        <v>209.23</v>
      </c>
      <c r="AP12" s="334">
        <v>0.75529999999999997</v>
      </c>
      <c r="AQ12" s="334">
        <v>0.77</v>
      </c>
      <c r="AR12" s="334">
        <v>1.6155999999999999</v>
      </c>
      <c r="AS12" s="334">
        <v>1.6</v>
      </c>
      <c r="AT12" s="443" t="s">
        <v>1178</v>
      </c>
      <c r="AU12" s="334">
        <v>21.713799999999999</v>
      </c>
      <c r="AV12" s="334">
        <v>21.58</v>
      </c>
      <c r="AW12" s="334">
        <v>1.3027</v>
      </c>
      <c r="AX12" s="334">
        <v>1.36</v>
      </c>
      <c r="AY12" s="334">
        <v>21.095400000000001</v>
      </c>
      <c r="AZ12" s="334">
        <v>21.49</v>
      </c>
      <c r="BA12" s="334">
        <v>6.9400000000000003E-2</v>
      </c>
      <c r="BB12" s="334">
        <v>7.0000000000000007E-2</v>
      </c>
      <c r="BC12" s="334">
        <v>56.838999999999999</v>
      </c>
      <c r="BD12" s="334">
        <v>58.43</v>
      </c>
      <c r="BE12" s="334">
        <v>8.9743999999999993</v>
      </c>
      <c r="BF12" s="334">
        <v>9.52</v>
      </c>
      <c r="BG12" s="334">
        <v>0.53</v>
      </c>
      <c r="BH12" s="334">
        <v>0.52</v>
      </c>
      <c r="BI12" s="443" t="s">
        <v>1178</v>
      </c>
      <c r="BJ12" s="334">
        <v>79.829700000000003</v>
      </c>
      <c r="BK12" s="334">
        <v>84.32</v>
      </c>
      <c r="BL12" s="334">
        <v>0.2079</v>
      </c>
      <c r="BM12" s="334">
        <v>0.16</v>
      </c>
      <c r="BN12" s="334">
        <v>108.5568</v>
      </c>
      <c r="BO12" s="334">
        <v>112.08</v>
      </c>
      <c r="BP12" s="334">
        <v>2.2667000000000002</v>
      </c>
      <c r="BQ12" s="334">
        <v>2.37</v>
      </c>
      <c r="BR12" s="334">
        <v>21.540900000000001</v>
      </c>
      <c r="BS12" s="334">
        <v>21.94</v>
      </c>
      <c r="BT12" s="334">
        <v>79.119200000000006</v>
      </c>
      <c r="BU12" s="334">
        <v>80.599999999999994</v>
      </c>
      <c r="BV12" s="334">
        <v>100.3793</v>
      </c>
      <c r="BW12" s="334">
        <v>104.82</v>
      </c>
    </row>
    <row r="13" spans="1:75" s="231" customFormat="1" ht="11.1" customHeight="1">
      <c r="A13" s="448" t="s">
        <v>1298</v>
      </c>
      <c r="B13" s="320">
        <v>63.658630000000002</v>
      </c>
      <c r="C13" s="320">
        <v>61.58</v>
      </c>
      <c r="D13" s="320">
        <v>82.100874000000005</v>
      </c>
      <c r="E13" s="320">
        <v>83.73</v>
      </c>
      <c r="F13" s="320">
        <v>217.64671100000001</v>
      </c>
      <c r="G13" s="320">
        <v>221.47</v>
      </c>
      <c r="H13" s="320">
        <v>64.688146000000003</v>
      </c>
      <c r="I13" s="320">
        <v>63.21</v>
      </c>
      <c r="J13" s="320">
        <v>12.660601</v>
      </c>
      <c r="K13" s="320">
        <v>12.65</v>
      </c>
      <c r="L13" s="320">
        <v>13.163303000000001</v>
      </c>
      <c r="M13" s="320">
        <v>13</v>
      </c>
      <c r="N13" s="320">
        <v>97.992005000000006</v>
      </c>
      <c r="O13" s="320">
        <v>96.86</v>
      </c>
      <c r="P13" s="448" t="s">
        <v>1298</v>
      </c>
      <c r="Q13" s="320">
        <v>10.493054000000001</v>
      </c>
      <c r="R13" s="320">
        <v>10.67</v>
      </c>
      <c r="S13" s="320">
        <v>1.2622720000000001</v>
      </c>
      <c r="T13" s="320">
        <v>1.22</v>
      </c>
      <c r="U13" s="320">
        <v>6.0390000000000001E-3</v>
      </c>
      <c r="V13" s="320">
        <v>0.01</v>
      </c>
      <c r="W13" s="320">
        <v>2.258E-3</v>
      </c>
      <c r="X13" s="320">
        <v>0</v>
      </c>
      <c r="Y13" s="320">
        <v>0.74442600000000003</v>
      </c>
      <c r="Z13" s="320">
        <v>0.76</v>
      </c>
      <c r="AA13" s="320">
        <v>272.38111300000003</v>
      </c>
      <c r="AB13" s="320">
        <v>276.82</v>
      </c>
      <c r="AC13" s="320">
        <v>20.178184999999999</v>
      </c>
      <c r="AD13" s="320">
        <v>20.74</v>
      </c>
      <c r="AE13" s="448" t="s">
        <v>1298</v>
      </c>
      <c r="AF13" s="320">
        <v>6.0657999999999997E-2</v>
      </c>
      <c r="AG13" s="320">
        <v>0.06</v>
      </c>
      <c r="AH13" s="320">
        <v>0.78928299999999996</v>
      </c>
      <c r="AI13" s="320">
        <v>0.77</v>
      </c>
      <c r="AJ13" s="320">
        <v>58.730638999999996</v>
      </c>
      <c r="AK13" s="320">
        <v>56.56</v>
      </c>
      <c r="AL13" s="320">
        <v>10.272456</v>
      </c>
      <c r="AM13" s="320">
        <v>10.220000000000001</v>
      </c>
      <c r="AN13" s="320">
        <v>213.226247</v>
      </c>
      <c r="AO13" s="320">
        <v>217.47</v>
      </c>
      <c r="AP13" s="320">
        <v>0.74837200000000004</v>
      </c>
      <c r="AQ13" s="320">
        <v>0.69</v>
      </c>
      <c r="AR13" s="320">
        <v>1.597353</v>
      </c>
      <c r="AS13" s="320">
        <v>1.57</v>
      </c>
      <c r="AT13" s="448" t="s">
        <v>1298</v>
      </c>
      <c r="AU13" s="495">
        <v>22.433156</v>
      </c>
      <c r="AV13" s="320">
        <v>23</v>
      </c>
      <c r="AW13" s="320">
        <v>1.392849</v>
      </c>
      <c r="AX13" s="320">
        <v>1.33</v>
      </c>
      <c r="AY13" s="320">
        <v>21.892281000000001</v>
      </c>
      <c r="AZ13" s="320">
        <v>22.32</v>
      </c>
      <c r="BA13" s="320">
        <v>7.4847999999999998E-2</v>
      </c>
      <c r="BB13" s="320">
        <v>0.08</v>
      </c>
      <c r="BC13" s="320">
        <v>61.194586000000001</v>
      </c>
      <c r="BD13" s="320">
        <v>61.21</v>
      </c>
      <c r="BE13" s="320">
        <v>9.896687</v>
      </c>
      <c r="BF13" s="320">
        <v>9.34</v>
      </c>
      <c r="BG13" s="320">
        <v>0.53053300000000003</v>
      </c>
      <c r="BH13" s="320">
        <v>0.53</v>
      </c>
      <c r="BI13" s="448" t="s">
        <v>1298</v>
      </c>
      <c r="BJ13" s="320">
        <v>84.626541000000003</v>
      </c>
      <c r="BK13" s="320">
        <v>83.94</v>
      </c>
      <c r="BL13" s="320">
        <v>0.159326</v>
      </c>
      <c r="BM13" s="320">
        <v>0.16</v>
      </c>
      <c r="BN13" s="320">
        <v>116.904573</v>
      </c>
      <c r="BO13" s="320">
        <v>117.62</v>
      </c>
      <c r="BP13" s="320">
        <v>2.5323829999999998</v>
      </c>
      <c r="BQ13" s="320">
        <v>2.5299999999999998</v>
      </c>
      <c r="BR13" s="320">
        <v>22.35247</v>
      </c>
      <c r="BS13" s="320">
        <v>22.79</v>
      </c>
      <c r="BT13" s="320">
        <v>82.100874000000005</v>
      </c>
      <c r="BU13" s="320">
        <v>83.73</v>
      </c>
      <c r="BV13" s="320">
        <v>110.612995</v>
      </c>
      <c r="BW13" s="320">
        <v>109.5</v>
      </c>
    </row>
    <row r="14" spans="1:75" s="231" customFormat="1" ht="11.1" customHeight="1">
      <c r="A14" s="520" t="s">
        <v>1407</v>
      </c>
      <c r="B14" s="334">
        <v>60.13044</v>
      </c>
      <c r="C14" s="334">
        <v>59.32</v>
      </c>
      <c r="D14" s="334">
        <v>84.026285999999999</v>
      </c>
      <c r="E14" s="334">
        <v>84.5</v>
      </c>
      <c r="F14" s="334">
        <v>222.77708799999999</v>
      </c>
      <c r="G14" s="334">
        <v>224.14</v>
      </c>
      <c r="H14" s="334">
        <v>63.498502999999999</v>
      </c>
      <c r="I14" s="334">
        <v>64.540000000000006</v>
      </c>
      <c r="J14" s="334">
        <v>12.329136</v>
      </c>
      <c r="K14" s="334">
        <v>12.29</v>
      </c>
      <c r="L14" s="334">
        <v>12.848271</v>
      </c>
      <c r="M14" s="334">
        <v>12.87</v>
      </c>
      <c r="N14" s="334">
        <v>95.877876000000001</v>
      </c>
      <c r="O14" s="334">
        <v>96.08</v>
      </c>
      <c r="P14" s="520" t="s">
        <v>1407</v>
      </c>
      <c r="Q14" s="334">
        <v>10.717393</v>
      </c>
      <c r="R14" s="334">
        <v>10.82</v>
      </c>
      <c r="S14" s="334">
        <v>1.1916819999999999</v>
      </c>
      <c r="T14" s="334">
        <v>1.23</v>
      </c>
      <c r="U14" s="334">
        <v>5.8180000000000003E-3</v>
      </c>
      <c r="V14" s="334">
        <v>0.01</v>
      </c>
      <c r="W14" s="334">
        <v>1.9940000000000001E-3</v>
      </c>
      <c r="X14" s="334">
        <v>0</v>
      </c>
      <c r="Y14" s="334">
        <v>0.75638300000000003</v>
      </c>
      <c r="Z14" s="334">
        <v>0.78</v>
      </c>
      <c r="AA14" s="334">
        <v>276.78387400000003</v>
      </c>
      <c r="AB14" s="334">
        <v>278.45999999999998</v>
      </c>
      <c r="AC14" s="334">
        <v>20.365683000000001</v>
      </c>
      <c r="AD14" s="334">
        <v>20.45</v>
      </c>
      <c r="AE14" s="520" t="s">
        <v>1407</v>
      </c>
      <c r="AF14" s="334">
        <v>5.4908999999999999E-2</v>
      </c>
      <c r="AG14" s="334">
        <v>0.06</v>
      </c>
      <c r="AH14" s="334">
        <v>0.738479</v>
      </c>
      <c r="AI14" s="334">
        <v>0.74</v>
      </c>
      <c r="AJ14" s="334">
        <v>56.357278000000001</v>
      </c>
      <c r="AK14" s="334">
        <v>56.78</v>
      </c>
      <c r="AL14" s="334">
        <v>9.9208660000000002</v>
      </c>
      <c r="AM14" s="334">
        <v>9.9</v>
      </c>
      <c r="AN14" s="334">
        <v>218.257195</v>
      </c>
      <c r="AO14" s="334">
        <v>219.48</v>
      </c>
      <c r="AP14" s="334">
        <v>0.61963699999999999</v>
      </c>
      <c r="AQ14" s="334">
        <v>0.52</v>
      </c>
      <c r="AR14" s="334">
        <v>1.5919129999999999</v>
      </c>
      <c r="AS14" s="334">
        <v>1.65</v>
      </c>
      <c r="AT14" s="520" t="s">
        <v>1407</v>
      </c>
      <c r="AU14" s="401">
        <v>23.075112000000001</v>
      </c>
      <c r="AV14" s="334">
        <v>23.21</v>
      </c>
      <c r="AW14" s="334">
        <v>1.2804949999999999</v>
      </c>
      <c r="AX14" s="334">
        <v>1.34</v>
      </c>
      <c r="AY14" s="334">
        <v>22.402844999999999</v>
      </c>
      <c r="AZ14" s="334">
        <v>22.53</v>
      </c>
      <c r="BA14" s="334">
        <v>7.4062000000000003E-2</v>
      </c>
      <c r="BB14" s="334">
        <v>7.0000000000000007E-2</v>
      </c>
      <c r="BC14" s="334">
        <v>61.545448</v>
      </c>
      <c r="BD14" s="334">
        <v>62.47</v>
      </c>
      <c r="BE14" s="334">
        <v>9.1900670000000009</v>
      </c>
      <c r="BF14" s="334">
        <v>9.1</v>
      </c>
      <c r="BG14" s="334">
        <v>0.48621799999999998</v>
      </c>
      <c r="BH14" s="334">
        <v>0.48</v>
      </c>
      <c r="BI14" s="499" t="s">
        <v>1407</v>
      </c>
      <c r="BJ14" s="334">
        <v>84.462277</v>
      </c>
      <c r="BK14" s="334">
        <v>86.56</v>
      </c>
      <c r="BL14" s="334">
        <v>0.16306300000000001</v>
      </c>
      <c r="BM14" s="334">
        <v>0.16</v>
      </c>
      <c r="BN14" s="334">
        <v>116.893812</v>
      </c>
      <c r="BO14" s="334">
        <v>117.48</v>
      </c>
      <c r="BP14" s="334">
        <v>2.6052249999999999</v>
      </c>
      <c r="BQ14" s="334">
        <v>2.75</v>
      </c>
      <c r="BR14" s="334">
        <v>22.875958000000001</v>
      </c>
      <c r="BS14" s="334">
        <v>23</v>
      </c>
      <c r="BT14" s="334">
        <v>84.026285999999999</v>
      </c>
      <c r="BU14" s="334">
        <v>84.5</v>
      </c>
      <c r="BV14" s="334">
        <v>108.79983300000001</v>
      </c>
      <c r="BW14" s="334">
        <v>107.27</v>
      </c>
    </row>
    <row r="15" spans="1:75" s="163" customFormat="1" ht="11.1" customHeight="1">
      <c r="A15" s="482" t="s">
        <v>1487</v>
      </c>
      <c r="B15" s="541">
        <v>56.938333333333333</v>
      </c>
      <c r="C15" s="320">
        <v>58.28</v>
      </c>
      <c r="D15" s="541">
        <v>84.781146000000007</v>
      </c>
      <c r="E15" s="320">
        <v>84.9</v>
      </c>
      <c r="F15" s="541">
        <v>224.80451299999999</v>
      </c>
      <c r="G15" s="320">
        <v>224.84</v>
      </c>
      <c r="H15" s="320">
        <v>63.281075000000001</v>
      </c>
      <c r="I15" s="320">
        <v>62.16</v>
      </c>
      <c r="J15" s="541">
        <v>12.082319</v>
      </c>
      <c r="K15" s="320">
        <v>11.99</v>
      </c>
      <c r="L15" s="541">
        <v>12.557464</v>
      </c>
      <c r="M15" s="320">
        <v>12.81</v>
      </c>
      <c r="N15" s="541">
        <v>93.728005999999993</v>
      </c>
      <c r="O15" s="320">
        <v>95.44</v>
      </c>
      <c r="P15" s="482" t="s">
        <v>1487</v>
      </c>
      <c r="Q15" s="320">
        <v>10.875048</v>
      </c>
      <c r="R15" s="320">
        <v>10.95</v>
      </c>
      <c r="S15" s="320">
        <v>1.1732959999999999</v>
      </c>
      <c r="T15" s="320">
        <v>1.1200000000000001</v>
      </c>
      <c r="U15" s="320">
        <v>5.947E-3</v>
      </c>
      <c r="V15" s="320">
        <v>0.01</v>
      </c>
      <c r="W15" s="320">
        <v>2.019E-3</v>
      </c>
      <c r="X15" s="320">
        <v>0</v>
      </c>
      <c r="Y15" s="320">
        <v>0.78395800000000004</v>
      </c>
      <c r="Z15" s="320">
        <v>0.79</v>
      </c>
      <c r="AA15" s="320">
        <v>277.50460600000002</v>
      </c>
      <c r="AB15" s="320">
        <v>275.87</v>
      </c>
      <c r="AC15" s="320">
        <v>20.179838</v>
      </c>
      <c r="AD15" s="320">
        <v>19.84</v>
      </c>
      <c r="AE15" s="482" t="s">
        <v>1487</v>
      </c>
      <c r="AF15" s="320">
        <v>5.7696999999999998E-2</v>
      </c>
      <c r="AG15" s="320">
        <v>0.06</v>
      </c>
      <c r="AH15" s="320">
        <v>0.73525200000000002</v>
      </c>
      <c r="AI15" s="320">
        <v>0.74</v>
      </c>
      <c r="AJ15" s="320">
        <v>54.053877999999997</v>
      </c>
      <c r="AK15" s="320">
        <v>54.51</v>
      </c>
      <c r="AL15" s="320">
        <v>9.1142979999999998</v>
      </c>
      <c r="AM15" s="320">
        <v>8.7799999999999994</v>
      </c>
      <c r="AN15" s="320">
        <v>220.280869</v>
      </c>
      <c r="AO15" s="320">
        <v>220.52</v>
      </c>
      <c r="AP15" s="320">
        <v>0.53694600000000003</v>
      </c>
      <c r="AQ15" s="320">
        <v>0.51</v>
      </c>
      <c r="AR15" s="320">
        <v>1.6620809999999999</v>
      </c>
      <c r="AS15" s="320">
        <v>1.71</v>
      </c>
      <c r="AT15" s="482" t="s">
        <v>1487</v>
      </c>
      <c r="AU15" s="495">
        <v>23.267150999999998</v>
      </c>
      <c r="AV15" s="320">
        <v>23.32</v>
      </c>
      <c r="AW15" s="320">
        <v>1.2791429999999999</v>
      </c>
      <c r="AX15" s="320">
        <v>1.21</v>
      </c>
      <c r="AY15" s="320">
        <v>22.595566999999999</v>
      </c>
      <c r="AZ15" s="320">
        <v>22.63</v>
      </c>
      <c r="BA15" s="320">
        <v>7.0989999999999998E-2</v>
      </c>
      <c r="BB15" s="320">
        <v>7.0000000000000007E-2</v>
      </c>
      <c r="BC15" s="320">
        <v>61.346919</v>
      </c>
      <c r="BD15" s="320">
        <v>60.92</v>
      </c>
      <c r="BE15" s="320">
        <v>8.8075340000000004</v>
      </c>
      <c r="BF15" s="320">
        <v>9.1</v>
      </c>
      <c r="BG15" s="320">
        <v>0.46550399999999997</v>
      </c>
      <c r="BH15" s="320">
        <v>0.46</v>
      </c>
      <c r="BI15" s="496" t="s">
        <v>1487</v>
      </c>
      <c r="BJ15" s="541">
        <v>86.748475999999997</v>
      </c>
      <c r="BK15" s="320">
        <v>89.24</v>
      </c>
      <c r="BL15" s="541">
        <v>0.180815</v>
      </c>
      <c r="BM15" s="320">
        <v>0.17</v>
      </c>
      <c r="BN15" s="541">
        <v>116.43907</v>
      </c>
      <c r="BO15" s="320">
        <v>117.14</v>
      </c>
      <c r="BP15" s="541">
        <v>2.7366299999999999</v>
      </c>
      <c r="BQ15" s="320">
        <v>2.75</v>
      </c>
      <c r="BR15" s="541">
        <v>23.081669999999999</v>
      </c>
      <c r="BS15" s="320">
        <v>23.11</v>
      </c>
      <c r="BT15" s="541">
        <v>84.781146000000007</v>
      </c>
      <c r="BU15" s="320">
        <v>84.9</v>
      </c>
      <c r="BV15" s="541">
        <v>106.809804</v>
      </c>
      <c r="BW15" s="320">
        <v>104.41</v>
      </c>
    </row>
    <row r="16" spans="1:75" s="163" customFormat="1" ht="11.1" customHeight="1">
      <c r="A16" s="520" t="s">
        <v>1539</v>
      </c>
      <c r="B16" s="540">
        <v>63.341738999999997</v>
      </c>
      <c r="C16" s="540">
        <v>63.71</v>
      </c>
      <c r="D16" s="540">
        <v>84.806312000000005</v>
      </c>
      <c r="E16" s="659">
        <v>84.81</v>
      </c>
      <c r="F16" s="540">
        <v>224.924701</v>
      </c>
      <c r="G16" s="659">
        <v>224.97</v>
      </c>
      <c r="H16" s="540">
        <v>66.165549999999996</v>
      </c>
      <c r="I16" s="540">
        <v>68.39</v>
      </c>
      <c r="J16" s="540">
        <v>12.812291999999999</v>
      </c>
      <c r="K16" s="540">
        <v>13.13</v>
      </c>
      <c r="L16" s="540">
        <v>13.594389</v>
      </c>
      <c r="M16" s="540">
        <v>13.57</v>
      </c>
      <c r="N16" s="540">
        <v>101.153004</v>
      </c>
      <c r="O16" s="540">
        <v>100.9</v>
      </c>
      <c r="P16" s="520" t="s">
        <v>1539</v>
      </c>
      <c r="Q16" s="334">
        <v>10.933994999999999</v>
      </c>
      <c r="R16" s="334">
        <v>10.92</v>
      </c>
      <c r="S16" s="334">
        <v>1.150649</v>
      </c>
      <c r="T16" s="334">
        <v>1.1399999999999999</v>
      </c>
      <c r="U16" s="334">
        <v>5.8910000000000004E-3</v>
      </c>
      <c r="V16" s="334">
        <v>0.01</v>
      </c>
      <c r="W16" s="334">
        <v>2.019E-3</v>
      </c>
      <c r="X16" s="334">
        <v>0</v>
      </c>
      <c r="Y16" s="334">
        <v>0.79669900000000005</v>
      </c>
      <c r="Z16" s="334">
        <v>0.77</v>
      </c>
      <c r="AA16" s="334">
        <v>279.00494600000002</v>
      </c>
      <c r="AB16" s="334">
        <v>281.68</v>
      </c>
      <c r="AC16" s="334">
        <v>20.559958000000002</v>
      </c>
      <c r="AD16" s="334">
        <v>20.420000000000002</v>
      </c>
      <c r="AE16" s="520" t="s">
        <v>1539</v>
      </c>
      <c r="AF16" s="334">
        <v>6.0921000000000003E-2</v>
      </c>
      <c r="AG16" s="334">
        <v>0.05</v>
      </c>
      <c r="AH16" s="334">
        <v>0.76285199999999997</v>
      </c>
      <c r="AI16" s="334">
        <v>0.77</v>
      </c>
      <c r="AJ16" s="334">
        <v>58.96931</v>
      </c>
      <c r="AK16" s="334">
        <v>59.29</v>
      </c>
      <c r="AL16" s="334">
        <v>9.6923999999999992</v>
      </c>
      <c r="AM16" s="334">
        <v>9.9</v>
      </c>
      <c r="AN16" s="334">
        <v>220.282085</v>
      </c>
      <c r="AO16" s="334">
        <v>220.29</v>
      </c>
      <c r="AP16" s="334">
        <v>0.52952200000000005</v>
      </c>
      <c r="AQ16" s="334">
        <v>0.54</v>
      </c>
      <c r="AR16" s="334">
        <v>1.751452</v>
      </c>
      <c r="AS16" s="334">
        <v>1.74</v>
      </c>
      <c r="AT16" s="520" t="s">
        <v>1539</v>
      </c>
      <c r="AU16" s="401">
        <v>23.249677999999999</v>
      </c>
      <c r="AV16" s="334">
        <v>22.91</v>
      </c>
      <c r="AW16" s="334">
        <v>1.13683</v>
      </c>
      <c r="AX16" s="334">
        <v>1.1599999999999999</v>
      </c>
      <c r="AY16" s="334">
        <v>22.610361999999999</v>
      </c>
      <c r="AZ16" s="334">
        <v>22.61</v>
      </c>
      <c r="BA16" s="334">
        <v>7.4756000000000003E-2</v>
      </c>
      <c r="BB16" s="334">
        <v>0.08</v>
      </c>
      <c r="BC16" s="334">
        <v>62.987192999999998</v>
      </c>
      <c r="BD16" s="334">
        <v>63.04</v>
      </c>
      <c r="BE16" s="334">
        <v>9.8980940000000004</v>
      </c>
      <c r="BF16" s="334">
        <v>9.9499999999999993</v>
      </c>
      <c r="BG16" s="334">
        <v>0.44517299999999999</v>
      </c>
      <c r="BH16" s="334">
        <v>0.43</v>
      </c>
      <c r="BI16" s="520" t="s">
        <v>1539</v>
      </c>
      <c r="BJ16" s="540">
        <v>93.197113000000002</v>
      </c>
      <c r="BK16" s="334">
        <v>92.11</v>
      </c>
      <c r="BL16" s="540">
        <v>6.0878000000000002E-2</v>
      </c>
      <c r="BM16" s="334">
        <v>0.03</v>
      </c>
      <c r="BN16" s="540">
        <v>120.843248</v>
      </c>
      <c r="BO16" s="334">
        <v>121.01</v>
      </c>
      <c r="BP16" s="540">
        <v>2.7461980000000001</v>
      </c>
      <c r="BQ16" s="334">
        <v>2.65</v>
      </c>
      <c r="BR16" s="540">
        <v>23.088276</v>
      </c>
      <c r="BS16" s="334">
        <v>23.09</v>
      </c>
      <c r="BT16" s="540">
        <v>84.806312000000005</v>
      </c>
      <c r="BU16" s="334">
        <v>84.81</v>
      </c>
      <c r="BV16" s="540">
        <v>114.20348300000001</v>
      </c>
      <c r="BW16" s="334">
        <v>117.36</v>
      </c>
    </row>
    <row r="17" spans="1:75" s="163" customFormat="1" ht="11.1" customHeight="1">
      <c r="A17" s="482" t="s">
        <v>1810</v>
      </c>
      <c r="B17" s="541">
        <v>62.632107885953701</v>
      </c>
      <c r="C17" s="541">
        <v>64.312288642109806</v>
      </c>
      <c r="D17" s="541">
        <v>86.300625801282095</v>
      </c>
      <c r="E17" s="1377">
        <v>93.45</v>
      </c>
      <c r="F17" s="541">
        <v>228.90339795048399</v>
      </c>
      <c r="G17" s="541">
        <v>247.87798408488101</v>
      </c>
      <c r="H17" s="541">
        <v>68.192807053052405</v>
      </c>
      <c r="I17" s="541">
        <v>72.4811913441402</v>
      </c>
      <c r="J17" s="541">
        <v>13.3677632698337</v>
      </c>
      <c r="K17" s="541">
        <v>13.924069493697299</v>
      </c>
      <c r="L17" s="541">
        <v>13.0828722420963</v>
      </c>
      <c r="M17" s="541">
        <v>13.1145010314776</v>
      </c>
      <c r="N17" s="541">
        <v>97.316128944854796</v>
      </c>
      <c r="O17" s="541">
        <v>97.571141419883105</v>
      </c>
      <c r="P17" s="482" t="s">
        <v>1810</v>
      </c>
      <c r="Q17" s="320">
        <v>11.057872111094801</v>
      </c>
      <c r="R17" s="320">
        <v>11.909465125466699</v>
      </c>
      <c r="S17" s="320">
        <v>1.1454707387132601</v>
      </c>
      <c r="T17" s="320">
        <v>1.1837355120653601</v>
      </c>
      <c r="U17" s="320">
        <v>5.9986516404194898E-3</v>
      </c>
      <c r="V17" s="320">
        <v>6.2791869645556896E-3</v>
      </c>
      <c r="W17" s="320">
        <v>2.0547768047924301E-3</v>
      </c>
      <c r="X17" s="320">
        <v>2.225E-3</v>
      </c>
      <c r="Y17" s="320">
        <v>0.73792922776657999</v>
      </c>
      <c r="Z17" s="320">
        <v>0.68413924374977098</v>
      </c>
      <c r="AA17" s="320">
        <v>284.79494477316598</v>
      </c>
      <c r="AB17" s="320">
        <v>304.59582790091298</v>
      </c>
      <c r="AC17" s="320">
        <v>20.4044480830926</v>
      </c>
      <c r="AD17" s="320">
        <v>21.209714026327699</v>
      </c>
      <c r="AE17" s="482" t="s">
        <v>1810</v>
      </c>
      <c r="AF17" s="320">
        <v>4.8513262948088498E-2</v>
      </c>
      <c r="AG17" s="320">
        <v>5.0472589792060499E-2</v>
      </c>
      <c r="AH17" s="320">
        <v>0.75722637675896198</v>
      </c>
      <c r="AI17" s="320">
        <v>0.78847119274724597</v>
      </c>
      <c r="AJ17" s="320">
        <v>58.7731230587749</v>
      </c>
      <c r="AK17" s="320">
        <v>58.102537124246098</v>
      </c>
      <c r="AL17" s="320">
        <v>9.6705436584064195</v>
      </c>
      <c r="AM17" s="320">
        <v>9.4238303408007997</v>
      </c>
      <c r="AN17" s="320">
        <v>224.15752312170301</v>
      </c>
      <c r="AO17" s="320">
        <v>242.727272727273</v>
      </c>
      <c r="AP17" s="320">
        <v>0.48789368554130003</v>
      </c>
      <c r="AQ17" s="320">
        <v>0.45752753977968202</v>
      </c>
      <c r="AR17" s="320">
        <v>1.68568591537709</v>
      </c>
      <c r="AS17" s="320">
        <v>1.7028061224489801</v>
      </c>
      <c r="AT17" s="482" t="s">
        <v>1810</v>
      </c>
      <c r="AU17" s="495">
        <v>23.6001978973406</v>
      </c>
      <c r="AV17" s="320">
        <v>25.511875511875498</v>
      </c>
      <c r="AW17" s="320">
        <v>1.1694251333424299</v>
      </c>
      <c r="AX17" s="320">
        <v>1.7690487458589701</v>
      </c>
      <c r="AY17" s="320">
        <v>23.005250020056899</v>
      </c>
      <c r="AZ17" s="320">
        <v>24.906052610538101</v>
      </c>
      <c r="BA17" s="320">
        <v>7.18486640819683E-2</v>
      </c>
      <c r="BB17" s="320">
        <v>7.1928879310344807E-2</v>
      </c>
      <c r="BC17" s="320">
        <v>63.469752162503802</v>
      </c>
      <c r="BD17" s="320">
        <v>67.0493273542601</v>
      </c>
      <c r="BE17" s="320">
        <v>9.4821334587212203</v>
      </c>
      <c r="BF17" s="320">
        <v>9.1328886608517195</v>
      </c>
      <c r="BG17" s="320">
        <v>0.37657004942998001</v>
      </c>
      <c r="BH17" s="320">
        <v>0.25886426592797801</v>
      </c>
      <c r="BI17" s="482" t="s">
        <v>1810</v>
      </c>
      <c r="BJ17" s="541">
        <v>92.631618793016997</v>
      </c>
      <c r="BK17" s="320">
        <v>97.827793771264098</v>
      </c>
      <c r="BL17" s="541">
        <v>3.43529430421185E-2</v>
      </c>
      <c r="BM17" s="320">
        <v>3.7194029850746303E-2</v>
      </c>
      <c r="BN17" s="541">
        <v>120.167964158673</v>
      </c>
      <c r="BO17" s="320">
        <v>124.08710662594601</v>
      </c>
      <c r="BP17" s="541">
        <v>2.5815933240538902</v>
      </c>
      <c r="BQ17" s="320">
        <v>2.6476838079048002</v>
      </c>
      <c r="BR17" s="541">
        <v>23.495424609959599</v>
      </c>
      <c r="BS17" s="320">
        <v>25.441724973455699</v>
      </c>
      <c r="BT17" s="541">
        <v>86.300625801282095</v>
      </c>
      <c r="BU17" s="320">
        <v>93.45</v>
      </c>
      <c r="BV17" s="541">
        <v>114.891880227879</v>
      </c>
      <c r="BW17" s="320">
        <v>113.326811917622</v>
      </c>
    </row>
    <row r="18" spans="1:75" s="163" customFormat="1" ht="11.1" customHeight="1">
      <c r="A18" s="554" t="s">
        <v>2056</v>
      </c>
      <c r="B18" s="820">
        <v>66.962726434477901</v>
      </c>
      <c r="C18" s="820">
        <v>70.786798412698403</v>
      </c>
      <c r="D18" s="820">
        <v>99.457405033238302</v>
      </c>
      <c r="E18" s="820">
        <v>106</v>
      </c>
      <c r="F18" s="820">
        <v>263.790933102991</v>
      </c>
      <c r="G18" s="820">
        <v>281.16710875331597</v>
      </c>
      <c r="H18" s="820">
        <v>74.260788473910196</v>
      </c>
      <c r="I18" s="820">
        <v>80.403534721432095</v>
      </c>
      <c r="J18" s="820">
        <v>14.3315080422354</v>
      </c>
      <c r="K18" s="820">
        <v>14.7107805040524</v>
      </c>
      <c r="L18" s="820">
        <v>14.0118337590119</v>
      </c>
      <c r="M18" s="820">
        <v>15.507505047254</v>
      </c>
      <c r="N18" s="820">
        <v>104.284585209852</v>
      </c>
      <c r="O18" s="820">
        <v>115.444596106877</v>
      </c>
      <c r="P18" s="554" t="s">
        <v>2056</v>
      </c>
      <c r="Q18" s="488">
        <v>12.6905904001521</v>
      </c>
      <c r="R18" s="820">
        <v>13.537762054674699</v>
      </c>
      <c r="S18" s="488">
        <v>1.21949019522715</v>
      </c>
      <c r="T18" s="820">
        <v>1.29291943648228</v>
      </c>
      <c r="U18" s="488">
        <v>6.5674701106130402E-3</v>
      </c>
      <c r="V18" s="820">
        <v>7.0537348194975903E-3</v>
      </c>
      <c r="W18" s="488">
        <v>2.3679287805333199E-3</v>
      </c>
      <c r="X18" s="820">
        <v>2.5236593059936902E-3</v>
      </c>
      <c r="Y18" s="488">
        <v>0.72529589117079796</v>
      </c>
      <c r="Z18" s="820">
        <v>0.73767354466056601</v>
      </c>
      <c r="AA18" s="488">
        <v>323.64031586335</v>
      </c>
      <c r="AB18" s="820">
        <v>344.77150756220499</v>
      </c>
      <c r="AC18" s="488">
        <v>22.156097467835</v>
      </c>
      <c r="AD18" s="820">
        <v>22.627815135019699</v>
      </c>
      <c r="AE18" s="554" t="s">
        <v>2056</v>
      </c>
      <c r="AF18" s="488">
        <v>4.8009859112513299E-2</v>
      </c>
      <c r="AG18" s="820">
        <v>5.0476190476190501E-2</v>
      </c>
      <c r="AH18" s="488">
        <v>0.83168799222397405</v>
      </c>
      <c r="AI18" s="820">
        <v>0.89241890143233205</v>
      </c>
      <c r="AJ18" s="488">
        <v>61.334728638673099</v>
      </c>
      <c r="AK18" s="820">
        <v>65.105193096711204</v>
      </c>
      <c r="AL18" s="488">
        <v>9.6828386732266605</v>
      </c>
      <c r="AM18" s="820">
        <v>9.7922382654805098</v>
      </c>
      <c r="AN18" s="488">
        <v>258.33117304075</v>
      </c>
      <c r="AO18" s="820">
        <v>275.32467532467501</v>
      </c>
      <c r="AP18" s="488">
        <v>0.40540064524465602</v>
      </c>
      <c r="AQ18" s="820">
        <v>0.36949891067538099</v>
      </c>
      <c r="AR18" s="488">
        <v>1.77552705814055</v>
      </c>
      <c r="AS18" s="820">
        <v>1.9013452914798199</v>
      </c>
      <c r="AT18" s="554" t="s">
        <v>2056</v>
      </c>
      <c r="AU18" s="555">
        <v>27.1894410334999</v>
      </c>
      <c r="AV18" s="820">
        <v>29.0960994757212</v>
      </c>
      <c r="AW18" s="488">
        <v>1.4556590647005301</v>
      </c>
      <c r="AX18" s="820">
        <v>1.26718469814704</v>
      </c>
      <c r="AY18" s="488">
        <v>26.4846636399181</v>
      </c>
      <c r="AZ18" s="820">
        <v>28.2583775425875</v>
      </c>
      <c r="BA18" s="488">
        <v>7.5355456564335399E-2</v>
      </c>
      <c r="BB18" s="820">
        <v>8.1377896688457005E-2</v>
      </c>
      <c r="BC18" s="488">
        <v>72.992704996318196</v>
      </c>
      <c r="BD18" s="820">
        <v>78.405266466955098</v>
      </c>
      <c r="BE18" s="488">
        <v>9.4282679094709891</v>
      </c>
      <c r="BF18" s="820">
        <v>9.9008976191143407</v>
      </c>
      <c r="BG18" s="488">
        <v>0.28801197172235798</v>
      </c>
      <c r="BH18" s="820">
        <v>0.34527687296416898</v>
      </c>
      <c r="BI18" s="554" t="s">
        <v>2056</v>
      </c>
      <c r="BJ18" s="820">
        <v>106.17056906989799</v>
      </c>
      <c r="BK18" s="820">
        <v>118.11242966182</v>
      </c>
      <c r="BL18" s="820">
        <v>3.9590655314694898E-2</v>
      </c>
      <c r="BM18" s="820">
        <v>4.2189054726368198E-2</v>
      </c>
      <c r="BN18" s="820">
        <v>131.65247142856401</v>
      </c>
      <c r="BO18" s="820">
        <v>141.38988928904899</v>
      </c>
      <c r="BP18" s="820">
        <v>2.82572198213329</v>
      </c>
      <c r="BQ18" s="820">
        <v>3.0100809314212702</v>
      </c>
      <c r="BR18" s="820">
        <v>27.077377690671</v>
      </c>
      <c r="BS18" s="820">
        <v>28.860028860028901</v>
      </c>
      <c r="BT18" s="820">
        <v>99.457405033238302</v>
      </c>
      <c r="BU18" s="820">
        <v>106</v>
      </c>
      <c r="BV18" s="820">
        <v>119.88750660689399</v>
      </c>
      <c r="BW18" s="820">
        <v>134.75249812389399</v>
      </c>
    </row>
    <row r="19" spans="1:75" s="1254" customFormat="1" ht="11.1" customHeight="1">
      <c r="A19" s="507" t="s">
        <v>2188</v>
      </c>
      <c r="B19" s="613">
        <v>72.849200930955817</v>
      </c>
      <c r="C19" s="613">
        <v>78.682398230353897</v>
      </c>
      <c r="D19" s="613">
        <v>111.05630536562209</v>
      </c>
      <c r="E19" s="613">
        <v>118</v>
      </c>
      <c r="F19" s="613">
        <v>294.63446962114062</v>
      </c>
      <c r="G19" s="613">
        <v>312.99734748010599</v>
      </c>
      <c r="H19" s="613">
        <v>81.979640992119684</v>
      </c>
      <c r="I19" s="613">
        <v>86.260462736211096</v>
      </c>
      <c r="J19" s="613">
        <v>15.572032320779185</v>
      </c>
      <c r="K19" s="613">
        <v>16.557220631980702</v>
      </c>
      <c r="L19" s="613">
        <v>16.042156854822178</v>
      </c>
      <c r="M19" s="613">
        <v>16.953048675363501</v>
      </c>
      <c r="N19" s="613">
        <v>120.2301079059264</v>
      </c>
      <c r="O19" s="613">
        <v>126.43699559496</v>
      </c>
      <c r="P19" s="507" t="s">
        <v>2188</v>
      </c>
      <c r="Q19" s="556">
        <v>14.204907534902766</v>
      </c>
      <c r="R19" s="556">
        <v>15.1124145924451</v>
      </c>
      <c r="S19" s="556">
        <v>1.3361777773263956</v>
      </c>
      <c r="T19" s="556">
        <v>1.4155470249520199</v>
      </c>
      <c r="U19" s="556">
        <v>7.3419486171309124E-3</v>
      </c>
      <c r="V19" s="556">
        <v>7.2061068702290098E-3</v>
      </c>
      <c r="W19" s="556">
        <v>2.4256393208076433E-3</v>
      </c>
      <c r="X19" s="556">
        <v>2.8093565859175001E-3</v>
      </c>
      <c r="Y19" s="556">
        <v>0.74470057280099722</v>
      </c>
      <c r="Z19" s="556">
        <v>0.73357993223710805</v>
      </c>
      <c r="AA19" s="556">
        <v>360.78723912449578</v>
      </c>
      <c r="AB19" s="556">
        <v>384.67807660961699</v>
      </c>
      <c r="AC19" s="556">
        <v>23.659676743879846</v>
      </c>
      <c r="AD19" s="556">
        <v>25.0132485426603</v>
      </c>
      <c r="AE19" s="507" t="s">
        <v>2188</v>
      </c>
      <c r="AF19" s="556">
        <v>5.268554184331712E-2</v>
      </c>
      <c r="AG19" s="556">
        <v>5.61904761904762E-2</v>
      </c>
      <c r="AH19" s="556">
        <v>0.93158628120650355</v>
      </c>
      <c r="AI19" s="556">
        <v>0.97996226314810397</v>
      </c>
      <c r="AJ19" s="556">
        <v>67.400436060470881</v>
      </c>
      <c r="AK19" s="556">
        <v>71.814792244495607</v>
      </c>
      <c r="AL19" s="556">
        <v>10.442313512233316</v>
      </c>
      <c r="AM19" s="556">
        <v>11.0484822381603</v>
      </c>
      <c r="AN19" s="556">
        <v>288.56344552782491</v>
      </c>
      <c r="AO19" s="556">
        <v>306.493506493506</v>
      </c>
      <c r="AP19" s="556">
        <v>0.3928547638790722</v>
      </c>
      <c r="AQ19" s="556">
        <v>0.42400287459576003</v>
      </c>
      <c r="AR19" s="556">
        <v>1.9671362531245087</v>
      </c>
      <c r="AS19" s="556">
        <v>2.01743887844076</v>
      </c>
      <c r="AT19" s="507" t="s">
        <v>2188</v>
      </c>
      <c r="AU19" s="489">
        <v>30.363094942719005</v>
      </c>
      <c r="AV19" s="556">
        <v>32.364234777838703</v>
      </c>
      <c r="AW19" s="556">
        <v>1.206178765899715</v>
      </c>
      <c r="AX19" s="556">
        <v>1.3760932944606401</v>
      </c>
      <c r="AY19" s="556">
        <v>29.608751526156265</v>
      </c>
      <c r="AZ19" s="556">
        <v>31.451569913108401</v>
      </c>
      <c r="BA19" s="556">
        <v>8.308882743861655E-2</v>
      </c>
      <c r="BB19" s="556">
        <v>8.5428318039492496E-2</v>
      </c>
      <c r="BC19" s="556">
        <v>82.385206483922516</v>
      </c>
      <c r="BD19" s="556">
        <v>87.023857811866193</v>
      </c>
      <c r="BE19" s="556">
        <v>10.427695498349435</v>
      </c>
      <c r="BF19" s="556">
        <v>11.1333358493414</v>
      </c>
      <c r="BG19" s="556">
        <v>0.3528710066354443</v>
      </c>
      <c r="BH19" s="556">
        <v>0.385683935283543</v>
      </c>
      <c r="BI19" s="507" t="s">
        <v>2188</v>
      </c>
      <c r="BJ19" s="613">
        <v>125.22245156594776</v>
      </c>
      <c r="BK19" s="613">
        <v>131.27155412170401</v>
      </c>
      <c r="BL19" s="613">
        <v>1.1575831447914154E-2</v>
      </c>
      <c r="BM19" s="613">
        <v>9.0758758604776394E-3</v>
      </c>
      <c r="BN19" s="613">
        <v>147.2989139891755</v>
      </c>
      <c r="BO19" s="613">
        <v>155.20189398921499</v>
      </c>
      <c r="BP19" s="613">
        <v>3.1036922986489817</v>
      </c>
      <c r="BQ19" s="613">
        <v>3.2091378841446798</v>
      </c>
      <c r="BR19" s="613">
        <v>30.236750889564011</v>
      </c>
      <c r="BS19" s="613">
        <v>32.126327252926799</v>
      </c>
      <c r="BT19" s="613">
        <v>111.05630536562209</v>
      </c>
      <c r="BU19" s="613">
        <v>118</v>
      </c>
      <c r="BV19" s="613">
        <v>139.93605728545054</v>
      </c>
      <c r="BW19" s="613">
        <v>149.199196267004</v>
      </c>
    </row>
    <row r="20" spans="1:75" s="474" customFormat="1" ht="11.1" customHeight="1">
      <c r="A20" s="554" t="s">
        <v>2439</v>
      </c>
      <c r="B20" s="820">
        <f>AVERAGE(B21:B32)</f>
        <v>78.220615223901362</v>
      </c>
      <c r="C20" s="820">
        <f>C32</f>
        <v>80.178213279993898</v>
      </c>
      <c r="D20" s="820">
        <f t="shared" ref="D20" si="0">AVERAGE(D21:D32)</f>
        <v>120.81565912868</v>
      </c>
      <c r="E20" s="820">
        <f t="shared" ref="E20" si="1">E32</f>
        <v>122.77500000000001</v>
      </c>
      <c r="F20" s="820">
        <f t="shared" ref="F20" si="2">AVERAGE(F21:F32)</f>
        <v>320.47219043308604</v>
      </c>
      <c r="G20" s="820">
        <f t="shared" ref="G20" si="3">G32</f>
        <v>325.53360731804298</v>
      </c>
      <c r="H20" s="820">
        <f t="shared" ref="H20" si="4">AVERAGE(H21:H32)</f>
        <v>86.59816241429354</v>
      </c>
      <c r="I20" s="820">
        <f t="shared" ref="I20" si="5">I32</f>
        <v>89.734687911124098</v>
      </c>
      <c r="J20" s="820">
        <f>AVERAGE(J21:J32)</f>
        <v>16.873554720305776</v>
      </c>
      <c r="K20" s="820">
        <f t="shared" ref="K20" si="6">K32</f>
        <v>17.150699857513999</v>
      </c>
      <c r="L20" s="820">
        <f t="shared" ref="L20" si="7">AVERAGE(L21:L32)</f>
        <v>17.611117622826587</v>
      </c>
      <c r="M20" s="820">
        <f t="shared" ref="M20" si="8">M32</f>
        <v>19.2872627874827</v>
      </c>
      <c r="N20" s="820">
        <f t="shared" ref="N20" si="9">AVERAGE(N21:N32)</f>
        <v>131.40142924807859</v>
      </c>
      <c r="O20" s="820">
        <f t="shared" ref="O20" si="10">O32</f>
        <v>143.89229895243199</v>
      </c>
      <c r="P20" s="554" t="s">
        <v>2439</v>
      </c>
      <c r="Q20" s="488">
        <f t="shared" ref="Q20" si="11">AVERAGE(Q21:Q32)</f>
        <v>15.510391068617025</v>
      </c>
      <c r="R20" s="488">
        <f t="shared" ref="R20" si="12">R32</f>
        <v>15.640326628364701</v>
      </c>
      <c r="S20" s="431">
        <f t="shared" ref="S20" si="13">AVERAGE(S21:S32)</f>
        <v>1.4199523489297359</v>
      </c>
      <c r="T20" s="431">
        <f t="shared" ref="T20" si="14">T32</f>
        <v>1.43672108127084</v>
      </c>
      <c r="U20" s="488">
        <f t="shared" ref="U20" si="15">AVERAGE(U21:U32)</f>
        <v>7.5032314702025323E-3</v>
      </c>
      <c r="V20" s="488">
        <f t="shared" ref="V20" si="16">V32</f>
        <v>7.5635299553365202E-3</v>
      </c>
      <c r="W20" s="488">
        <f t="shared" ref="W20" si="17">AVERAGE(W21:W32)</f>
        <v>2.8760405207799034E-3</v>
      </c>
      <c r="X20" s="488">
        <f t="shared" ref="X20" si="18">X32</f>
        <v>2.9230402952205199E-3</v>
      </c>
      <c r="Y20" s="488">
        <f t="shared" ref="Y20" si="19">AVERAGE(Y21:Y32)</f>
        <v>0.80814090185141685</v>
      </c>
      <c r="Z20" s="488">
        <f t="shared" ref="Z20" si="20">Z32</f>
        <v>0.84868489268309499</v>
      </c>
      <c r="AA20" s="488">
        <f t="shared" ref="AA20" si="21">AVERAGE(AA21:AA32)</f>
        <v>393.53976826989378</v>
      </c>
      <c r="AB20" s="488">
        <f t="shared" ref="AB20" si="22">AB32</f>
        <v>401.88216039279899</v>
      </c>
      <c r="AC20" s="488">
        <f t="shared" ref="AC20" si="23">AVERAGE(AC21:AC32)</f>
        <v>27.463725050591922</v>
      </c>
      <c r="AD20" s="488">
        <f t="shared" ref="AD20" si="24">AD32</f>
        <v>29.114299264880199</v>
      </c>
      <c r="AE20" s="554" t="s">
        <v>2439</v>
      </c>
      <c r="AF20" s="488">
        <f t="shared" ref="AF20" si="25">AVERAGE(AF21:AF32)</f>
        <v>5.753126625175236E-2</v>
      </c>
      <c r="AG20" s="488">
        <f t="shared" ref="AG20" si="26">AG32</f>
        <v>5.8464285714285698E-2</v>
      </c>
      <c r="AH20" s="431">
        <f t="shared" ref="AH20" si="27">AVERAGE(AH21:AH32)</f>
        <v>1.0156636723231252</v>
      </c>
      <c r="AI20" s="431">
        <f t="shared" ref="AI20" si="28">AI32</f>
        <v>1.06465635728402</v>
      </c>
      <c r="AJ20" s="488">
        <f t="shared" ref="AJ20" si="29">AVERAGE(AJ21:AJ32)</f>
        <v>71.371540575976624</v>
      </c>
      <c r="AK20" s="488">
        <f t="shared" ref="AK20" si="30">AK32</f>
        <v>74.358678243209795</v>
      </c>
      <c r="AL20" s="488">
        <f t="shared" ref="AL20" si="31">AVERAGE(AL21:AL32)</f>
        <v>11.220807068107284</v>
      </c>
      <c r="AM20" s="488">
        <f t="shared" ref="AM20" si="32">AM32</f>
        <v>12.1792741539484</v>
      </c>
      <c r="AN20" s="488">
        <f t="shared" ref="AN20" si="33">AVERAGE(AN21:AN32)</f>
        <v>313.80964090116498</v>
      </c>
      <c r="AO20" s="488">
        <f t="shared" ref="AO20" si="34">AO32</f>
        <v>318.89610389610402</v>
      </c>
      <c r="AP20" s="488">
        <f t="shared" ref="AP20" si="35">AVERAGE(AP21:AP32)</f>
        <v>0.43233521038548717</v>
      </c>
      <c r="AQ20" s="488">
        <f t="shared" ref="AQ20" si="36">AQ32</f>
        <v>0.43283976731887902</v>
      </c>
      <c r="AR20" s="488">
        <f t="shared" ref="AR20" si="37">AVERAGE(AR21:AR32)</f>
        <v>2.1053827342854485</v>
      </c>
      <c r="AS20" s="488">
        <f t="shared" ref="AS20" si="38">AS32</f>
        <v>2.1792186584781401</v>
      </c>
      <c r="AT20" s="554" t="s">
        <v>2439</v>
      </c>
      <c r="AU20" s="555">
        <f t="shared" ref="AU20" si="39">AVERAGE(AU21:AU32)</f>
        <v>33.140035431116821</v>
      </c>
      <c r="AV20" s="488">
        <f t="shared" ref="AV20" si="40">AV32</f>
        <v>33.684051688660901</v>
      </c>
      <c r="AW20" s="488">
        <f t="shared" ref="AW20" si="41">AVERAGE(AW21:AW32)</f>
        <v>1.337560608840483</v>
      </c>
      <c r="AX20" s="488">
        <f t="shared" ref="AX20" si="42">AX32</f>
        <v>1.5640127388534999</v>
      </c>
      <c r="AY20" s="488">
        <f t="shared" ref="AY20" si="43">AVERAGE(AY21:AY32)</f>
        <v>32.194307342510882</v>
      </c>
      <c r="AZ20" s="488">
        <f t="shared" ref="AZ20" si="44">AZ32</f>
        <v>32.7356352486335</v>
      </c>
      <c r="BA20" s="488">
        <f t="shared" ref="BA20" si="45">AVERAGE(BA21:BA32)</f>
        <v>8.6254680265335559E-2</v>
      </c>
      <c r="BB20" s="488">
        <f t="shared" ref="BB20" si="46">BB32</f>
        <v>9.0592141671278395E-2</v>
      </c>
      <c r="BC20" s="488">
        <f t="shared" ref="BC20" si="47">AVERAGE(BC21:BC32)</f>
        <v>91.189647480156893</v>
      </c>
      <c r="BD20" s="488">
        <f t="shared" ref="BD20" si="48">BD32</f>
        <v>96.222422508719006</v>
      </c>
      <c r="BE20" s="488">
        <f t="shared" ref="BE20" si="49">AVERAGE(BE21:BE32)</f>
        <v>11.657494331297857</v>
      </c>
      <c r="BF20" s="488">
        <f t="shared" ref="BF20" si="50">BF32</f>
        <v>12.9484907928874</v>
      </c>
      <c r="BG20" s="488">
        <f t="shared" ref="BG20" si="51">AVERAGE(BG21:BG32)</f>
        <v>0.4064269193345626</v>
      </c>
      <c r="BH20" s="488">
        <f t="shared" ref="BH20" si="52">BH32</f>
        <v>0.40959132610508697</v>
      </c>
      <c r="BI20" s="554" t="s">
        <v>2439</v>
      </c>
      <c r="BJ20" s="820">
        <f t="shared" ref="BJ20" si="53">AVERAGE(BJ21:BJ32)</f>
        <v>139.43415080088141</v>
      </c>
      <c r="BK20" s="820">
        <f t="shared" ref="BK20" si="54">BK32</f>
        <v>153.64159679639599</v>
      </c>
      <c r="BL20" s="820">
        <f t="shared" ref="BL20" si="55">AVERAGE(BL21:BL32)</f>
        <v>9.2906540665774074E-3</v>
      </c>
      <c r="BM20" s="820">
        <f t="shared" ref="BM20" si="56">BM32</f>
        <v>9.4405997693194892E-3</v>
      </c>
      <c r="BN20" s="820">
        <f t="shared" ref="BN20" si="57">AVERAGE(BN21:BN32)</f>
        <v>160.88839143070282</v>
      </c>
      <c r="BO20" s="820">
        <f t="shared" ref="BO20" si="58">BO32</f>
        <v>168.693322341303</v>
      </c>
      <c r="BP20" s="820">
        <f t="shared" ref="BP20" si="59">AVERAGE(BP21:BP32)</f>
        <v>3.5603624042247954</v>
      </c>
      <c r="BQ20" s="820">
        <f t="shared" ref="BQ20" si="60">BQ32</f>
        <v>3.7701520036849399</v>
      </c>
      <c r="BR20" s="820">
        <f t="shared" ref="BR20" si="61">AVERAGE(BR21:BR32)</f>
        <v>32.893611244249662</v>
      </c>
      <c r="BS20" s="820">
        <f t="shared" ref="BS20" si="62">BS32</f>
        <v>33.430905377808003</v>
      </c>
      <c r="BT20" s="820">
        <f t="shared" ref="BT20" si="63">AVERAGE(BT21:BT32)</f>
        <v>120.81565912868</v>
      </c>
      <c r="BU20" s="820">
        <f t="shared" ref="BU20" si="64">BU32</f>
        <v>122.77500000000001</v>
      </c>
      <c r="BV20" s="820">
        <f t="shared" ref="BV20" si="65">AVERAGE(BV21:BV32)</f>
        <v>156.35876694910391</v>
      </c>
      <c r="BW20" s="820">
        <f t="shared" ref="BW20" si="66">BW32</f>
        <v>168.392049235901</v>
      </c>
    </row>
    <row r="21" spans="1:75" s="1687" customFormat="1" ht="11.1" customHeight="1">
      <c r="A21" s="496" t="s">
        <v>559</v>
      </c>
      <c r="B21" s="541">
        <v>78.892960583276803</v>
      </c>
      <c r="C21" s="541">
        <v>77.733741256830598</v>
      </c>
      <c r="D21" s="541">
        <v>117.927777777778</v>
      </c>
      <c r="E21" s="541">
        <v>118</v>
      </c>
      <c r="F21" s="541">
        <v>312.82729502192097</v>
      </c>
      <c r="G21" s="541">
        <v>312.99734748010599</v>
      </c>
      <c r="H21" s="541">
        <v>86.060965959106596</v>
      </c>
      <c r="I21" s="541">
        <v>85.201631827863807</v>
      </c>
      <c r="J21" s="541">
        <v>16.537186376277301</v>
      </c>
      <c r="K21" s="541">
        <v>16.5391192218204</v>
      </c>
      <c r="L21" s="541">
        <v>17.1500981762624</v>
      </c>
      <c r="M21" s="541">
        <v>17.1020689155404</v>
      </c>
      <c r="N21" s="541">
        <v>127.945288821403</v>
      </c>
      <c r="O21" s="541">
        <v>127.622899727243</v>
      </c>
      <c r="P21" s="496" t="s">
        <v>559</v>
      </c>
      <c r="Q21" s="320">
        <v>15.1009310689548</v>
      </c>
      <c r="R21" s="320">
        <v>15.102356863573201</v>
      </c>
      <c r="S21" s="320">
        <v>1.4109741168099399</v>
      </c>
      <c r="T21" s="320">
        <v>1.4092917711692301</v>
      </c>
      <c r="U21" s="320">
        <v>7.2571565887826596E-3</v>
      </c>
      <c r="V21" s="320">
        <v>7.2403742905353596E-3</v>
      </c>
      <c r="W21" s="320">
        <v>2.8075135541174002E-3</v>
      </c>
      <c r="X21" s="320">
        <v>2.8093565859175001E-3</v>
      </c>
      <c r="Y21" s="320">
        <v>0.74692824038412198</v>
      </c>
      <c r="Z21" s="320">
        <v>0.77242823945275396</v>
      </c>
      <c r="AA21" s="320">
        <v>385.536985867792</v>
      </c>
      <c r="AB21" s="320">
        <v>386.18883979708698</v>
      </c>
      <c r="AC21" s="320">
        <v>25.201221688282999</v>
      </c>
      <c r="AD21" s="320">
        <v>25.618758141554501</v>
      </c>
      <c r="AE21" s="496" t="s">
        <v>559</v>
      </c>
      <c r="AF21" s="320">
        <v>5.6156084656084702E-2</v>
      </c>
      <c r="AG21" s="320">
        <v>5.61904761904762E-2</v>
      </c>
      <c r="AH21" s="320">
        <v>0.98465372129347395</v>
      </c>
      <c r="AI21" s="320">
        <v>0.98778495084514195</v>
      </c>
      <c r="AJ21" s="320">
        <v>71.325697643029898</v>
      </c>
      <c r="AK21" s="320">
        <v>69.661299500296394</v>
      </c>
      <c r="AL21" s="320">
        <v>10.9567775404717</v>
      </c>
      <c r="AM21" s="320">
        <v>10.7699609360739</v>
      </c>
      <c r="AN21" s="320">
        <v>306.30297259046802</v>
      </c>
      <c r="AO21" s="320">
        <v>306.493506493506</v>
      </c>
      <c r="AP21" s="320">
        <v>0.42332604051411699</v>
      </c>
      <c r="AQ21" s="320">
        <v>0.42316657701273103</v>
      </c>
      <c r="AR21" s="320">
        <v>2.0164850573279902</v>
      </c>
      <c r="AS21" s="320">
        <v>2.0167492736284398</v>
      </c>
      <c r="AT21" s="496" t="s">
        <v>559</v>
      </c>
      <c r="AU21" s="495">
        <v>32.3411411730401</v>
      </c>
      <c r="AV21" s="320">
        <v>32.358909669280997</v>
      </c>
      <c r="AW21" s="320">
        <v>1.34677318785081</v>
      </c>
      <c r="AX21" s="320">
        <v>1.3760932944606401</v>
      </c>
      <c r="AY21" s="320">
        <v>31.4377815650926</v>
      </c>
      <c r="AZ21" s="320">
        <v>31.453246614777701</v>
      </c>
      <c r="BA21" s="320">
        <v>8.52961097369766E-2</v>
      </c>
      <c r="BB21" s="320">
        <v>8.5438833397895195E-2</v>
      </c>
      <c r="BC21" s="320">
        <v>87.595407879910596</v>
      </c>
      <c r="BD21" s="320">
        <v>87.908813231021398</v>
      </c>
      <c r="BE21" s="320">
        <v>11.112006555563401</v>
      </c>
      <c r="BF21" s="320">
        <v>10.9630785811175</v>
      </c>
      <c r="BG21" s="320">
        <v>0.38865782768470802</v>
      </c>
      <c r="BH21" s="320">
        <v>0.39021164021164001</v>
      </c>
      <c r="BI21" s="496" t="s">
        <v>559</v>
      </c>
      <c r="BJ21" s="541">
        <v>132.17748766167799</v>
      </c>
      <c r="BK21" s="541">
        <v>133.69589848175801</v>
      </c>
      <c r="BL21" s="541">
        <v>9.0703209458737697E-3</v>
      </c>
      <c r="BM21" s="541">
        <v>9.0758758604776394E-3</v>
      </c>
      <c r="BN21" s="541">
        <v>156.081860789095</v>
      </c>
      <c r="BO21" s="541">
        <v>156.748140276302</v>
      </c>
      <c r="BP21" s="541">
        <v>3.25441225732374</v>
      </c>
      <c r="BQ21" s="541">
        <v>3.2993149727387099</v>
      </c>
      <c r="BR21" s="541">
        <v>32.106680414358003</v>
      </c>
      <c r="BS21" s="541">
        <v>32.126764589771199</v>
      </c>
      <c r="BT21" s="541">
        <v>117.927777777778</v>
      </c>
      <c r="BU21" s="541">
        <v>118</v>
      </c>
      <c r="BV21" s="541">
        <v>151.781027192588</v>
      </c>
      <c r="BW21" s="541">
        <v>151.45889793151801</v>
      </c>
    </row>
    <row r="22" spans="1:75" s="1687" customFormat="1" ht="11.1" customHeight="1">
      <c r="A22" s="499" t="s">
        <v>560</v>
      </c>
      <c r="B22" s="540">
        <v>78.888199288878099</v>
      </c>
      <c r="C22" s="540">
        <v>81.4259995578808</v>
      </c>
      <c r="D22" s="540">
        <v>118.72499999999999</v>
      </c>
      <c r="E22" s="540">
        <v>120</v>
      </c>
      <c r="F22" s="540">
        <v>315.007571553199</v>
      </c>
      <c r="G22" s="540">
        <v>318.34460803820099</v>
      </c>
      <c r="H22" s="540">
        <v>86.833432068604097</v>
      </c>
      <c r="I22" s="540">
        <v>89.017469678424405</v>
      </c>
      <c r="J22" s="540">
        <v>16.637535650241201</v>
      </c>
      <c r="K22" s="540">
        <v>16.830530582476602</v>
      </c>
      <c r="L22" s="540">
        <v>17.5360521480643</v>
      </c>
      <c r="M22" s="540">
        <v>17.891488124524699</v>
      </c>
      <c r="N22" s="540">
        <v>130.84620189203801</v>
      </c>
      <c r="O22" s="540">
        <v>133.44599973022801</v>
      </c>
      <c r="P22" s="499" t="s">
        <v>560</v>
      </c>
      <c r="Q22" s="334">
        <v>15.2268036834223</v>
      </c>
      <c r="R22" s="334">
        <v>15.382446065298501</v>
      </c>
      <c r="S22" s="334">
        <v>1.4153963561957601</v>
      </c>
      <c r="T22" s="334">
        <v>1.4300184710719199</v>
      </c>
      <c r="U22" s="334">
        <v>7.5301541699894703E-3</v>
      </c>
      <c r="V22" s="334">
        <v>7.78765656434551E-3</v>
      </c>
      <c r="W22" s="334">
        <v>2.82661746324624E-3</v>
      </c>
      <c r="X22" s="334">
        <v>2.8569727992381398E-3</v>
      </c>
      <c r="Y22" s="334">
        <v>0.81226068072259705</v>
      </c>
      <c r="Z22" s="334">
        <v>0.82999031677963797</v>
      </c>
      <c r="AA22" s="334">
        <v>388.45148997724601</v>
      </c>
      <c r="AB22" s="334">
        <v>393.12039312039298</v>
      </c>
      <c r="AC22" s="334">
        <v>26.837389452909001</v>
      </c>
      <c r="AD22" s="334">
        <v>27.729636048526899</v>
      </c>
      <c r="AE22" s="499" t="s">
        <v>560</v>
      </c>
      <c r="AF22" s="334">
        <v>5.65357142857143E-2</v>
      </c>
      <c r="AG22" s="334">
        <v>5.7142857142857099E-2</v>
      </c>
      <c r="AH22" s="334">
        <v>1.0027727215482201</v>
      </c>
      <c r="AI22" s="334">
        <v>1.0224844326745099</v>
      </c>
      <c r="AJ22" s="334">
        <v>72.105624128281306</v>
      </c>
      <c r="AK22" s="334">
        <v>74.939998078462807</v>
      </c>
      <c r="AL22" s="334">
        <v>11.0999178797111</v>
      </c>
      <c r="AM22" s="334">
        <v>11.4284625860706</v>
      </c>
      <c r="AN22" s="334">
        <v>308.37670047754699</v>
      </c>
      <c r="AO22" s="334">
        <v>311.68831168831201</v>
      </c>
      <c r="AP22" s="334">
        <v>0.42584602437067998</v>
      </c>
      <c r="AQ22" s="334">
        <v>0.42979942693409701</v>
      </c>
      <c r="AR22" s="334">
        <v>2.0814175150985901</v>
      </c>
      <c r="AS22" s="334">
        <v>2.1309655937846799</v>
      </c>
      <c r="AT22" s="499" t="s">
        <v>560</v>
      </c>
      <c r="AU22" s="401">
        <v>32.559324522199702</v>
      </c>
      <c r="AV22" s="334">
        <v>32.921810699588498</v>
      </c>
      <c r="AW22" s="334">
        <v>1.3335820257928299</v>
      </c>
      <c r="AX22" s="334">
        <v>1.3114754098360699</v>
      </c>
      <c r="AY22" s="334">
        <v>31.636230153193999</v>
      </c>
      <c r="AZ22" s="334">
        <v>31.977828705430898</v>
      </c>
      <c r="BA22" s="334">
        <v>8.7873166943541706E-2</v>
      </c>
      <c r="BB22" s="334">
        <v>8.9870810709604898E-2</v>
      </c>
      <c r="BC22" s="334">
        <v>90.208652889328405</v>
      </c>
      <c r="BD22" s="334">
        <v>92.059838895281899</v>
      </c>
      <c r="BE22" s="334">
        <v>11.4213308217047</v>
      </c>
      <c r="BF22" s="334">
        <v>11.795756476607499</v>
      </c>
      <c r="BG22" s="334">
        <v>0.39527889144198403</v>
      </c>
      <c r="BH22" s="334">
        <v>0.39933444259567402</v>
      </c>
      <c r="BI22" s="499" t="s">
        <v>560</v>
      </c>
      <c r="BJ22" s="540">
        <v>138.37306318495899</v>
      </c>
      <c r="BK22" s="540">
        <v>142.475512021371</v>
      </c>
      <c r="BL22" s="540">
        <v>9.1316386570780301E-3</v>
      </c>
      <c r="BM22" s="540">
        <v>9.2297042648925107E-3</v>
      </c>
      <c r="BN22" s="540">
        <v>159.03639671628301</v>
      </c>
      <c r="BO22" s="540">
        <v>161.59439806086701</v>
      </c>
      <c r="BP22" s="540">
        <v>3.4129770973743199</v>
      </c>
      <c r="BQ22" s="540">
        <v>3.5299308721870899</v>
      </c>
      <c r="BR22" s="540">
        <v>32.324359068179199</v>
      </c>
      <c r="BS22" s="540">
        <v>32.672620344151603</v>
      </c>
      <c r="BT22" s="540">
        <v>118.72499999999999</v>
      </c>
      <c r="BU22" s="540">
        <v>120</v>
      </c>
      <c r="BV22" s="540">
        <v>153.59415947609301</v>
      </c>
      <c r="BW22" s="540">
        <v>158.297997953227</v>
      </c>
    </row>
    <row r="23" spans="1:75" s="1687" customFormat="1" ht="11.1" customHeight="1">
      <c r="A23" s="496" t="s">
        <v>554</v>
      </c>
      <c r="B23" s="541">
        <v>81.101075037182994</v>
      </c>
      <c r="C23" s="541">
        <v>82.829999565374905</v>
      </c>
      <c r="D23" s="541">
        <v>120</v>
      </c>
      <c r="E23" s="541">
        <v>120</v>
      </c>
      <c r="F23" s="541">
        <v>318.46330364422801</v>
      </c>
      <c r="G23" s="541">
        <v>318.34460803820099</v>
      </c>
      <c r="H23" s="541">
        <v>88.5896018199184</v>
      </c>
      <c r="I23" s="541">
        <v>88.786948318597197</v>
      </c>
      <c r="J23" s="541">
        <v>16.940879641638801</v>
      </c>
      <c r="K23" s="541">
        <v>17.1247538316637</v>
      </c>
      <c r="L23" s="541">
        <v>17.847426836828401</v>
      </c>
      <c r="M23" s="541">
        <v>17.966492491503299</v>
      </c>
      <c r="N23" s="541">
        <v>133.140230030244</v>
      </c>
      <c r="O23" s="541">
        <v>133.96199973126701</v>
      </c>
      <c r="P23" s="496" t="s">
        <v>554</v>
      </c>
      <c r="Q23" s="320">
        <v>15.3995162967831</v>
      </c>
      <c r="R23" s="320">
        <v>15.439743185605</v>
      </c>
      <c r="S23" s="320">
        <v>1.4319156432086699</v>
      </c>
      <c r="T23" s="320">
        <v>1.43334925943622</v>
      </c>
      <c r="U23" s="320">
        <v>7.8274607265153406E-3</v>
      </c>
      <c r="V23" s="320">
        <v>7.9207920792079192E-3</v>
      </c>
      <c r="W23" s="320">
        <v>2.8565808478587902E-3</v>
      </c>
      <c r="X23" s="320">
        <v>2.8569727992381398E-3</v>
      </c>
      <c r="Y23" s="320">
        <v>0.83768843774616597</v>
      </c>
      <c r="Z23" s="320">
        <v>0.84391152994127805</v>
      </c>
      <c r="AA23" s="320">
        <v>393.12558167184199</v>
      </c>
      <c r="AB23" s="320">
        <v>393.44262295082001</v>
      </c>
      <c r="AC23" s="320">
        <v>28.131812769300399</v>
      </c>
      <c r="AD23" s="320">
        <v>29.186428310835499</v>
      </c>
      <c r="AE23" s="496" t="s">
        <v>554</v>
      </c>
      <c r="AF23" s="320">
        <v>5.7142857142857099E-2</v>
      </c>
      <c r="AG23" s="320">
        <v>5.7142857142857099E-2</v>
      </c>
      <c r="AH23" s="320">
        <v>1.0221114765193</v>
      </c>
      <c r="AI23" s="320">
        <v>1.0266510045352299</v>
      </c>
      <c r="AJ23" s="320">
        <v>74.600536140859504</v>
      </c>
      <c r="AK23" s="320">
        <v>76.085999526851197</v>
      </c>
      <c r="AL23" s="320">
        <v>11.2935812970331</v>
      </c>
      <c r="AM23" s="320">
        <v>11.426721387965699</v>
      </c>
      <c r="AN23" s="320">
        <v>311.70078822438097</v>
      </c>
      <c r="AO23" s="320">
        <v>312.09362808842701</v>
      </c>
      <c r="AP23" s="320">
        <v>0.43102828723160203</v>
      </c>
      <c r="AQ23" s="320">
        <v>0.43212099387828601</v>
      </c>
      <c r="AR23" s="320">
        <v>2.1402879445623202</v>
      </c>
      <c r="AS23" s="320">
        <v>2.1417097983223301</v>
      </c>
      <c r="AT23" s="496" t="s">
        <v>554</v>
      </c>
      <c r="AU23" s="495">
        <v>32.915654625138203</v>
      </c>
      <c r="AV23" s="320">
        <v>32.921810699588498</v>
      </c>
      <c r="AW23" s="320">
        <v>1.3188159057300199</v>
      </c>
      <c r="AX23" s="320">
        <v>1.2721971905645399</v>
      </c>
      <c r="AY23" s="320">
        <v>31.9769285857199</v>
      </c>
      <c r="AZ23" s="320">
        <v>31.988057791757701</v>
      </c>
      <c r="BA23" s="320">
        <v>9.0051679047771505E-2</v>
      </c>
      <c r="BB23" s="320">
        <v>9.1641878811252103E-2</v>
      </c>
      <c r="BC23" s="320">
        <v>92.489810711962505</v>
      </c>
      <c r="BD23" s="320">
        <v>93.662191695285699</v>
      </c>
      <c r="BE23" s="320">
        <v>11.722294951740199</v>
      </c>
      <c r="BF23" s="320">
        <v>11.88430627838</v>
      </c>
      <c r="BG23" s="320">
        <v>0.399077797471938</v>
      </c>
      <c r="BH23" s="320">
        <v>0.40451710770268001</v>
      </c>
      <c r="BI23" s="496" t="s">
        <v>554</v>
      </c>
      <c r="BJ23" s="541">
        <v>141.57651090562399</v>
      </c>
      <c r="BK23" s="541">
        <v>142.763666646838</v>
      </c>
      <c r="BL23" s="541">
        <v>9.2297042648925107E-3</v>
      </c>
      <c r="BM23" s="541">
        <v>9.2297042648925107E-3</v>
      </c>
      <c r="BN23" s="541">
        <v>161.95536959027399</v>
      </c>
      <c r="BO23" s="541">
        <v>162.75600162756001</v>
      </c>
      <c r="BP23" s="541">
        <v>3.5967130179929598</v>
      </c>
      <c r="BQ23" s="541">
        <v>3.7319234955683398</v>
      </c>
      <c r="BR23" s="541">
        <v>32.671303132499801</v>
      </c>
      <c r="BS23" s="541">
        <v>32.670841274162797</v>
      </c>
      <c r="BT23" s="541">
        <v>120</v>
      </c>
      <c r="BU23" s="541">
        <v>120</v>
      </c>
      <c r="BV23" s="541">
        <v>158.38384154976799</v>
      </c>
      <c r="BW23" s="541">
        <v>160.49399798123301</v>
      </c>
    </row>
    <row r="24" spans="1:75" s="1687" customFormat="1" ht="11.1" customHeight="1">
      <c r="A24" s="499" t="s">
        <v>561</v>
      </c>
      <c r="B24" s="540">
        <v>80.605610840370204</v>
      </c>
      <c r="C24" s="540">
        <v>78.863998174071796</v>
      </c>
      <c r="D24" s="540">
        <v>119.998148148148</v>
      </c>
      <c r="E24" s="540">
        <v>120</v>
      </c>
      <c r="F24" s="540">
        <v>318.264649671391</v>
      </c>
      <c r="G24" s="540">
        <v>318.26017769526601</v>
      </c>
      <c r="H24" s="540">
        <v>87.425482976505606</v>
      </c>
      <c r="I24" s="540">
        <v>86.309202718739897</v>
      </c>
      <c r="J24" s="540">
        <v>16.944116441307902</v>
      </c>
      <c r="K24" s="540">
        <v>16.842105263157901</v>
      </c>
      <c r="L24" s="540">
        <v>17.5542866858564</v>
      </c>
      <c r="M24" s="540">
        <v>17.463817153834398</v>
      </c>
      <c r="N24" s="540">
        <v>130.93195295406699</v>
      </c>
      <c r="O24" s="540">
        <v>130.27199889462</v>
      </c>
      <c r="P24" s="499" t="s">
        <v>561</v>
      </c>
      <c r="Q24" s="334">
        <v>15.443514981061201</v>
      </c>
      <c r="R24" s="334">
        <v>15.439842513606401</v>
      </c>
      <c r="S24" s="334">
        <v>1.42811661997608</v>
      </c>
      <c r="T24" s="334">
        <v>1.42704245451302</v>
      </c>
      <c r="U24" s="334">
        <v>7.71548464537373E-3</v>
      </c>
      <c r="V24" s="334">
        <v>7.6420952077694603E-3</v>
      </c>
      <c r="W24" s="334">
        <v>2.85680289859787E-3</v>
      </c>
      <c r="X24" s="334">
        <v>2.8569727992381398E-3</v>
      </c>
      <c r="Y24" s="334">
        <v>0.80278728412784695</v>
      </c>
      <c r="Z24" s="334">
        <v>0.78216660148611605</v>
      </c>
      <c r="AA24" s="334">
        <v>391.56129501059598</v>
      </c>
      <c r="AB24" s="334">
        <v>391.51712887438799</v>
      </c>
      <c r="AC24" s="334">
        <v>27.9338499351446</v>
      </c>
      <c r="AD24" s="334">
        <v>27.403516784653998</v>
      </c>
      <c r="AE24" s="499" t="s">
        <v>561</v>
      </c>
      <c r="AF24" s="334">
        <v>5.7141975308641998E-2</v>
      </c>
      <c r="AG24" s="334">
        <v>5.7142857142857099E-2</v>
      </c>
      <c r="AH24" s="334">
        <v>1.01390926807349</v>
      </c>
      <c r="AI24" s="334">
        <v>1.0061180360911299</v>
      </c>
      <c r="AJ24" s="334">
        <v>73.182837738905903</v>
      </c>
      <c r="AK24" s="334">
        <v>71.675997990959303</v>
      </c>
      <c r="AL24" s="334">
        <v>11.106183042852299</v>
      </c>
      <c r="AM24" s="334">
        <v>10.9493047191503</v>
      </c>
      <c r="AN24" s="334">
        <v>311.69100134017799</v>
      </c>
      <c r="AO24" s="334">
        <v>311.68831168831201</v>
      </c>
      <c r="AP24" s="334">
        <v>0.43190489548933902</v>
      </c>
      <c r="AQ24" s="334">
        <v>0.4320043200432</v>
      </c>
      <c r="AR24" s="334">
        <v>2.09120699945306</v>
      </c>
      <c r="AS24" s="334">
        <v>2.0639834881320902</v>
      </c>
      <c r="AT24" s="499" t="s">
        <v>561</v>
      </c>
      <c r="AU24" s="401">
        <v>32.914614076892697</v>
      </c>
      <c r="AV24" s="334">
        <v>32.912781130005499</v>
      </c>
      <c r="AW24" s="334">
        <v>1.2494170436435099</v>
      </c>
      <c r="AX24" s="334">
        <v>1.2382623052316599</v>
      </c>
      <c r="AY24" s="334">
        <v>31.9567742844281</v>
      </c>
      <c r="AZ24" s="334">
        <v>31.951433820592701</v>
      </c>
      <c r="BA24" s="334">
        <v>8.8236945331789496E-2</v>
      </c>
      <c r="BB24" s="334">
        <v>8.70760936213133E-2</v>
      </c>
      <c r="BC24" s="334">
        <v>91.6627773043855</v>
      </c>
      <c r="BD24" s="334">
        <v>90.747532801451996</v>
      </c>
      <c r="BE24" s="334">
        <v>11.4783000299519</v>
      </c>
      <c r="BF24" s="334">
        <v>11.2269671751547</v>
      </c>
      <c r="BG24" s="334">
        <v>0.40894600182199797</v>
      </c>
      <c r="BH24" s="334">
        <v>0.40962621607782901</v>
      </c>
      <c r="BI24" s="499" t="s">
        <v>561</v>
      </c>
      <c r="BJ24" s="540">
        <v>139.47144896225899</v>
      </c>
      <c r="BK24" s="540">
        <v>138.448226132103</v>
      </c>
      <c r="BL24" s="540">
        <v>9.2282738493288004E-3</v>
      </c>
      <c r="BM24" s="540">
        <v>9.22722029988466E-3</v>
      </c>
      <c r="BN24" s="540">
        <v>160.34066406445001</v>
      </c>
      <c r="BO24" s="540">
        <v>159.78695073235701</v>
      </c>
      <c r="BP24" s="540">
        <v>3.5950224697469402</v>
      </c>
      <c r="BQ24" s="540">
        <v>3.5571365051133799</v>
      </c>
      <c r="BR24" s="540">
        <v>32.670254764158997</v>
      </c>
      <c r="BS24" s="540">
        <v>32.670396536938</v>
      </c>
      <c r="BT24" s="540">
        <v>119.998148148148</v>
      </c>
      <c r="BU24" s="540">
        <v>120</v>
      </c>
      <c r="BV24" s="540">
        <v>156.844650634544</v>
      </c>
      <c r="BW24" s="540">
        <v>155.549999768563</v>
      </c>
    </row>
    <row r="25" spans="1:75" s="1687" customFormat="1" ht="11.1" customHeight="1">
      <c r="A25" s="496" t="s">
        <v>562</v>
      </c>
      <c r="B25" s="541">
        <v>78.359514758875093</v>
      </c>
      <c r="C25" s="541">
        <v>77.963992611974703</v>
      </c>
      <c r="D25" s="541">
        <v>120</v>
      </c>
      <c r="E25" s="541">
        <v>120</v>
      </c>
      <c r="F25" s="541">
        <v>318.317590329175</v>
      </c>
      <c r="G25" s="541">
        <v>318.30238726790498</v>
      </c>
      <c r="H25" s="541">
        <v>85.897106130729199</v>
      </c>
      <c r="I25" s="541">
        <v>85.531004989308599</v>
      </c>
      <c r="J25" s="541">
        <v>16.7308122660239</v>
      </c>
      <c r="K25" s="541">
        <v>16.6912398809358</v>
      </c>
      <c r="L25" s="541">
        <v>17.115525926106201</v>
      </c>
      <c r="M25" s="541">
        <v>17.0010200612037</v>
      </c>
      <c r="N25" s="541">
        <v>127.657438663956</v>
      </c>
      <c r="O25" s="541">
        <v>126.791995457127</v>
      </c>
      <c r="P25" s="496" t="s">
        <v>562</v>
      </c>
      <c r="Q25" s="320">
        <v>15.4248511908828</v>
      </c>
      <c r="R25" s="320">
        <v>15.420894026331201</v>
      </c>
      <c r="S25" s="320">
        <v>1.42296419201441</v>
      </c>
      <c r="T25" s="320">
        <v>1.42146410803127</v>
      </c>
      <c r="U25" s="320">
        <v>7.5852482485636204E-3</v>
      </c>
      <c r="V25" s="320">
        <v>7.5662042875157603E-3</v>
      </c>
      <c r="W25" s="320">
        <v>2.8569727992381398E-3</v>
      </c>
      <c r="X25" s="320">
        <v>2.8569727992381398E-3</v>
      </c>
      <c r="Y25" s="320">
        <v>0.78030803226088896</v>
      </c>
      <c r="Z25" s="320">
        <v>0.794097210733547</v>
      </c>
      <c r="AA25" s="320">
        <v>390.53684667703101</v>
      </c>
      <c r="AB25" s="320">
        <v>390.37085230969399</v>
      </c>
      <c r="AC25" s="320">
        <v>27.05564112231</v>
      </c>
      <c r="AD25" s="320">
        <v>27.002700270026999</v>
      </c>
      <c r="AE25" s="496" t="s">
        <v>562</v>
      </c>
      <c r="AF25" s="320">
        <v>5.7142857142857099E-2</v>
      </c>
      <c r="AG25" s="320">
        <v>5.7142857142857099E-2</v>
      </c>
      <c r="AH25" s="320">
        <v>1.0002385596497001</v>
      </c>
      <c r="AI25" s="320">
        <v>0.99391969625814103</v>
      </c>
      <c r="AJ25" s="320">
        <v>70.932234013297204</v>
      </c>
      <c r="AK25" s="320">
        <v>70.733999491050994</v>
      </c>
      <c r="AL25" s="320">
        <v>10.8542629278978</v>
      </c>
      <c r="AM25" s="320">
        <v>10.8478498657578</v>
      </c>
      <c r="AN25" s="320">
        <v>311.68507378869703</v>
      </c>
      <c r="AO25" s="320">
        <v>311.64783794312399</v>
      </c>
      <c r="AP25" s="320">
        <v>0.43165172168162702</v>
      </c>
      <c r="AQ25" s="320">
        <v>0.4320043200432</v>
      </c>
      <c r="AR25" s="320">
        <v>2.0441073650074602</v>
      </c>
      <c r="AS25" s="320">
        <v>2.0467337540508299</v>
      </c>
      <c r="AT25" s="496" t="s">
        <v>562</v>
      </c>
      <c r="AU25" s="495">
        <v>32.914533494497199</v>
      </c>
      <c r="AV25" s="320">
        <v>32.917746780232903</v>
      </c>
      <c r="AW25" s="320">
        <v>1.1950946914163101</v>
      </c>
      <c r="AX25" s="320">
        <v>1.06053910737958</v>
      </c>
      <c r="AY25" s="320">
        <v>31.954177952341698</v>
      </c>
      <c r="AZ25" s="320">
        <v>31.953135401411298</v>
      </c>
      <c r="BA25" s="320">
        <v>8.6017282157839006E-2</v>
      </c>
      <c r="BB25" s="320">
        <v>8.5966043412851897E-2</v>
      </c>
      <c r="BC25" s="320">
        <v>89.827027543271498</v>
      </c>
      <c r="BD25" s="320">
        <v>89.528854403700507</v>
      </c>
      <c r="BE25" s="320">
        <v>11.012100769412299</v>
      </c>
      <c r="BF25" s="320">
        <v>10.975040927756799</v>
      </c>
      <c r="BG25" s="320">
        <v>0.41107762451966201</v>
      </c>
      <c r="BH25" s="320">
        <v>0.41244200034370199</v>
      </c>
      <c r="BI25" s="496" t="s">
        <v>562</v>
      </c>
      <c r="BJ25" s="541">
        <v>136.33441836686899</v>
      </c>
      <c r="BK25" s="541">
        <v>136.092996881202</v>
      </c>
      <c r="BL25" s="541">
        <v>9.22722029988466E-3</v>
      </c>
      <c r="BM25" s="541">
        <v>9.22722029988466E-3</v>
      </c>
      <c r="BN25" s="541">
        <v>158.13035780940601</v>
      </c>
      <c r="BO25" s="541">
        <v>157.66653527788699</v>
      </c>
      <c r="BP25" s="541">
        <v>3.4842833561882101</v>
      </c>
      <c r="BQ25" s="541">
        <v>3.4853325588149899</v>
      </c>
      <c r="BR25" s="541">
        <v>32.671143740522503</v>
      </c>
      <c r="BS25" s="541">
        <v>32.671730784938298</v>
      </c>
      <c r="BT25" s="541">
        <v>120</v>
      </c>
      <c r="BU25" s="541">
        <v>120</v>
      </c>
      <c r="BV25" s="541">
        <v>153.08159620054201</v>
      </c>
      <c r="BW25" s="541">
        <v>152.153997870578</v>
      </c>
    </row>
    <row r="26" spans="1:75" s="1687" customFormat="1" ht="11.1" customHeight="1">
      <c r="A26" s="499" t="s">
        <v>555</v>
      </c>
      <c r="B26" s="540">
        <v>76.081546944185504</v>
      </c>
      <c r="C26" s="540">
        <v>74.651982639446999</v>
      </c>
      <c r="D26" s="540">
        <v>120</v>
      </c>
      <c r="E26" s="540">
        <v>120</v>
      </c>
      <c r="F26" s="540">
        <v>318.13052965008302</v>
      </c>
      <c r="G26" s="540">
        <v>318.09145129224697</v>
      </c>
      <c r="H26" s="540">
        <v>84.261948838928205</v>
      </c>
      <c r="I26" s="540">
        <v>83.594566353187005</v>
      </c>
      <c r="J26" s="540">
        <v>16.693091579266301</v>
      </c>
      <c r="K26" s="540">
        <v>16.693561849646599</v>
      </c>
      <c r="L26" s="540">
        <v>16.853946982387399</v>
      </c>
      <c r="M26" s="540">
        <v>16.745626949295598</v>
      </c>
      <c r="N26" s="540">
        <v>125.71177613752501</v>
      </c>
      <c r="O26" s="540">
        <v>124.889999711746</v>
      </c>
      <c r="P26" s="499" t="s">
        <v>555</v>
      </c>
      <c r="Q26" s="334">
        <v>15.4355348699365</v>
      </c>
      <c r="R26" s="334">
        <v>15.451174289246</v>
      </c>
      <c r="S26" s="334">
        <v>1.4131540556825299</v>
      </c>
      <c r="T26" s="334">
        <v>1.4034841494008901</v>
      </c>
      <c r="U26" s="334">
        <v>7.4804528785265998E-3</v>
      </c>
      <c r="V26" s="334">
        <v>7.4360960495739696E-3</v>
      </c>
      <c r="W26" s="334">
        <v>2.85684698768427E-3</v>
      </c>
      <c r="X26" s="334">
        <v>2.8569727992381398E-3</v>
      </c>
      <c r="Y26" s="334">
        <v>0.78151948954206196</v>
      </c>
      <c r="Z26" s="334">
        <v>0.76508655041601603</v>
      </c>
      <c r="AA26" s="334">
        <v>389.94611230972299</v>
      </c>
      <c r="AB26" s="334">
        <v>389.61038961038997</v>
      </c>
      <c r="AC26" s="334">
        <v>26.9074050708671</v>
      </c>
      <c r="AD26" s="334">
        <v>26.8456375838926</v>
      </c>
      <c r="AE26" s="499" t="s">
        <v>555</v>
      </c>
      <c r="AF26" s="334">
        <v>5.7142857142857099E-2</v>
      </c>
      <c r="AG26" s="334">
        <v>5.7142857142857099E-2</v>
      </c>
      <c r="AH26" s="334">
        <v>0.99306093622990699</v>
      </c>
      <c r="AI26" s="334">
        <v>0.98808533763699402</v>
      </c>
      <c r="AJ26" s="334">
        <v>69.023994736024093</v>
      </c>
      <c r="AK26" s="334">
        <v>67.673999468037906</v>
      </c>
      <c r="AL26" s="334">
        <v>10.699012025547299</v>
      </c>
      <c r="AM26" s="334">
        <v>10.5936879276098</v>
      </c>
      <c r="AN26" s="334">
        <v>311.68681577597903</v>
      </c>
      <c r="AO26" s="334">
        <v>311.68831168831201</v>
      </c>
      <c r="AP26" s="334">
        <v>0.43139488643833801</v>
      </c>
      <c r="AQ26" s="334">
        <v>0.43111190946649902</v>
      </c>
      <c r="AR26" s="334">
        <v>2.0547640162456302</v>
      </c>
      <c r="AS26" s="334">
        <v>2.0750475531730901</v>
      </c>
      <c r="AT26" s="499" t="s">
        <v>555</v>
      </c>
      <c r="AU26" s="401">
        <v>32.916944363669998</v>
      </c>
      <c r="AV26" s="334">
        <v>32.9172952955699</v>
      </c>
      <c r="AW26" s="334">
        <v>1.1575102093701499</v>
      </c>
      <c r="AX26" s="334">
        <v>1.1347517730496499</v>
      </c>
      <c r="AY26" s="334">
        <v>31.942349631606</v>
      </c>
      <c r="AZ26" s="334">
        <v>31.953135401411298</v>
      </c>
      <c r="BA26" s="334">
        <v>8.34684712690444E-2</v>
      </c>
      <c r="BB26" s="334">
        <v>8.1430461778577004E-2</v>
      </c>
      <c r="BC26" s="334">
        <v>88.880180543925405</v>
      </c>
      <c r="BD26" s="334">
        <v>88.232050292268696</v>
      </c>
      <c r="BE26" s="334">
        <v>10.9160887479092</v>
      </c>
      <c r="BF26" s="334">
        <v>10.8917136750003</v>
      </c>
      <c r="BG26" s="334">
        <v>0.41132143248157599</v>
      </c>
      <c r="BH26" s="334">
        <v>0.41032655154727299</v>
      </c>
      <c r="BI26" s="499" t="s">
        <v>555</v>
      </c>
      <c r="BJ26" s="540">
        <v>134.70471290203599</v>
      </c>
      <c r="BK26" s="540">
        <v>132.765392487692</v>
      </c>
      <c r="BL26" s="540">
        <v>9.22722029988466E-3</v>
      </c>
      <c r="BM26" s="540">
        <v>9.22722029988466E-3</v>
      </c>
      <c r="BN26" s="540">
        <v>157.19083157398899</v>
      </c>
      <c r="BO26" s="540">
        <v>156.49452269170601</v>
      </c>
      <c r="BP26" s="540">
        <v>3.51101039027697</v>
      </c>
      <c r="BQ26" s="540">
        <v>3.5010940919037199</v>
      </c>
      <c r="BR26" s="540">
        <v>32.670841281786601</v>
      </c>
      <c r="BS26" s="540">
        <v>32.670841274162797</v>
      </c>
      <c r="BT26" s="540">
        <v>120</v>
      </c>
      <c r="BU26" s="540">
        <v>120</v>
      </c>
      <c r="BV26" s="540">
        <v>151.79377527937399</v>
      </c>
      <c r="BW26" s="540">
        <v>150.62399904397699</v>
      </c>
    </row>
    <row r="27" spans="1:75" s="1687" customFormat="1" ht="11.1" customHeight="1">
      <c r="A27" s="496" t="s">
        <v>563</v>
      </c>
      <c r="B27" s="541">
        <v>75.928300564742003</v>
      </c>
      <c r="C27" s="541">
        <v>76.024295594961103</v>
      </c>
      <c r="D27" s="541">
        <v>121.92592592592599</v>
      </c>
      <c r="E27" s="541">
        <v>122</v>
      </c>
      <c r="F27" s="541">
        <v>323.41413211892399</v>
      </c>
      <c r="G27" s="541">
        <v>323.607427055703</v>
      </c>
      <c r="H27" s="541">
        <v>84.758451714869693</v>
      </c>
      <c r="I27" s="541">
        <v>84.607649363708902</v>
      </c>
      <c r="J27" s="541">
        <v>16.9777013163656</v>
      </c>
      <c r="K27" s="541">
        <v>17.015816340762601</v>
      </c>
      <c r="L27" s="541">
        <v>16.925244722490898</v>
      </c>
      <c r="M27" s="541">
        <v>17.037916346623799</v>
      </c>
      <c r="N27" s="541">
        <v>126.27576889928299</v>
      </c>
      <c r="O27" s="541">
        <v>127.13009970730801</v>
      </c>
      <c r="P27" s="496" t="s">
        <v>563</v>
      </c>
      <c r="Q27" s="320">
        <v>15.6654311579058</v>
      </c>
      <c r="R27" s="320">
        <v>15.656883253551699</v>
      </c>
      <c r="S27" s="320">
        <v>1.41440530809868</v>
      </c>
      <c r="T27" s="320">
        <v>1.40812557710065</v>
      </c>
      <c r="U27" s="320">
        <v>7.5051326352812003E-3</v>
      </c>
      <c r="V27" s="320">
        <v>7.5081543479598696E-3</v>
      </c>
      <c r="W27" s="320">
        <v>2.9026975406893601E-3</v>
      </c>
      <c r="X27" s="320">
        <v>2.9045890125587799E-3</v>
      </c>
      <c r="Y27" s="320">
        <v>0.77809729978810804</v>
      </c>
      <c r="Z27" s="320">
        <v>0.78595587051054905</v>
      </c>
      <c r="AA27" s="320">
        <v>395.36187279014399</v>
      </c>
      <c r="AB27" s="320">
        <v>395.65428895735403</v>
      </c>
      <c r="AC27" s="320">
        <v>27.299359297185401</v>
      </c>
      <c r="AD27" s="320">
        <v>27.771454586842701</v>
      </c>
      <c r="AE27" s="496" t="s">
        <v>563</v>
      </c>
      <c r="AF27" s="320">
        <v>5.80599647266314E-2</v>
      </c>
      <c r="AG27" s="320">
        <v>5.8095238095238103E-2</v>
      </c>
      <c r="AH27" s="320">
        <v>1.0019123435106501</v>
      </c>
      <c r="AI27" s="320">
        <v>1.0060171369247</v>
      </c>
      <c r="AJ27" s="320">
        <v>68.630551655448897</v>
      </c>
      <c r="AK27" s="320">
        <v>69.033699460987904</v>
      </c>
      <c r="AL27" s="320">
        <v>10.748671443048099</v>
      </c>
      <c r="AM27" s="320">
        <v>10.806023029229401</v>
      </c>
      <c r="AN27" s="320">
        <v>316.70901314253501</v>
      </c>
      <c r="AO27" s="320">
        <v>316.883116883117</v>
      </c>
      <c r="AP27" s="320">
        <v>0.43756655401266198</v>
      </c>
      <c r="AQ27" s="320">
        <v>0.43751120674197602</v>
      </c>
      <c r="AR27" s="320">
        <v>2.0876804809355298</v>
      </c>
      <c r="AS27" s="320">
        <v>2.0897567660157601</v>
      </c>
      <c r="AT27" s="496" t="s">
        <v>563</v>
      </c>
      <c r="AU27" s="495">
        <v>33.443488486644597</v>
      </c>
      <c r="AV27" s="320">
        <v>33.463163091776799</v>
      </c>
      <c r="AW27" s="320">
        <v>1.1828411241058401</v>
      </c>
      <c r="AX27" s="320">
        <v>1.2409724341369099</v>
      </c>
      <c r="AY27" s="320">
        <v>32.4857153498887</v>
      </c>
      <c r="AZ27" s="320">
        <v>32.5272615778388</v>
      </c>
      <c r="BA27" s="320">
        <v>8.3885532280718503E-2</v>
      </c>
      <c r="BB27" s="320">
        <v>8.46237883018017E-2</v>
      </c>
      <c r="BC27" s="320">
        <v>89.560997014799199</v>
      </c>
      <c r="BD27" s="320">
        <v>90.403853278992202</v>
      </c>
      <c r="BE27" s="320">
        <v>10.9999808560773</v>
      </c>
      <c r="BF27" s="320">
        <v>11.100849396959999</v>
      </c>
      <c r="BG27" s="320">
        <v>0.41201960117089897</v>
      </c>
      <c r="BH27" s="320">
        <v>0.41164065795023203</v>
      </c>
      <c r="BI27" s="496" t="s">
        <v>563</v>
      </c>
      <c r="BJ27" s="541">
        <v>134.10026975887399</v>
      </c>
      <c r="BK27" s="541">
        <v>134.531620444395</v>
      </c>
      <c r="BL27" s="541">
        <v>9.3753114898828104E-3</v>
      </c>
      <c r="BM27" s="541">
        <v>9.3810073048827408E-3</v>
      </c>
      <c r="BN27" s="541">
        <v>158.63477034598401</v>
      </c>
      <c r="BO27" s="541">
        <v>158.44155844155799</v>
      </c>
      <c r="BP27" s="541">
        <v>3.55801195345349</v>
      </c>
      <c r="BQ27" s="541">
        <v>3.6142793660198498</v>
      </c>
      <c r="BR27" s="541">
        <v>33.195288608070499</v>
      </c>
      <c r="BS27" s="541">
        <v>33.216259631353999</v>
      </c>
      <c r="BT27" s="541">
        <v>121.92592592592599</v>
      </c>
      <c r="BU27" s="541">
        <v>122</v>
      </c>
      <c r="BV27" s="541">
        <v>150.77746961059</v>
      </c>
      <c r="BW27" s="541">
        <v>151.90828015901701</v>
      </c>
    </row>
    <row r="28" spans="1:75" s="1687" customFormat="1" ht="11.1" customHeight="1">
      <c r="A28" s="499" t="s">
        <v>564</v>
      </c>
      <c r="B28" s="540">
        <v>76.899644782234503</v>
      </c>
      <c r="C28" s="540">
        <v>76.939299516372003</v>
      </c>
      <c r="D28" s="540">
        <v>122</v>
      </c>
      <c r="E28" s="540">
        <v>122</v>
      </c>
      <c r="F28" s="540">
        <v>323.662880628133</v>
      </c>
      <c r="G28" s="540">
        <v>323.69328734412301</v>
      </c>
      <c r="H28" s="540">
        <v>85.330878627184504</v>
      </c>
      <c r="I28" s="540">
        <v>85.091543156059302</v>
      </c>
      <c r="J28" s="540">
        <v>17.013127733911102</v>
      </c>
      <c r="K28" s="540">
        <v>17.005854474491201</v>
      </c>
      <c r="L28" s="540">
        <v>17.034209978134701</v>
      </c>
      <c r="M28" s="540">
        <v>17.149885784572099</v>
      </c>
      <c r="N28" s="540">
        <v>127.06960638426</v>
      </c>
      <c r="O28" s="540">
        <v>127.910897381849</v>
      </c>
      <c r="P28" s="499" t="s">
        <v>564</v>
      </c>
      <c r="Q28" s="334">
        <v>15.674957702059301</v>
      </c>
      <c r="R28" s="334">
        <v>15.693235829458301</v>
      </c>
      <c r="S28" s="334">
        <v>1.4027674136913699</v>
      </c>
      <c r="T28" s="334">
        <v>1.4000378698768099</v>
      </c>
      <c r="U28" s="334">
        <v>7.4655968286859798E-3</v>
      </c>
      <c r="V28" s="334">
        <v>7.4197962596928698E-3</v>
      </c>
      <c r="W28" s="334">
        <v>2.9044451155940398E-3</v>
      </c>
      <c r="X28" s="334">
        <v>2.9045890125587799E-3</v>
      </c>
      <c r="Y28" s="334">
        <v>0.802849584712644</v>
      </c>
      <c r="Z28" s="334">
        <v>0.81829767254678398</v>
      </c>
      <c r="AA28" s="334">
        <v>395.28320430438902</v>
      </c>
      <c r="AB28" s="334">
        <v>395.52601718268801</v>
      </c>
      <c r="AC28" s="334">
        <v>27.460285981932302</v>
      </c>
      <c r="AD28" s="334">
        <v>27.443482172983899</v>
      </c>
      <c r="AE28" s="499" t="s">
        <v>564</v>
      </c>
      <c r="AF28" s="334">
        <v>5.8095238095238103E-2</v>
      </c>
      <c r="AG28" s="334">
        <v>5.8095238095238103E-2</v>
      </c>
      <c r="AH28" s="334">
        <v>1.0071984045397</v>
      </c>
      <c r="AI28" s="334">
        <v>1.01194845698597</v>
      </c>
      <c r="AJ28" s="334">
        <v>69.372501549491304</v>
      </c>
      <c r="AK28" s="334">
        <v>69.485095180405594</v>
      </c>
      <c r="AL28" s="334">
        <v>10.897059586212601</v>
      </c>
      <c r="AM28" s="334">
        <v>10.9422928588085</v>
      </c>
      <c r="AN28" s="334">
        <v>316.883116883117</v>
      </c>
      <c r="AO28" s="334">
        <v>316.883116883117</v>
      </c>
      <c r="AP28" s="334">
        <v>0.43688642743010597</v>
      </c>
      <c r="AQ28" s="334">
        <v>0.43590888789638199</v>
      </c>
      <c r="AR28" s="334">
        <v>2.1001273903128901</v>
      </c>
      <c r="AS28" s="334">
        <v>2.1065354398687699</v>
      </c>
      <c r="AT28" s="499" t="s">
        <v>564</v>
      </c>
      <c r="AU28" s="401">
        <v>33.466223321924303</v>
      </c>
      <c r="AV28" s="334">
        <v>33.475099464947199</v>
      </c>
      <c r="AW28" s="334">
        <v>1.31199133261596</v>
      </c>
      <c r="AX28" s="334">
        <v>1.40512525194356</v>
      </c>
      <c r="AY28" s="334">
        <v>32.529755286378297</v>
      </c>
      <c r="AZ28" s="334">
        <v>32.530730874863302</v>
      </c>
      <c r="BA28" s="334">
        <v>8.4387771730699904E-2</v>
      </c>
      <c r="BB28" s="334">
        <v>8.4610583258201005E-2</v>
      </c>
      <c r="BC28" s="334">
        <v>90.587270271411995</v>
      </c>
      <c r="BD28" s="334">
        <v>91.1331889146186</v>
      </c>
      <c r="BE28" s="334">
        <v>11.273753151074599</v>
      </c>
      <c r="BF28" s="334">
        <v>11.4291067497307</v>
      </c>
      <c r="BG28" s="334">
        <v>0.411018906805035</v>
      </c>
      <c r="BH28" s="334">
        <v>0.41296437336041297</v>
      </c>
      <c r="BI28" s="499" t="s">
        <v>564</v>
      </c>
      <c r="BJ28" s="540">
        <v>134.93847311484399</v>
      </c>
      <c r="BK28" s="540">
        <v>136.35093601564699</v>
      </c>
      <c r="BL28" s="540">
        <v>9.3810073048827408E-3</v>
      </c>
      <c r="BM28" s="540">
        <v>9.3810073048827408E-3</v>
      </c>
      <c r="BN28" s="540">
        <v>159.56087739124601</v>
      </c>
      <c r="BO28" s="540">
        <v>159.70676790155801</v>
      </c>
      <c r="BP28" s="540">
        <v>3.6106655508998702</v>
      </c>
      <c r="BQ28" s="540">
        <v>3.5998819710829202</v>
      </c>
      <c r="BR28" s="540">
        <v>33.215732134364998</v>
      </c>
      <c r="BS28" s="540">
        <v>33.217164016554101</v>
      </c>
      <c r="BT28" s="540">
        <v>122</v>
      </c>
      <c r="BU28" s="540">
        <v>122</v>
      </c>
      <c r="BV28" s="540">
        <v>152.874130218658</v>
      </c>
      <c r="BW28" s="540">
        <v>154.61669783406299</v>
      </c>
    </row>
    <row r="29" spans="1:75" s="1687" customFormat="1" ht="11.1" customHeight="1">
      <c r="A29" s="496" t="s">
        <v>556</v>
      </c>
      <c r="B29" s="541">
        <v>76.881815638043193</v>
      </c>
      <c r="C29" s="541">
        <v>76.914895645967206</v>
      </c>
      <c r="D29" s="541">
        <v>122</v>
      </c>
      <c r="E29" s="541">
        <v>122</v>
      </c>
      <c r="F29" s="541">
        <v>323.62559090340397</v>
      </c>
      <c r="G29" s="541">
        <v>323.56451399018698</v>
      </c>
      <c r="H29" s="541">
        <v>84.959990385121003</v>
      </c>
      <c r="I29" s="541">
        <v>85.2848654316672</v>
      </c>
      <c r="J29" s="541">
        <v>16.981827685685101</v>
      </c>
      <c r="K29" s="541">
        <v>16.787643193780301</v>
      </c>
      <c r="L29" s="541">
        <v>17.633214823196301</v>
      </c>
      <c r="M29" s="541">
        <v>17.5857123294582</v>
      </c>
      <c r="N29" s="541">
        <v>131.60304027438301</v>
      </c>
      <c r="O29" s="541">
        <v>131.778299717632</v>
      </c>
      <c r="P29" s="496" t="s">
        <v>556</v>
      </c>
      <c r="Q29" s="320">
        <v>15.695773530714</v>
      </c>
      <c r="R29" s="320">
        <v>15.6889977688187</v>
      </c>
      <c r="S29" s="320">
        <v>1.4087324221975699</v>
      </c>
      <c r="T29" s="320">
        <v>1.4244016345592501</v>
      </c>
      <c r="U29" s="320">
        <v>7.4104305373381201E-3</v>
      </c>
      <c r="V29" s="320">
        <v>7.3671497584541102E-3</v>
      </c>
      <c r="W29" s="320">
        <v>2.90342179182172E-3</v>
      </c>
      <c r="X29" s="320">
        <v>2.8970020777678799E-3</v>
      </c>
      <c r="Y29" s="320">
        <v>0.81696088254106003</v>
      </c>
      <c r="Z29" s="320">
        <v>0.80765284168018303</v>
      </c>
      <c r="AA29" s="320">
        <v>395.718820224463</v>
      </c>
      <c r="AB29" s="320">
        <v>395.59014267185501</v>
      </c>
      <c r="AC29" s="320">
        <v>27.501184692593799</v>
      </c>
      <c r="AD29" s="320">
        <v>27.536395440695198</v>
      </c>
      <c r="AE29" s="496" t="s">
        <v>556</v>
      </c>
      <c r="AF29" s="320">
        <v>5.8095238095238103E-2</v>
      </c>
      <c r="AG29" s="320">
        <v>5.8095238095238103E-2</v>
      </c>
      <c r="AH29" s="320">
        <v>1.0219299021541901</v>
      </c>
      <c r="AI29" s="320">
        <v>1.02304106503606</v>
      </c>
      <c r="AJ29" s="320">
        <v>69.835842335413005</v>
      </c>
      <c r="AK29" s="320">
        <v>69.899899467667296</v>
      </c>
      <c r="AL29" s="320">
        <v>11.376343682202201</v>
      </c>
      <c r="AM29" s="320">
        <v>11.5557660430973</v>
      </c>
      <c r="AN29" s="320">
        <v>316.89736957457899</v>
      </c>
      <c r="AO29" s="320">
        <v>316.883116883117</v>
      </c>
      <c r="AP29" s="320">
        <v>0.435632256996353</v>
      </c>
      <c r="AQ29" s="320">
        <v>0.43528677192043502</v>
      </c>
      <c r="AR29" s="320">
        <v>2.1248412747848602</v>
      </c>
      <c r="AS29" s="320">
        <v>2.1201352020645299</v>
      </c>
      <c r="AT29" s="496" t="s">
        <v>556</v>
      </c>
      <c r="AU29" s="495">
        <v>33.470878583308902</v>
      </c>
      <c r="AV29" s="320">
        <v>33.4682120567862</v>
      </c>
      <c r="AW29" s="320">
        <v>1.4150184158104799</v>
      </c>
      <c r="AX29" s="320">
        <v>1.4510853404698201</v>
      </c>
      <c r="AY29" s="320">
        <v>32.526344807694798</v>
      </c>
      <c r="AZ29" s="320">
        <v>32.522925997014298</v>
      </c>
      <c r="BA29" s="320">
        <v>8.3709544584847306E-2</v>
      </c>
      <c r="BB29" s="320">
        <v>8.3242358078602599E-2</v>
      </c>
      <c r="BC29" s="320">
        <v>91.307735690825595</v>
      </c>
      <c r="BD29" s="320">
        <v>91.075361128737299</v>
      </c>
      <c r="BE29" s="320">
        <v>11.999370715423201</v>
      </c>
      <c r="BF29" s="320">
        <v>12.1982922390865</v>
      </c>
      <c r="BG29" s="320">
        <v>0.41243911226903002</v>
      </c>
      <c r="BH29" s="320">
        <v>0.41181434599156103</v>
      </c>
      <c r="BI29" s="496" t="s">
        <v>556</v>
      </c>
      <c r="BJ29" s="541">
        <v>137.84514875281801</v>
      </c>
      <c r="BK29" s="541">
        <v>138.063713008544</v>
      </c>
      <c r="BL29" s="541">
        <v>9.3810073048827408E-3</v>
      </c>
      <c r="BM29" s="541">
        <v>9.3810073048827408E-3</v>
      </c>
      <c r="BN29" s="541">
        <v>161.99413408109999</v>
      </c>
      <c r="BO29" s="541">
        <v>162.10470369386101</v>
      </c>
      <c r="BP29" s="541">
        <v>3.6074077318139701</v>
      </c>
      <c r="BQ29" s="541">
        <v>3.5972283650302201</v>
      </c>
      <c r="BR29" s="541">
        <v>33.217181442909101</v>
      </c>
      <c r="BS29" s="541">
        <v>33.216259631353999</v>
      </c>
      <c r="BT29" s="541">
        <v>122</v>
      </c>
      <c r="BU29" s="541">
        <v>122</v>
      </c>
      <c r="BV29" s="541">
        <v>157.345504035809</v>
      </c>
      <c r="BW29" s="541">
        <v>157.97778492547701</v>
      </c>
    </row>
    <row r="30" spans="1:75" s="1687" customFormat="1" ht="11.1" customHeight="1">
      <c r="A30" s="499" t="s">
        <v>565</v>
      </c>
      <c r="B30" s="540">
        <v>76.655642218153503</v>
      </c>
      <c r="C30" s="540">
        <v>77.884782800751907</v>
      </c>
      <c r="D30" s="540">
        <v>122</v>
      </c>
      <c r="E30" s="540">
        <v>122</v>
      </c>
      <c r="F30" s="540">
        <v>323.63054284829798</v>
      </c>
      <c r="G30" s="540">
        <v>323.650351505505</v>
      </c>
      <c r="H30" s="540">
        <v>87.128452111227602</v>
      </c>
      <c r="I30" s="540">
        <v>88.191708533632095</v>
      </c>
      <c r="J30" s="540">
        <v>16.907739683344701</v>
      </c>
      <c r="K30" s="540">
        <v>16.9411503318799</v>
      </c>
      <c r="L30" s="540">
        <v>18.268301559367298</v>
      </c>
      <c r="M30" s="540">
        <v>18.608482112215199</v>
      </c>
      <c r="N30" s="540">
        <v>136.50837971894001</v>
      </c>
      <c r="O30" s="540">
        <v>138.90309973211501</v>
      </c>
      <c r="P30" s="499" t="s">
        <v>565</v>
      </c>
      <c r="Q30" s="334">
        <v>15.714307863649999</v>
      </c>
      <c r="R30" s="334">
        <v>15.7239797134885</v>
      </c>
      <c r="S30" s="334">
        <v>1.4238374444595701</v>
      </c>
      <c r="T30" s="334">
        <v>1.4326899928952701</v>
      </c>
      <c r="U30" s="334">
        <v>7.2768478488542798E-3</v>
      </c>
      <c r="V30" s="334">
        <v>7.2966507177033499E-3</v>
      </c>
      <c r="W30" s="334">
        <v>2.9031299866374501E-3</v>
      </c>
      <c r="X30" s="334">
        <v>2.9045890125587799E-3</v>
      </c>
      <c r="Y30" s="334">
        <v>0.84136432837806996</v>
      </c>
      <c r="Z30" s="334">
        <v>0.85698229839842699</v>
      </c>
      <c r="AA30" s="334">
        <v>397.19766895702901</v>
      </c>
      <c r="AB30" s="334">
        <v>398.23731026603599</v>
      </c>
      <c r="AC30" s="334">
        <v>27.6307406690302</v>
      </c>
      <c r="AD30" s="334">
        <v>28.2734646581692</v>
      </c>
      <c r="AE30" s="499" t="s">
        <v>565</v>
      </c>
      <c r="AF30" s="334">
        <v>5.8095238095238103E-2</v>
      </c>
      <c r="AG30" s="334">
        <v>5.8095238095238103E-2</v>
      </c>
      <c r="AH30" s="334">
        <v>1.0376886562514001</v>
      </c>
      <c r="AI30" s="334">
        <v>1.0434538665097499</v>
      </c>
      <c r="AJ30" s="334">
        <v>70.978190092680705</v>
      </c>
      <c r="AK30" s="334">
        <v>72.364299485796195</v>
      </c>
      <c r="AL30" s="334">
        <v>11.556103176707101</v>
      </c>
      <c r="AM30" s="334">
        <v>11.763514783941799</v>
      </c>
      <c r="AN30" s="334">
        <v>316.90053030486899</v>
      </c>
      <c r="AO30" s="334">
        <v>316.883116883117</v>
      </c>
      <c r="AP30" s="334">
        <v>0.43474902357857598</v>
      </c>
      <c r="AQ30" s="334">
        <v>0.43397065362383302</v>
      </c>
      <c r="AR30" s="334">
        <v>2.1437038888215398</v>
      </c>
      <c r="AS30" s="334">
        <v>2.1827810777928902</v>
      </c>
      <c r="AT30" s="499" t="s">
        <v>565</v>
      </c>
      <c r="AU30" s="401">
        <v>33.463025471857897</v>
      </c>
      <c r="AV30" s="334">
        <v>33.467293949826498</v>
      </c>
      <c r="AW30" s="334">
        <v>1.4617789040300699</v>
      </c>
      <c r="AX30" s="334">
        <v>1.48780487804878</v>
      </c>
      <c r="AY30" s="334">
        <v>32.513644829708198</v>
      </c>
      <c r="AZ30" s="334">
        <v>32.525527206803702</v>
      </c>
      <c r="BA30" s="334">
        <v>8.4626017705434403E-2</v>
      </c>
      <c r="BB30" s="334">
        <v>8.5380362516621205E-2</v>
      </c>
      <c r="BC30" s="334">
        <v>92.079938761934201</v>
      </c>
      <c r="BD30" s="334">
        <v>93.229405471496193</v>
      </c>
      <c r="BE30" s="334">
        <v>12.449385881092001</v>
      </c>
      <c r="BF30" s="334">
        <v>12.6482541262337</v>
      </c>
      <c r="BG30" s="334">
        <v>0.40880699089251898</v>
      </c>
      <c r="BH30" s="334">
        <v>0.40734557595993298</v>
      </c>
      <c r="BI30" s="499" t="s">
        <v>565</v>
      </c>
      <c r="BJ30" s="540">
        <v>145.603295875691</v>
      </c>
      <c r="BK30" s="540">
        <v>148.08520968622901</v>
      </c>
      <c r="BL30" s="540">
        <v>9.3810073048827408E-3</v>
      </c>
      <c r="BM30" s="540">
        <v>9.3810073048827408E-3</v>
      </c>
      <c r="BN30" s="540">
        <v>164.532617339241</v>
      </c>
      <c r="BO30" s="540">
        <v>165.44616219148401</v>
      </c>
      <c r="BP30" s="540">
        <v>3.61794596249739</v>
      </c>
      <c r="BQ30" s="540">
        <v>3.6510549154571299</v>
      </c>
      <c r="BR30" s="540">
        <v>33.2154249070541</v>
      </c>
      <c r="BS30" s="540">
        <v>33.214451008684797</v>
      </c>
      <c r="BT30" s="540">
        <v>122</v>
      </c>
      <c r="BU30" s="540">
        <v>122</v>
      </c>
      <c r="BV30" s="540">
        <v>159.995722336656</v>
      </c>
      <c r="BW30" s="540">
        <v>163.571497952638</v>
      </c>
    </row>
    <row r="31" spans="1:75" s="1687" customFormat="1" ht="11.1" customHeight="1">
      <c r="A31" s="496" t="s">
        <v>566</v>
      </c>
      <c r="B31" s="541">
        <v>78.748696936919998</v>
      </c>
      <c r="C31" s="541">
        <v>78.987828087754806</v>
      </c>
      <c r="D31" s="541">
        <v>122.33875</v>
      </c>
      <c r="E31" s="541">
        <v>122.9</v>
      </c>
      <c r="F31" s="541">
        <v>324.49060438442501</v>
      </c>
      <c r="G31" s="541">
        <v>325.99469496021197</v>
      </c>
      <c r="H31" s="541">
        <v>88.252056337247296</v>
      </c>
      <c r="I31" s="541">
        <v>88.823040508799195</v>
      </c>
      <c r="J31" s="541">
        <v>17.0004139005183</v>
      </c>
      <c r="K31" s="541">
        <v>17.091520992392901</v>
      </c>
      <c r="L31" s="541">
        <v>18.500221494946199</v>
      </c>
      <c r="M31" s="541">
        <v>18.611342469902301</v>
      </c>
      <c r="N31" s="541">
        <v>138.02261573402799</v>
      </c>
      <c r="O31" s="541">
        <v>138.790968911715</v>
      </c>
      <c r="P31" s="496" t="s">
        <v>566</v>
      </c>
      <c r="Q31" s="320">
        <v>15.6851212620313</v>
      </c>
      <c r="R31" s="320">
        <v>15.6788201974842</v>
      </c>
      <c r="S31" s="320">
        <v>1.4369105848789701</v>
      </c>
      <c r="T31" s="320">
        <v>1.4388826122334299</v>
      </c>
      <c r="U31" s="320">
        <v>7.4489013841559596E-3</v>
      </c>
      <c r="V31" s="320">
        <v>7.5445058317986499E-3</v>
      </c>
      <c r="W31" s="320">
        <v>2.91265400868996E-3</v>
      </c>
      <c r="X31" s="320">
        <v>2.9260163085530599E-3</v>
      </c>
      <c r="Y31" s="320">
        <v>0.846905837447535</v>
      </c>
      <c r="Z31" s="320">
        <v>0.84855180032450706</v>
      </c>
      <c r="AA31" s="320">
        <v>398.64427966197701</v>
      </c>
      <c r="AB31" s="320">
        <v>400.26054388536102</v>
      </c>
      <c r="AC31" s="320">
        <v>28.6754224134773</v>
      </c>
      <c r="AD31" s="320">
        <v>28.9961071133656</v>
      </c>
      <c r="AE31" s="496" t="s">
        <v>566</v>
      </c>
      <c r="AF31" s="320">
        <v>5.8256547619047597E-2</v>
      </c>
      <c r="AG31" s="320">
        <v>5.8523809523809499E-2</v>
      </c>
      <c r="AH31" s="320">
        <v>1.0449833255174299</v>
      </c>
      <c r="AI31" s="320">
        <v>1.0536350839050199</v>
      </c>
      <c r="AJ31" s="320">
        <v>72.657576720011903</v>
      </c>
      <c r="AK31" s="320">
        <v>73.340574485127803</v>
      </c>
      <c r="AL31" s="320">
        <v>11.885236626113</v>
      </c>
      <c r="AM31" s="320">
        <v>12.062264447236201</v>
      </c>
      <c r="AN31" s="320">
        <v>317.77329283344102</v>
      </c>
      <c r="AO31" s="320">
        <v>319.17932736008299</v>
      </c>
      <c r="AP31" s="320">
        <v>0.43412060780508099</v>
      </c>
      <c r="AQ31" s="320">
        <v>0.43465959328028297</v>
      </c>
      <c r="AR31" s="320">
        <v>2.1987816712707899</v>
      </c>
      <c r="AS31" s="320">
        <v>2.2066216604424</v>
      </c>
      <c r="AT31" s="496" t="s">
        <v>566</v>
      </c>
      <c r="AU31" s="495">
        <v>33.5647007060196</v>
      </c>
      <c r="AV31" s="320">
        <v>33.725285731926498</v>
      </c>
      <c r="AW31" s="320">
        <v>1.5159157042748801</v>
      </c>
      <c r="AX31" s="320">
        <v>1.53865414710485</v>
      </c>
      <c r="AY31" s="320">
        <v>32.617655900767403</v>
      </c>
      <c r="AZ31" s="320">
        <v>32.765469620624401</v>
      </c>
      <c r="BA31" s="320">
        <v>8.7844439958072507E-2</v>
      </c>
      <c r="BB31" s="320">
        <v>8.8898533427367601E-2</v>
      </c>
      <c r="BC31" s="320">
        <v>94.486209534996703</v>
      </c>
      <c r="BD31" s="320">
        <v>95.323043511983201</v>
      </c>
      <c r="BE31" s="320">
        <v>12.675175744244999</v>
      </c>
      <c r="BF31" s="320">
        <v>12.688678271283701</v>
      </c>
      <c r="BG31" s="320">
        <v>0.40877144667855903</v>
      </c>
      <c r="BH31" s="320">
        <v>0.41041910168642498</v>
      </c>
      <c r="BI31" s="496" t="s">
        <v>566</v>
      </c>
      <c r="BJ31" s="541">
        <v>147.58314207471099</v>
      </c>
      <c r="BK31" s="541">
        <v>148.52861200072499</v>
      </c>
      <c r="BL31" s="541">
        <v>9.4070549788542908E-3</v>
      </c>
      <c r="BM31" s="541">
        <v>9.4502114571318706E-3</v>
      </c>
      <c r="BN31" s="541">
        <v>165.567969513441</v>
      </c>
      <c r="BO31" s="541">
        <v>166.73450006783301</v>
      </c>
      <c r="BP31" s="541">
        <v>3.71133174280381</v>
      </c>
      <c r="BQ31" s="541">
        <v>3.7423873325213202</v>
      </c>
      <c r="BR31" s="541">
        <v>33.308460069724198</v>
      </c>
      <c r="BS31" s="541">
        <v>33.464030931765002</v>
      </c>
      <c r="BT31" s="541">
        <v>122.33875</v>
      </c>
      <c r="BU31" s="541">
        <v>122.9</v>
      </c>
      <c r="BV31" s="541">
        <v>163.53222327136399</v>
      </c>
      <c r="BW31" s="541">
        <v>165.58931294763801</v>
      </c>
    </row>
    <row r="32" spans="1:75" s="1687" customFormat="1" ht="11.1" customHeight="1">
      <c r="A32" s="499" t="s">
        <v>557</v>
      </c>
      <c r="B32" s="540">
        <v>79.604375093954602</v>
      </c>
      <c r="C32" s="540">
        <v>80.178213279993898</v>
      </c>
      <c r="D32" s="540">
        <v>122.872307692308</v>
      </c>
      <c r="E32" s="540">
        <v>122.77500000000001</v>
      </c>
      <c r="F32" s="540">
        <v>325.831594443852</v>
      </c>
      <c r="G32" s="540">
        <v>325.53360731804298</v>
      </c>
      <c r="H32" s="540">
        <v>89.679582002080295</v>
      </c>
      <c r="I32" s="540">
        <v>89.734687911124098</v>
      </c>
      <c r="J32" s="540">
        <v>17.118224369089099</v>
      </c>
      <c r="K32" s="540">
        <v>17.150699857513999</v>
      </c>
      <c r="L32" s="540">
        <v>18.9148821402785</v>
      </c>
      <c r="M32" s="540">
        <v>19.2872627874827</v>
      </c>
      <c r="N32" s="540">
        <v>141.104851466816</v>
      </c>
      <c r="O32" s="540">
        <v>143.89229895243199</v>
      </c>
      <c r="P32" s="499" t="s">
        <v>557</v>
      </c>
      <c r="Q32" s="334">
        <v>15.6579492160032</v>
      </c>
      <c r="R32" s="334">
        <v>15.640326628364701</v>
      </c>
      <c r="S32" s="334">
        <v>1.43025402994328</v>
      </c>
      <c r="T32" s="334">
        <v>1.43672108127084</v>
      </c>
      <c r="U32" s="334">
        <v>7.5359111503634198E-3</v>
      </c>
      <c r="V32" s="334">
        <v>7.5635299553365202E-3</v>
      </c>
      <c r="W32" s="334">
        <v>2.9248032551836001E-3</v>
      </c>
      <c r="X32" s="334">
        <v>2.9230402952205199E-3</v>
      </c>
      <c r="Y32" s="334">
        <v>0.85002072456590305</v>
      </c>
      <c r="Z32" s="334">
        <v>0.84868489268309499</v>
      </c>
      <c r="AA32" s="334">
        <v>401.11306178649397</v>
      </c>
      <c r="AB32" s="334">
        <v>401.88216039279899</v>
      </c>
      <c r="AC32" s="334">
        <v>28.930387514069999</v>
      </c>
      <c r="AD32" s="334">
        <v>29.114299264880199</v>
      </c>
      <c r="AE32" s="1378" t="s">
        <v>557</v>
      </c>
      <c r="AF32" s="334">
        <v>5.8510622710622698E-2</v>
      </c>
      <c r="AG32" s="334">
        <v>5.8464285714285698E-2</v>
      </c>
      <c r="AH32" s="334">
        <v>1.0575047525900401</v>
      </c>
      <c r="AI32" s="334">
        <v>1.06465635728402</v>
      </c>
      <c r="AJ32" s="334">
        <v>73.812900158275696</v>
      </c>
      <c r="AK32" s="334">
        <v>74.358678243209795</v>
      </c>
      <c r="AL32" s="334">
        <v>12.176535589491101</v>
      </c>
      <c r="AM32" s="334">
        <v>12.1792741539484</v>
      </c>
      <c r="AN32" s="334">
        <v>319.10901587818802</v>
      </c>
      <c r="AO32" s="334">
        <v>318.89610389610402</v>
      </c>
      <c r="AP32" s="334">
        <v>0.43391579907736599</v>
      </c>
      <c r="AQ32" s="334">
        <v>0.43283976731887902</v>
      </c>
      <c r="AR32" s="334">
        <v>2.1811892076047199</v>
      </c>
      <c r="AS32" s="334">
        <v>2.1792186584781401</v>
      </c>
      <c r="AT32" s="499" t="s">
        <v>557</v>
      </c>
      <c r="AU32" s="401">
        <v>33.709896348208702</v>
      </c>
      <c r="AV32" s="334">
        <v>33.684051688660901</v>
      </c>
      <c r="AW32" s="334">
        <v>1.5619887614449399</v>
      </c>
      <c r="AX32" s="334">
        <v>1.5640127388534999</v>
      </c>
      <c r="AY32" s="334">
        <v>32.754329763310899</v>
      </c>
      <c r="AZ32" s="334">
        <v>32.7356352486335</v>
      </c>
      <c r="BA32" s="334">
        <v>8.9659202437291405E-2</v>
      </c>
      <c r="BB32" s="334">
        <v>9.0592141671278395E-2</v>
      </c>
      <c r="BC32" s="334">
        <v>95.589761615130897</v>
      </c>
      <c r="BD32" s="334">
        <v>96.222422508719006</v>
      </c>
      <c r="BE32" s="334">
        <v>12.830143751380501</v>
      </c>
      <c r="BF32" s="334">
        <v>12.9484907928874</v>
      </c>
      <c r="BG32" s="334">
        <v>0.40970739877684398</v>
      </c>
      <c r="BH32" s="334">
        <v>0.40959132610508697</v>
      </c>
      <c r="BI32" s="499" t="s">
        <v>557</v>
      </c>
      <c r="BJ32" s="540">
        <v>150.50183805021399</v>
      </c>
      <c r="BK32" s="540">
        <v>153.64159679639599</v>
      </c>
      <c r="BL32" s="540">
        <v>9.4480820986011307E-3</v>
      </c>
      <c r="BM32" s="540">
        <v>9.4405997693194892E-3</v>
      </c>
      <c r="BN32" s="540">
        <v>167.634847953925</v>
      </c>
      <c r="BO32" s="540">
        <v>168.693322341303</v>
      </c>
      <c r="BP32" s="540">
        <v>3.76456732032588</v>
      </c>
      <c r="BQ32" s="540">
        <v>3.7701520036849399</v>
      </c>
      <c r="BR32" s="540">
        <v>33.456665367367897</v>
      </c>
      <c r="BS32" s="540">
        <v>33.430905377808003</v>
      </c>
      <c r="BT32" s="540">
        <v>122.872307692308</v>
      </c>
      <c r="BU32" s="540">
        <v>122.77500000000001</v>
      </c>
      <c r="BV32" s="540">
        <v>166.30110358326101</v>
      </c>
      <c r="BW32" s="540">
        <v>168.392049235901</v>
      </c>
    </row>
    <row r="33" spans="1:75" s="1687" customFormat="1" ht="11.1" customHeight="1">
      <c r="A33" s="501" t="s">
        <v>2664</v>
      </c>
      <c r="B33" s="613">
        <f>AVERAGE(B34:B45)</f>
        <v>82.981521665015734</v>
      </c>
      <c r="C33" s="613">
        <f>C45</f>
        <v>84.606793216204395</v>
      </c>
      <c r="D33" s="613">
        <f t="shared" ref="D33" si="67">AVERAGE(D34:D45)</f>
        <v>122.29506460707491</v>
      </c>
      <c r="E33" s="613">
        <f t="shared" ref="E33" si="68">E45</f>
        <v>122.85</v>
      </c>
      <c r="F33" s="613">
        <f t="shared" ref="F33" si="69">AVERAGE(F34:F45)</f>
        <v>324.29925268854953</v>
      </c>
      <c r="G33" s="613">
        <f t="shared" ref="G33" si="70">G45</f>
        <v>325.86206896551698</v>
      </c>
      <c r="H33" s="613">
        <f t="shared" ref="H33" si="71">AVERAGE(H34:H45)</f>
        <v>88.517805621108963</v>
      </c>
      <c r="I33" s="613">
        <f t="shared" ref="I33" si="72">I45</f>
        <v>86.450160092889107</v>
      </c>
      <c r="J33" s="613">
        <f>AVERAGE(J34:J45)</f>
        <v>17.472594886301177</v>
      </c>
      <c r="K33" s="613">
        <f t="shared" ref="K33" si="73">K45</f>
        <v>18.037263797735999</v>
      </c>
      <c r="L33" s="613">
        <f t="shared" ref="L33" si="74">AVERAGE(L34:L45)</f>
        <v>19.097782168720443</v>
      </c>
      <c r="M33" s="613">
        <f t="shared" ref="M33" si="75">M45</f>
        <v>18.773208637051301</v>
      </c>
      <c r="N33" s="613">
        <f t="shared" ref="N33" si="76">AVERAGE(N34:N45)</f>
        <v>142.63644502892757</v>
      </c>
      <c r="O33" s="613">
        <f t="shared" ref="O33" si="77">O45</f>
        <v>140.31926569777599</v>
      </c>
      <c r="P33" s="501" t="s">
        <v>2664</v>
      </c>
      <c r="Q33" s="556">
        <f t="shared" ref="Q33" si="78">AVERAGE(Q34:Q45)</f>
        <v>15.655823438423475</v>
      </c>
      <c r="R33" s="556">
        <f t="shared" ref="R33" si="79">R45</f>
        <v>15.668343823535</v>
      </c>
      <c r="S33" s="556">
        <f t="shared" ref="S33" si="80">AVERAGE(S34:S45)</f>
        <v>1.3515330250382318</v>
      </c>
      <c r="T33" s="556">
        <f t="shared" ref="T33" si="81">T45</f>
        <v>1.2993812470252299</v>
      </c>
      <c r="U33" s="556">
        <f t="shared" ref="U33" si="82">AVERAGE(U34:U45)</f>
        <v>7.2605969974798802E-3</v>
      </c>
      <c r="V33" s="556">
        <f t="shared" ref="V33" si="83">V45</f>
        <v>6.8637036623180698E-3</v>
      </c>
      <c r="W33" s="556">
        <f t="shared" ref="W33" si="84">AVERAGE(W34:W45)</f>
        <v>2.2207316613185512E-3</v>
      </c>
      <c r="X33" s="556">
        <f t="shared" ref="X33" si="85">X45</f>
        <v>8.9325640494290407E-5</v>
      </c>
      <c r="Y33" s="556">
        <f t="shared" ref="Y33" si="86">AVERAGE(Y34:Y45)</f>
        <v>0.79255828759714397</v>
      </c>
      <c r="Z33" s="556">
        <f t="shared" ref="Z33" si="87">Z45</f>
        <v>0.75859087961962401</v>
      </c>
      <c r="AA33" s="556">
        <f t="shared" ref="AA33" si="88">AVERAGE(AA34:AA45)</f>
        <v>399.34579406328538</v>
      </c>
      <c r="AB33" s="556">
        <f t="shared" ref="AB33" si="89">AB45</f>
        <v>398.92839746712099</v>
      </c>
      <c r="AC33" s="556">
        <f t="shared" ref="AC33" si="90">AVERAGE(AC34:AC45)</f>
        <v>29.952709696596603</v>
      </c>
      <c r="AD33" s="556">
        <f t="shared" ref="AD33" si="91">AD45</f>
        <v>30.184275184275201</v>
      </c>
      <c r="AE33" s="501" t="s">
        <v>2664</v>
      </c>
      <c r="AF33" s="556">
        <f t="shared" ref="AF33" si="92">AVERAGE(AF34:AF45)</f>
        <v>5.8235745050988115E-2</v>
      </c>
      <c r="AG33" s="556">
        <f t="shared" ref="AG33" si="93">AG45</f>
        <v>5.8500000000000003E-2</v>
      </c>
      <c r="AH33" s="556">
        <f t="shared" ref="AH33" si="94">AVERAGE(AH34:AH45)</f>
        <v>1.0554664864406416</v>
      </c>
      <c r="AI33" s="556">
        <f t="shared" ref="AI33" si="95">AI45</f>
        <v>1.0519654671034899</v>
      </c>
      <c r="AJ33" s="556">
        <f t="shared" ref="AJ33" si="96">AVERAGE(AJ34:AJ45)</f>
        <v>71.530253762417956</v>
      </c>
      <c r="AK33" s="556">
        <f t="shared" ref="AK33" si="97">AK45</f>
        <v>69.416387608176294</v>
      </c>
      <c r="AL33" s="556">
        <f t="shared" ref="AL33" si="98">AVERAGE(AL34:AL45)</f>
        <v>12.434557684370835</v>
      </c>
      <c r="AM33" s="556">
        <f t="shared" ref="AM33" si="99">AM45</f>
        <v>12.372909522154901</v>
      </c>
      <c r="AN33" s="556">
        <f t="shared" ref="AN33" si="100">AVERAGE(AN34:AN45)</f>
        <v>317.64710737504657</v>
      </c>
      <c r="AO33" s="556">
        <f t="shared" ref="AO33" si="101">AO45</f>
        <v>319.09090909090901</v>
      </c>
      <c r="AP33" s="556">
        <f t="shared" ref="AP33" si="102">AVERAGE(AP34:AP45)</f>
        <v>0.43479258290978356</v>
      </c>
      <c r="AQ33" s="556">
        <f t="shared" ref="AQ33" si="103">AQ45</f>
        <v>0.441906474820144</v>
      </c>
      <c r="AR33" s="556">
        <f t="shared" ref="AR33" si="104">AVERAGE(AR34:AR45)</f>
        <v>2.0763582116126496</v>
      </c>
      <c r="AS33" s="556">
        <f t="shared" ref="AS33" si="105">AS45</f>
        <v>2.0037350861597898</v>
      </c>
      <c r="AT33" s="501" t="s">
        <v>2664</v>
      </c>
      <c r="AU33" s="489">
        <f t="shared" ref="AU33" si="106">AVERAGE(AU34:AU45)</f>
        <v>33.540405011988639</v>
      </c>
      <c r="AV33" s="556">
        <f t="shared" ref="AV33" si="107">AV45</f>
        <v>33.703241382148398</v>
      </c>
      <c r="AW33" s="556">
        <f t="shared" ref="AW33" si="108">AVERAGE(AW34:AW45)</f>
        <v>1.5638908136071652</v>
      </c>
      <c r="AX33" s="556">
        <f t="shared" ref="AX33" si="109">AX45</f>
        <v>1.5954545454545499</v>
      </c>
      <c r="AY33" s="556">
        <f t="shared" ref="AY33" si="110">AVERAGE(AY34:AY45)</f>
        <v>32.598259253655542</v>
      </c>
      <c r="AZ33" s="556">
        <f t="shared" ref="AZ33" si="111">AZ45</f>
        <v>32.713764546108202</v>
      </c>
      <c r="BA33" s="556">
        <f t="shared" ref="BA33" si="112">AVERAGE(BA34:BA45)</f>
        <v>8.4369755826461001E-2</v>
      </c>
      <c r="BB33" s="556">
        <f t="shared" ref="BB33" si="113">BB45</f>
        <v>7.9353288462283803E-2</v>
      </c>
      <c r="BC33" s="556">
        <f t="shared" ref="BC33" si="114">AVERAGE(BC34:BC45)</f>
        <v>95.243539707098066</v>
      </c>
      <c r="BD33" s="556">
        <f t="shared" ref="BD33" si="115">BD45</f>
        <v>95.015275145984006</v>
      </c>
      <c r="BE33" s="556">
        <f t="shared" ref="BE33" si="116">AVERAGE(BE34:BE45)</f>
        <v>13.072135271805047</v>
      </c>
      <c r="BF33" s="556">
        <f t="shared" ref="BF33" si="117">BF45</f>
        <v>12.625380251582699</v>
      </c>
      <c r="BG33" s="556">
        <f t="shared" ref="BG33" si="118">AVERAGE(BG34:BG45)</f>
        <v>0.39377376389600866</v>
      </c>
      <c r="BH33" s="556">
        <f t="shared" ref="BH33" si="119">BH45</f>
        <v>0.365897244973939</v>
      </c>
      <c r="BI33" s="501" t="s">
        <v>2664</v>
      </c>
      <c r="BJ33" s="613">
        <f t="shared" ref="BJ33" si="120">AVERAGE(BJ34:BJ45)</f>
        <v>154.19422043103785</v>
      </c>
      <c r="BK33" s="613">
        <f t="shared" ref="BK33" si="121">BK45</f>
        <v>152.10796756020599</v>
      </c>
      <c r="BL33" s="613">
        <f t="shared" ref="BL33" si="122">AVERAGE(BL34:BL45)</f>
        <v>0.52217516248770168</v>
      </c>
      <c r="BM33" s="613">
        <f t="shared" ref="BM33" si="123">BM45</f>
        <v>1.0636363636363599</v>
      </c>
      <c r="BN33" s="613">
        <f t="shared" ref="BN33" si="124">AVERAGE(BN34:BN45)</f>
        <v>167.16712811973974</v>
      </c>
      <c r="BO33" s="613">
        <f t="shared" ref="BO33" si="125">BO45</f>
        <v>166.59886086249</v>
      </c>
      <c r="BP33" s="613">
        <f t="shared" ref="BP33" si="126">AVERAGE(BP34:BP45)</f>
        <v>3.8043984289653259</v>
      </c>
      <c r="BQ33" s="613">
        <f t="shared" ref="BQ33" si="127">BQ45</f>
        <v>3.6925157799819699</v>
      </c>
      <c r="BR33" s="613">
        <f t="shared" ref="BR33" si="128">AVERAGE(BR34:BR45)</f>
        <v>33.297819048715034</v>
      </c>
      <c r="BS33" s="613">
        <f t="shared" ref="BS33" si="129">BS45</f>
        <v>33.449505813161998</v>
      </c>
      <c r="BT33" s="613">
        <f t="shared" ref="BT33" si="130">AVERAGE(BT34:BT45)</f>
        <v>122.29506460707491</v>
      </c>
      <c r="BU33" s="613">
        <f t="shared" ref="BU33" si="131">BU45</f>
        <v>122.85</v>
      </c>
      <c r="BV33" s="613">
        <f t="shared" ref="BV33" si="132">AVERAGE(BV34:BV45)</f>
        <v>164.12842272599133</v>
      </c>
      <c r="BW33" s="613">
        <f t="shared" ref="BW33" si="133">BW45</f>
        <v>162.86838541504801</v>
      </c>
    </row>
    <row r="34" spans="1:75" s="1687" customFormat="1" ht="11.1" customHeight="1">
      <c r="A34" s="499" t="s">
        <v>559</v>
      </c>
      <c r="B34" s="540">
        <v>79.834503242056897</v>
      </c>
      <c r="C34" s="540">
        <v>78.878227593968603</v>
      </c>
      <c r="D34" s="540">
        <v>121.963703703704</v>
      </c>
      <c r="E34" s="540">
        <v>122.61499999999999</v>
      </c>
      <c r="F34" s="540">
        <v>323.51113483758502</v>
      </c>
      <c r="G34" s="540">
        <v>325.23872679045098</v>
      </c>
      <c r="H34" s="540">
        <v>89.210449360761302</v>
      </c>
      <c r="I34" s="540">
        <v>88.668329898398198</v>
      </c>
      <c r="J34" s="540">
        <v>17.060880479099399</v>
      </c>
      <c r="K34" s="540">
        <v>17.150390242537799</v>
      </c>
      <c r="L34" s="540">
        <v>19.117453845936399</v>
      </c>
      <c r="M34" s="540">
        <v>18.735722635209999</v>
      </c>
      <c r="N34" s="540">
        <v>142.66678895986101</v>
      </c>
      <c r="O34" s="540">
        <v>139.848535831134</v>
      </c>
      <c r="P34" s="499" t="s">
        <v>559</v>
      </c>
      <c r="Q34" s="334">
        <v>15.537465464243301</v>
      </c>
      <c r="R34" s="334">
        <v>15.6200436951024</v>
      </c>
      <c r="S34" s="334">
        <v>1.4169460604514701</v>
      </c>
      <c r="T34" s="334">
        <v>1.3982620793467999</v>
      </c>
      <c r="U34" s="334">
        <v>7.4923535672606102E-3</v>
      </c>
      <c r="V34" s="334">
        <v>7.4492709599027901E-3</v>
      </c>
      <c r="W34" s="334">
        <v>2.9037248664651799E-3</v>
      </c>
      <c r="X34" s="334">
        <v>2.91923099815487E-3</v>
      </c>
      <c r="Y34" s="334">
        <v>0.83144505459136497</v>
      </c>
      <c r="Z34" s="334">
        <v>0.82013979465569697</v>
      </c>
      <c r="AA34" s="334">
        <v>399.33910739648297</v>
      </c>
      <c r="AB34" s="334">
        <v>400.89913356220399</v>
      </c>
      <c r="AC34" s="334">
        <v>28.794747955100298</v>
      </c>
      <c r="AD34" s="334">
        <v>28.8234602726845</v>
      </c>
      <c r="AE34" s="499" t="s">
        <v>559</v>
      </c>
      <c r="AF34" s="334">
        <v>5.8077954144620803E-2</v>
      </c>
      <c r="AG34" s="334">
        <v>5.8388095238095197E-2</v>
      </c>
      <c r="AH34" s="334">
        <v>1.0554328801328301</v>
      </c>
      <c r="AI34" s="334">
        <v>1.0547526881720399</v>
      </c>
      <c r="AJ34" s="334">
        <v>73.286180637100898</v>
      </c>
      <c r="AK34" s="334">
        <v>72.269272678656293</v>
      </c>
      <c r="AL34" s="334">
        <v>12.026309636727399</v>
      </c>
      <c r="AM34" s="334">
        <v>11.8683605565638</v>
      </c>
      <c r="AN34" s="334">
        <v>316.78575392473402</v>
      </c>
      <c r="AO34" s="334">
        <v>318.48051948051898</v>
      </c>
      <c r="AP34" s="334">
        <v>0.42911075126065901</v>
      </c>
      <c r="AQ34" s="334">
        <v>0.43212334801762098</v>
      </c>
      <c r="AR34" s="334">
        <v>2.1475529556384498</v>
      </c>
      <c r="AS34" s="334">
        <v>2.1058461855528501</v>
      </c>
      <c r="AT34" s="499" t="s">
        <v>559</v>
      </c>
      <c r="AU34" s="401">
        <v>33.456917490854799</v>
      </c>
      <c r="AV34" s="334">
        <v>33.638308962717097</v>
      </c>
      <c r="AW34" s="334">
        <v>1.5487028451862901</v>
      </c>
      <c r="AX34" s="334">
        <v>1.5201462930820699</v>
      </c>
      <c r="AY34" s="334">
        <v>32.516476293493902</v>
      </c>
      <c r="AZ34" s="334">
        <v>32.686873533802498</v>
      </c>
      <c r="BA34" s="334">
        <v>8.8595508751332305E-2</v>
      </c>
      <c r="BB34" s="334">
        <v>8.7957217563467097E-2</v>
      </c>
      <c r="BC34" s="334">
        <v>95.262241412311198</v>
      </c>
      <c r="BD34" s="334">
        <v>94.530105620229705</v>
      </c>
      <c r="BE34" s="334">
        <v>12.7361018535002</v>
      </c>
      <c r="BF34" s="334">
        <v>12.526498066598901</v>
      </c>
      <c r="BG34" s="334">
        <v>0.40512709136784297</v>
      </c>
      <c r="BH34" s="334">
        <v>0.40577479937122501</v>
      </c>
      <c r="BI34" s="499" t="s">
        <v>559</v>
      </c>
      <c r="BJ34" s="540">
        <v>153.00611159332701</v>
      </c>
      <c r="BK34" s="540">
        <v>150.49401656949999</v>
      </c>
      <c r="BL34" s="540">
        <v>9.3782163555327699E-3</v>
      </c>
      <c r="BM34" s="540">
        <v>9.4282968089196492E-3</v>
      </c>
      <c r="BN34" s="540">
        <v>166.99125216964501</v>
      </c>
      <c r="BO34" s="540">
        <v>166.12247662918301</v>
      </c>
      <c r="BP34" s="540">
        <v>3.7615136872359298</v>
      </c>
      <c r="BQ34" s="540">
        <v>3.7479749350450899</v>
      </c>
      <c r="BR34" s="540">
        <v>33.2083392952959</v>
      </c>
      <c r="BS34" s="540">
        <v>33.386429232696202</v>
      </c>
      <c r="BT34" s="540">
        <v>121.963703703704</v>
      </c>
      <c r="BU34" s="540">
        <v>122.61499999999999</v>
      </c>
      <c r="BV34" s="540">
        <v>164.83354803885101</v>
      </c>
      <c r="BW34" s="540">
        <v>162.317728663884</v>
      </c>
    </row>
    <row r="35" spans="1:75" s="1687" customFormat="1" ht="11.1" customHeight="1">
      <c r="A35" s="496" t="s">
        <v>560</v>
      </c>
      <c r="B35" s="541">
        <v>79.0531976963521</v>
      </c>
      <c r="C35" s="541">
        <v>79.558637815457502</v>
      </c>
      <c r="D35" s="541">
        <v>121.718653846154</v>
      </c>
      <c r="E35" s="541">
        <v>121.64</v>
      </c>
      <c r="F35" s="541">
        <v>322.846325786835</v>
      </c>
      <c r="G35" s="541">
        <v>322.65251989389901</v>
      </c>
      <c r="H35" s="541">
        <v>88.210568777173407</v>
      </c>
      <c r="I35" s="541">
        <v>88.497635503819595</v>
      </c>
      <c r="J35" s="541">
        <v>17.069064505708202</v>
      </c>
      <c r="K35" s="541">
        <v>17.1251583837815</v>
      </c>
      <c r="L35" s="541">
        <v>18.987571022646001</v>
      </c>
      <c r="M35" s="541">
        <v>19.0431460955601</v>
      </c>
      <c r="N35" s="541">
        <v>141.70789877154201</v>
      </c>
      <c r="O35" s="541">
        <v>142.14849983638501</v>
      </c>
      <c r="P35" s="496" t="s">
        <v>560</v>
      </c>
      <c r="Q35" s="320">
        <v>15.547827648882199</v>
      </c>
      <c r="R35" s="320">
        <v>15.6003719259995</v>
      </c>
      <c r="S35" s="320">
        <v>1.3912701378593799</v>
      </c>
      <c r="T35" s="320">
        <v>1.37954499058679</v>
      </c>
      <c r="U35" s="320">
        <v>7.4665377798050301E-3</v>
      </c>
      <c r="V35" s="320">
        <v>7.3765918738629499E-3</v>
      </c>
      <c r="W35" s="320">
        <v>2.89667910246298E-3</v>
      </c>
      <c r="X35" s="320">
        <v>2.8927467300832298E-3</v>
      </c>
      <c r="Y35" s="320">
        <v>0.82506167619272397</v>
      </c>
      <c r="Z35" s="320">
        <v>0.82722975959740197</v>
      </c>
      <c r="AA35" s="320">
        <v>398.35418056797999</v>
      </c>
      <c r="AB35" s="320">
        <v>398.10178366879398</v>
      </c>
      <c r="AC35" s="320">
        <v>28.794581512639201</v>
      </c>
      <c r="AD35" s="320">
        <v>28.790532544378699</v>
      </c>
      <c r="AE35" s="496" t="s">
        <v>560</v>
      </c>
      <c r="AF35" s="320">
        <v>5.7961263736263702E-2</v>
      </c>
      <c r="AG35" s="320">
        <v>5.7923809523809502E-2</v>
      </c>
      <c r="AH35" s="320">
        <v>1.04858566252709</v>
      </c>
      <c r="AI35" s="320">
        <v>1.0511270840642399</v>
      </c>
      <c r="AJ35" s="320">
        <v>71.870702507724701</v>
      </c>
      <c r="AK35" s="320">
        <v>71.579045080465605</v>
      </c>
      <c r="AL35" s="320">
        <v>11.940217254565599</v>
      </c>
      <c r="AM35" s="320">
        <v>12.093494924589599</v>
      </c>
      <c r="AN35" s="320">
        <v>316.152347652348</v>
      </c>
      <c r="AO35" s="320">
        <v>315.94805194805201</v>
      </c>
      <c r="AP35" s="320">
        <v>0.42894216867517998</v>
      </c>
      <c r="AQ35" s="320">
        <v>0.42849845882871002</v>
      </c>
      <c r="AR35" s="320">
        <v>2.13022501542028</v>
      </c>
      <c r="AS35" s="320">
        <v>2.1285829279389601</v>
      </c>
      <c r="AT35" s="496" t="s">
        <v>560</v>
      </c>
      <c r="AU35" s="495">
        <v>33.388710499195703</v>
      </c>
      <c r="AV35" s="320">
        <v>33.322832057200003</v>
      </c>
      <c r="AW35" s="320">
        <v>1.51883561980489</v>
      </c>
      <c r="AX35" s="320">
        <v>1.5224030037546901</v>
      </c>
      <c r="AY35" s="320">
        <v>32.438471885084503</v>
      </c>
      <c r="AZ35" s="320">
        <v>32.418314588774599</v>
      </c>
      <c r="BA35" s="320">
        <v>8.7641997124501506E-2</v>
      </c>
      <c r="BB35" s="320">
        <v>8.7575685579962106E-2</v>
      </c>
      <c r="BC35" s="320">
        <v>94.692541968784099</v>
      </c>
      <c r="BD35" s="320">
        <v>94.749961053123499</v>
      </c>
      <c r="BE35" s="320">
        <v>12.699039131261101</v>
      </c>
      <c r="BF35" s="320">
        <v>12.8565841903332</v>
      </c>
      <c r="BG35" s="320">
        <v>0.40386009388778099</v>
      </c>
      <c r="BH35" s="320">
        <v>0.40271478232080798</v>
      </c>
      <c r="BI35" s="496" t="s">
        <v>560</v>
      </c>
      <c r="BJ35" s="541">
        <v>151.07962271442801</v>
      </c>
      <c r="BK35" s="541">
        <v>151.94553744300799</v>
      </c>
      <c r="BL35" s="541">
        <v>9.3593736136988702E-3</v>
      </c>
      <c r="BM35" s="541">
        <v>9.3533256439830795E-3</v>
      </c>
      <c r="BN35" s="541">
        <v>166.219251203662</v>
      </c>
      <c r="BO35" s="541">
        <v>166.47050773231101</v>
      </c>
      <c r="BP35" s="541">
        <v>3.7530725380189498</v>
      </c>
      <c r="BQ35" s="541">
        <v>3.7653613991642199</v>
      </c>
      <c r="BR35" s="541">
        <v>33.1414808506904</v>
      </c>
      <c r="BS35" s="541">
        <v>33.118244438999099</v>
      </c>
      <c r="BT35" s="541">
        <v>121.718653846154</v>
      </c>
      <c r="BU35" s="541">
        <v>121.64</v>
      </c>
      <c r="BV35" s="541">
        <v>163.65144754796</v>
      </c>
      <c r="BW35" s="541">
        <v>164.26873597334199</v>
      </c>
    </row>
    <row r="36" spans="1:75" s="1687" customFormat="1" ht="11.1" customHeight="1">
      <c r="A36" s="499" t="s">
        <v>554</v>
      </c>
      <c r="B36" s="540">
        <v>80.255740683482898</v>
      </c>
      <c r="C36" s="540">
        <v>80.107852592367294</v>
      </c>
      <c r="D36" s="540">
        <v>121.74149038461501</v>
      </c>
      <c r="E36" s="540">
        <v>121.8</v>
      </c>
      <c r="F36" s="540">
        <v>322.900313010638</v>
      </c>
      <c r="G36" s="540">
        <v>323.07692307692298</v>
      </c>
      <c r="H36" s="540">
        <v>88.060003930902894</v>
      </c>
      <c r="I36" s="540">
        <v>87.534586223004794</v>
      </c>
      <c r="J36" s="540">
        <v>17.130091875984299</v>
      </c>
      <c r="K36" s="540">
        <v>17.1416508338611</v>
      </c>
      <c r="L36" s="540">
        <v>19.138051720002899</v>
      </c>
      <c r="M36" s="540">
        <v>19.134847258988099</v>
      </c>
      <c r="N36" s="540">
        <v>142.85805353460799</v>
      </c>
      <c r="O36" s="540">
        <v>142.828767662986</v>
      </c>
      <c r="P36" s="499" t="s">
        <v>554</v>
      </c>
      <c r="Q36" s="334">
        <v>15.6364111913608</v>
      </c>
      <c r="R36" s="334">
        <v>15.6486882339338</v>
      </c>
      <c r="S36" s="334">
        <v>1.37982418462797</v>
      </c>
      <c r="T36" s="334">
        <v>1.3731060606060601</v>
      </c>
      <c r="U36" s="334">
        <v>7.3727188944189299E-3</v>
      </c>
      <c r="V36" s="334">
        <v>7.2955974842767298E-3</v>
      </c>
      <c r="W36" s="334">
        <v>2.89516029452117E-3</v>
      </c>
      <c r="X36" s="334">
        <v>2.89655172413793E-3</v>
      </c>
      <c r="Y36" s="334">
        <v>0.82358876069407205</v>
      </c>
      <c r="Z36" s="334">
        <v>0.81967764729634196</v>
      </c>
      <c r="AA36" s="334">
        <v>398.682836337769</v>
      </c>
      <c r="AB36" s="334">
        <v>398.75593386806401</v>
      </c>
      <c r="AC36" s="334">
        <v>28.896431490695701</v>
      </c>
      <c r="AD36" s="334">
        <v>28.896797153024899</v>
      </c>
      <c r="AE36" s="499" t="s">
        <v>554</v>
      </c>
      <c r="AF36" s="334">
        <v>5.7972138278388298E-2</v>
      </c>
      <c r="AG36" s="334">
        <v>5.8000000000000003E-2</v>
      </c>
      <c r="AH36" s="334">
        <v>1.05350342571526</v>
      </c>
      <c r="AI36" s="334">
        <v>1.0502027977816399</v>
      </c>
      <c r="AJ36" s="334">
        <v>71.702599701250605</v>
      </c>
      <c r="AK36" s="334">
        <v>70.363857891639199</v>
      </c>
      <c r="AL36" s="334">
        <v>12.2419994510563</v>
      </c>
      <c r="AM36" s="334">
        <v>12.2040419626664</v>
      </c>
      <c r="AN36" s="334">
        <v>316.20218782645702</v>
      </c>
      <c r="AO36" s="334">
        <v>316.36363636363598</v>
      </c>
      <c r="AP36" s="334">
        <v>0.429104123023687</v>
      </c>
      <c r="AQ36" s="334">
        <v>0.42962962962963003</v>
      </c>
      <c r="AR36" s="334">
        <v>2.1250965904680799</v>
      </c>
      <c r="AS36" s="334">
        <v>2.0914718432598098</v>
      </c>
      <c r="AT36" s="499" t="s">
        <v>554</v>
      </c>
      <c r="AU36" s="401">
        <v>33.386891393484298</v>
      </c>
      <c r="AV36" s="334">
        <v>33.4174714661984</v>
      </c>
      <c r="AW36" s="334">
        <v>1.4695378195153199</v>
      </c>
      <c r="AX36" s="334">
        <v>1.4661450496539301</v>
      </c>
      <c r="AY36" s="334">
        <v>32.4517353780384</v>
      </c>
      <c r="AZ36" s="334">
        <v>32.476535836177497</v>
      </c>
      <c r="BA36" s="334">
        <v>8.7433673402276799E-2</v>
      </c>
      <c r="BB36" s="334">
        <v>8.6755226325723897E-2</v>
      </c>
      <c r="BC36" s="334">
        <v>94.778202740103197</v>
      </c>
      <c r="BD36" s="334">
        <v>94.418604651162795</v>
      </c>
      <c r="BE36" s="334">
        <v>12.9903617029887</v>
      </c>
      <c r="BF36" s="334">
        <v>12.932476123230099</v>
      </c>
      <c r="BG36" s="334">
        <v>0.40299734174319901</v>
      </c>
      <c r="BH36" s="334">
        <v>0.40261135443351798</v>
      </c>
      <c r="BI36" s="499" t="s">
        <v>554</v>
      </c>
      <c r="BJ36" s="540">
        <v>152.84759020788999</v>
      </c>
      <c r="BK36" s="540">
        <v>152.69855199649001</v>
      </c>
      <c r="BL36" s="540">
        <v>9.3611295951261404E-3</v>
      </c>
      <c r="BM36" s="540">
        <v>9.36562860438293E-3</v>
      </c>
      <c r="BN36" s="540">
        <v>166.891478695079</v>
      </c>
      <c r="BO36" s="540">
        <v>166.986564299424</v>
      </c>
      <c r="BP36" s="540">
        <v>3.80552135844894</v>
      </c>
      <c r="BQ36" s="540">
        <v>3.7621621621621602</v>
      </c>
      <c r="BR36" s="540">
        <v>33.147785882021203</v>
      </c>
      <c r="BS36" s="540">
        <v>33.160903893275197</v>
      </c>
      <c r="BT36" s="540">
        <v>121.74149038461501</v>
      </c>
      <c r="BU36" s="540">
        <v>121.8</v>
      </c>
      <c r="BV36" s="540">
        <v>164.450448342306</v>
      </c>
      <c r="BW36" s="540">
        <v>163.55303637176101</v>
      </c>
    </row>
    <row r="37" spans="1:75" s="1687" customFormat="1" ht="11.1" customHeight="1">
      <c r="A37" s="496" t="s">
        <v>561</v>
      </c>
      <c r="B37" s="541">
        <v>79.785791412377094</v>
      </c>
      <c r="C37" s="541">
        <v>80.399548874591204</v>
      </c>
      <c r="D37" s="541">
        <v>122.004537037037</v>
      </c>
      <c r="E37" s="541">
        <v>122.29</v>
      </c>
      <c r="F37" s="541">
        <v>323.61628803702899</v>
      </c>
      <c r="G37" s="541">
        <v>324.376657824934</v>
      </c>
      <c r="H37" s="541">
        <v>87.255138870914195</v>
      </c>
      <c r="I37" s="541">
        <v>87.707093165028994</v>
      </c>
      <c r="J37" s="541">
        <v>17.188509812828201</v>
      </c>
      <c r="K37" s="541">
        <v>17.256999322646202</v>
      </c>
      <c r="L37" s="541">
        <v>19.032799719693401</v>
      </c>
      <c r="M37" s="541">
        <v>18.997685293066802</v>
      </c>
      <c r="N37" s="541">
        <v>142.118044131555</v>
      </c>
      <c r="O37" s="541">
        <v>141.868624783467</v>
      </c>
      <c r="P37" s="496" t="s">
        <v>561</v>
      </c>
      <c r="Q37" s="320">
        <v>15.6899608135842</v>
      </c>
      <c r="R37" s="320">
        <v>15.736713421696001</v>
      </c>
      <c r="S37" s="320">
        <v>1.38094855441882</v>
      </c>
      <c r="T37" s="320">
        <v>1.3832536832282301</v>
      </c>
      <c r="U37" s="320">
        <v>7.3491912732484002E-3</v>
      </c>
      <c r="V37" s="320">
        <v>7.3500420723644697E-3</v>
      </c>
      <c r="W37" s="320">
        <v>2.9013520851684398E-3</v>
      </c>
      <c r="X37" s="320">
        <v>2.9082045184304398E-3</v>
      </c>
      <c r="Y37" s="320">
        <v>0.80726513663062405</v>
      </c>
      <c r="Z37" s="320">
        <v>0.80069403522556104</v>
      </c>
      <c r="AA37" s="320">
        <v>398.42839884189402</v>
      </c>
      <c r="AB37" s="320">
        <v>398.46855653307301</v>
      </c>
      <c r="AC37" s="320">
        <v>28.9278861117402</v>
      </c>
      <c r="AD37" s="320">
        <v>29.134008338296599</v>
      </c>
      <c r="AE37" s="496" t="s">
        <v>561</v>
      </c>
      <c r="AF37" s="320">
        <v>5.8097398589065298E-2</v>
      </c>
      <c r="AG37" s="320">
        <v>5.8233333333333297E-2</v>
      </c>
      <c r="AH37" s="320">
        <v>1.0511862145918101</v>
      </c>
      <c r="AI37" s="320">
        <v>1.05388707577146</v>
      </c>
      <c r="AJ37" s="320">
        <v>70.283960284862005</v>
      </c>
      <c r="AK37" s="320">
        <v>70.487953878383095</v>
      </c>
      <c r="AL37" s="320">
        <v>12.167587565504499</v>
      </c>
      <c r="AM37" s="320">
        <v>12.1986862646324</v>
      </c>
      <c r="AN37" s="320">
        <v>316.89490139490101</v>
      </c>
      <c r="AO37" s="320">
        <v>317.63636363636402</v>
      </c>
      <c r="AP37" s="320">
        <v>0.43073033468236299</v>
      </c>
      <c r="AQ37" s="320">
        <v>0.43194461614538299</v>
      </c>
      <c r="AR37" s="320">
        <v>2.09155388624928</v>
      </c>
      <c r="AS37" s="320">
        <v>2.0782597612270002</v>
      </c>
      <c r="AT37" s="496" t="s">
        <v>561</v>
      </c>
      <c r="AU37" s="495">
        <v>33.467180682090202</v>
      </c>
      <c r="AV37" s="320">
        <v>33.550989053197597</v>
      </c>
      <c r="AW37" s="320">
        <v>1.5055659765792</v>
      </c>
      <c r="AX37" s="320">
        <v>1.5286249999999999</v>
      </c>
      <c r="AY37" s="320">
        <v>32.530755136741398</v>
      </c>
      <c r="AZ37" s="320">
        <v>32.608927523865397</v>
      </c>
      <c r="BA37" s="320">
        <v>8.5793590079158294E-2</v>
      </c>
      <c r="BB37" s="320">
        <v>8.6004944106280706E-2</v>
      </c>
      <c r="BC37" s="320">
        <v>94.197471492536707</v>
      </c>
      <c r="BD37" s="320">
        <v>94.257746261754306</v>
      </c>
      <c r="BE37" s="320">
        <v>12.9414105153481</v>
      </c>
      <c r="BF37" s="320">
        <v>13.010128090557</v>
      </c>
      <c r="BG37" s="320">
        <v>0.40266868111134702</v>
      </c>
      <c r="BH37" s="320">
        <v>0.40200525969756701</v>
      </c>
      <c r="BI37" s="496" t="s">
        <v>561</v>
      </c>
      <c r="BJ37" s="541">
        <v>153.03941284150801</v>
      </c>
      <c r="BK37" s="541">
        <v>152.86250000000001</v>
      </c>
      <c r="BL37" s="541">
        <v>9.9328712338993402E-3</v>
      </c>
      <c r="BM37" s="541">
        <v>1.1056962025316501E-2</v>
      </c>
      <c r="BN37" s="541">
        <v>166.44973349919999</v>
      </c>
      <c r="BO37" s="541">
        <v>166.109752784569</v>
      </c>
      <c r="BP37" s="541">
        <v>3.7472381336168099</v>
      </c>
      <c r="BQ37" s="541">
        <v>3.76914778856526</v>
      </c>
      <c r="BR37" s="541">
        <v>33.219303992337103</v>
      </c>
      <c r="BS37" s="541">
        <v>33.297936067091399</v>
      </c>
      <c r="BT37" s="541">
        <v>122.004537037037</v>
      </c>
      <c r="BU37" s="541">
        <v>122.29</v>
      </c>
      <c r="BV37" s="541">
        <v>163.16886734040099</v>
      </c>
      <c r="BW37" s="541">
        <v>161.349425073139</v>
      </c>
    </row>
    <row r="38" spans="1:75" s="1687" customFormat="1" ht="11.1" customHeight="1">
      <c r="A38" s="499" t="s">
        <v>562</v>
      </c>
      <c r="B38" s="540">
        <v>79.618631922124806</v>
      </c>
      <c r="C38" s="540">
        <v>80.080283200916</v>
      </c>
      <c r="D38" s="540">
        <v>122.319</v>
      </c>
      <c r="E38" s="540">
        <v>122.26</v>
      </c>
      <c r="F38" s="540">
        <v>324.44324701358499</v>
      </c>
      <c r="G38" s="540">
        <v>324.29708222811701</v>
      </c>
      <c r="H38" s="540">
        <v>87.071523762423695</v>
      </c>
      <c r="I38" s="540">
        <v>87.491054816087001</v>
      </c>
      <c r="J38" s="540">
        <v>17.2644723637823</v>
      </c>
      <c r="K38" s="540">
        <v>17.271044936360202</v>
      </c>
      <c r="L38" s="540">
        <v>18.9296258504767</v>
      </c>
      <c r="M38" s="540">
        <v>18.984766844205701</v>
      </c>
      <c r="N38" s="540">
        <v>141.35755619960801</v>
      </c>
      <c r="O38" s="540">
        <v>141.77269494567099</v>
      </c>
      <c r="P38" s="499" t="s">
        <v>562</v>
      </c>
      <c r="Q38" s="334">
        <v>15.7277095930648</v>
      </c>
      <c r="R38" s="334">
        <v>15.702845546729</v>
      </c>
      <c r="S38" s="334">
        <v>1.3771108034859201</v>
      </c>
      <c r="T38" s="334">
        <v>1.3682196134606099</v>
      </c>
      <c r="U38" s="334">
        <v>7.3256697244154598E-3</v>
      </c>
      <c r="V38" s="334">
        <v>7.3407385169618703E-3</v>
      </c>
      <c r="W38" s="334">
        <v>2.9086866123062501E-3</v>
      </c>
      <c r="X38" s="334">
        <v>2.90749108204518E-3</v>
      </c>
      <c r="Y38" s="334">
        <v>0.78859290271766902</v>
      </c>
      <c r="Z38" s="334">
        <v>0.782839763086281</v>
      </c>
      <c r="AA38" s="334">
        <v>398.30098800878397</v>
      </c>
      <c r="AB38" s="334">
        <v>398.30591301514897</v>
      </c>
      <c r="AC38" s="334">
        <v>29.424318456006901</v>
      </c>
      <c r="AD38" s="334">
        <v>29.584996975196599</v>
      </c>
      <c r="AE38" s="499" t="s">
        <v>562</v>
      </c>
      <c r="AF38" s="334">
        <v>5.82471428571429E-2</v>
      </c>
      <c r="AG38" s="334">
        <v>5.8219047619047601E-2</v>
      </c>
      <c r="AH38" s="334">
        <v>1.0491834567658</v>
      </c>
      <c r="AI38" s="334">
        <v>1.0487650889726099</v>
      </c>
      <c r="AJ38" s="334">
        <v>69.230276577794797</v>
      </c>
      <c r="AK38" s="334">
        <v>70.109996466997998</v>
      </c>
      <c r="AL38" s="334">
        <v>12.041773675298201</v>
      </c>
      <c r="AM38" s="334">
        <v>12.067136152551599</v>
      </c>
      <c r="AN38" s="334">
        <v>317.71168831168802</v>
      </c>
      <c r="AO38" s="334">
        <v>317.55844155844198</v>
      </c>
      <c r="AP38" s="334">
        <v>0.43271499509525801</v>
      </c>
      <c r="AQ38" s="334">
        <v>0.43277876106194701</v>
      </c>
      <c r="AR38" s="334">
        <v>2.0770523164549402</v>
      </c>
      <c r="AS38" s="334">
        <v>2.0851738781914602</v>
      </c>
      <c r="AT38" s="499" t="s">
        <v>562</v>
      </c>
      <c r="AU38" s="401">
        <v>33.560772415049598</v>
      </c>
      <c r="AV38" s="334">
        <v>33.550122115199898</v>
      </c>
      <c r="AW38" s="334">
        <v>1.52358812762542</v>
      </c>
      <c r="AX38" s="334">
        <v>1.5775483870967699</v>
      </c>
      <c r="AY38" s="334">
        <v>32.614365156858703</v>
      </c>
      <c r="AZ38" s="334">
        <v>32.589196465460901</v>
      </c>
      <c r="BA38" s="334">
        <v>8.3819912108001396E-2</v>
      </c>
      <c r="BB38" s="334">
        <v>8.3304942696338299E-2</v>
      </c>
      <c r="BC38" s="334">
        <v>93.904710073990202</v>
      </c>
      <c r="BD38" s="334">
        <v>94.325502449562194</v>
      </c>
      <c r="BE38" s="334">
        <v>12.861821690566901</v>
      </c>
      <c r="BF38" s="334">
        <v>12.9361972278066</v>
      </c>
      <c r="BG38" s="334">
        <v>0.399473565918811</v>
      </c>
      <c r="BH38" s="334">
        <v>0.39672264135637197</v>
      </c>
      <c r="BI38" s="499" t="s">
        <v>562</v>
      </c>
      <c r="BJ38" s="540">
        <v>152.144201076971</v>
      </c>
      <c r="BK38" s="540">
        <v>152.11197511664099</v>
      </c>
      <c r="BL38" s="540">
        <v>1.1059183984531699E-2</v>
      </c>
      <c r="BM38" s="540">
        <v>1.1052250949195401E-2</v>
      </c>
      <c r="BN38" s="540">
        <v>166.05657634899799</v>
      </c>
      <c r="BO38" s="540">
        <v>166.091563646244</v>
      </c>
      <c r="BP38" s="540">
        <v>3.7756687924805599</v>
      </c>
      <c r="BQ38" s="540">
        <v>3.8075365929616898</v>
      </c>
      <c r="BR38" s="540">
        <v>33.305034553187703</v>
      </c>
      <c r="BS38" s="540">
        <v>33.285689005050301</v>
      </c>
      <c r="BT38" s="540">
        <v>122.319</v>
      </c>
      <c r="BU38" s="540">
        <v>122.26</v>
      </c>
      <c r="BV38" s="540">
        <v>160.69727193268</v>
      </c>
      <c r="BW38" s="540">
        <v>161.841672921926</v>
      </c>
    </row>
    <row r="39" spans="1:75" s="1687" customFormat="1" ht="11.1" customHeight="1">
      <c r="A39" s="496" t="s">
        <v>555</v>
      </c>
      <c r="B39" s="541">
        <v>81.239621464941294</v>
      </c>
      <c r="C39" s="541">
        <v>81.896585672890197</v>
      </c>
      <c r="D39" s="541">
        <v>122.292407407407</v>
      </c>
      <c r="E39" s="541">
        <v>122.325</v>
      </c>
      <c r="F39" s="541">
        <v>324.35755351289703</v>
      </c>
      <c r="G39" s="541">
        <v>324.426468638112</v>
      </c>
      <c r="H39" s="541">
        <v>88.632221733712498</v>
      </c>
      <c r="I39" s="541">
        <v>89.311137881940596</v>
      </c>
      <c r="J39" s="541">
        <v>17.320896214646499</v>
      </c>
      <c r="K39" s="541">
        <v>17.3885540456019</v>
      </c>
      <c r="L39" s="541">
        <v>19.175143074358999</v>
      </c>
      <c r="M39" s="541">
        <v>19.282606639553599</v>
      </c>
      <c r="N39" s="541">
        <v>143.21383511770699</v>
      </c>
      <c r="O39" s="541">
        <v>143.70740583503601</v>
      </c>
      <c r="P39" s="496" t="s">
        <v>555</v>
      </c>
      <c r="Q39" s="320">
        <v>15.7171113668301</v>
      </c>
      <c r="R39" s="320">
        <v>15.735446400432201</v>
      </c>
      <c r="S39" s="320">
        <v>1.3596165615761699</v>
      </c>
      <c r="T39" s="320">
        <v>1.3626489918681099</v>
      </c>
      <c r="U39" s="320">
        <v>7.3204654432454698E-3</v>
      </c>
      <c r="V39" s="320">
        <v>7.2884082581106402E-3</v>
      </c>
      <c r="W39" s="320">
        <v>2.9077823112487601E-3</v>
      </c>
      <c r="X39" s="320">
        <v>2.9090368608799002E-3</v>
      </c>
      <c r="Y39" s="320">
        <v>0.783572777418021</v>
      </c>
      <c r="Z39" s="320">
        <v>0.78207915094942804</v>
      </c>
      <c r="AA39" s="320">
        <v>398.41248017950699</v>
      </c>
      <c r="AB39" s="320">
        <v>397.48172217709202</v>
      </c>
      <c r="AC39" s="320">
        <v>29.8966617470277</v>
      </c>
      <c r="AD39" s="320">
        <v>30.177624275317601</v>
      </c>
      <c r="AE39" s="496" t="s">
        <v>555</v>
      </c>
      <c r="AF39" s="320">
        <v>5.8234479717813099E-2</v>
      </c>
      <c r="AG39" s="320">
        <v>5.8250000000000003E-2</v>
      </c>
      <c r="AH39" s="320">
        <v>1.05432316147607</v>
      </c>
      <c r="AI39" s="320">
        <v>1.0579733960664901</v>
      </c>
      <c r="AJ39" s="320">
        <v>70.810077945721901</v>
      </c>
      <c r="AK39" s="320">
        <v>70.991309007495502</v>
      </c>
      <c r="AL39" s="320">
        <v>12.104533533347899</v>
      </c>
      <c r="AM39" s="320">
        <v>12.1809138299302</v>
      </c>
      <c r="AN39" s="320">
        <v>317.64261664261699</v>
      </c>
      <c r="AO39" s="320">
        <v>317.72727272727298</v>
      </c>
      <c r="AP39" s="320">
        <v>0.43525913348931899</v>
      </c>
      <c r="AQ39" s="320">
        <v>0.43493333333333301</v>
      </c>
      <c r="AR39" s="320">
        <v>2.0775495185809199</v>
      </c>
      <c r="AS39" s="320">
        <v>2.0793492949845702</v>
      </c>
      <c r="AT39" s="496" t="s">
        <v>555</v>
      </c>
      <c r="AU39" s="495">
        <v>33.5421597226781</v>
      </c>
      <c r="AV39" s="320">
        <v>33.558289782313501</v>
      </c>
      <c r="AW39" s="320">
        <v>1.55987979222504</v>
      </c>
      <c r="AX39" s="320">
        <v>1.55828025477707</v>
      </c>
      <c r="AY39" s="320">
        <v>32.595602798012003</v>
      </c>
      <c r="AZ39" s="320">
        <v>32.613912069747002</v>
      </c>
      <c r="BA39" s="320">
        <v>8.33341041766677E-2</v>
      </c>
      <c r="BB39" s="320">
        <v>8.5195812816458993E-2</v>
      </c>
      <c r="BC39" s="320">
        <v>94.700400988779407</v>
      </c>
      <c r="BD39" s="320">
        <v>95.146423987866001</v>
      </c>
      <c r="BE39" s="320">
        <v>13.163952991692801</v>
      </c>
      <c r="BF39" s="320">
        <v>13.299520532307</v>
      </c>
      <c r="BG39" s="320">
        <v>0.39561149936401402</v>
      </c>
      <c r="BH39" s="320">
        <v>0.39453313981615901</v>
      </c>
      <c r="BI39" s="496" t="s">
        <v>555</v>
      </c>
      <c r="BJ39" s="541">
        <v>153.51357342724</v>
      </c>
      <c r="BK39" s="541">
        <v>155.038022813688</v>
      </c>
      <c r="BL39" s="541">
        <v>1.1056809470372599E-2</v>
      </c>
      <c r="BM39" s="541">
        <v>1.10601265822785E-2</v>
      </c>
      <c r="BN39" s="541">
        <v>167.14150146479</v>
      </c>
      <c r="BO39" s="541">
        <v>167.52259654889099</v>
      </c>
      <c r="BP39" s="541">
        <v>3.8744719850407399</v>
      </c>
      <c r="BQ39" s="541">
        <v>3.8802537668517001</v>
      </c>
      <c r="BR39" s="541">
        <v>33.298222174326902</v>
      </c>
      <c r="BS39" s="541">
        <v>33.3074661003104</v>
      </c>
      <c r="BT39" s="541">
        <v>122.292407407407</v>
      </c>
      <c r="BU39" s="541">
        <v>122.325</v>
      </c>
      <c r="BV39" s="541">
        <v>163.71803047736199</v>
      </c>
      <c r="BW39" s="541">
        <v>164.74119170633</v>
      </c>
    </row>
    <row r="40" spans="1:75" ht="11.1" customHeight="1">
      <c r="A40" s="499" t="s">
        <v>563</v>
      </c>
      <c r="B40" s="540">
        <v>82.756885369657297</v>
      </c>
      <c r="C40" s="540">
        <v>86.146633262320705</v>
      </c>
      <c r="D40" s="540">
        <v>122.324038461538</v>
      </c>
      <c r="E40" s="540">
        <v>122.35</v>
      </c>
      <c r="F40" s="540">
        <v>324.46694629305</v>
      </c>
      <c r="G40" s="540">
        <v>324.53580901856799</v>
      </c>
      <c r="H40" s="540">
        <v>88.7013511528896</v>
      </c>
      <c r="I40" s="540">
        <v>90.248580069336896</v>
      </c>
      <c r="J40" s="540">
        <v>17.460095580433801</v>
      </c>
      <c r="K40" s="540">
        <v>17.535939000444301</v>
      </c>
      <c r="L40" s="540">
        <v>19.208213492372</v>
      </c>
      <c r="M40" s="540">
        <v>19.587909448944899</v>
      </c>
      <c r="N40" s="540">
        <v>143.487933120956</v>
      </c>
      <c r="O40" s="540">
        <v>146.25718590597299</v>
      </c>
      <c r="P40" s="499" t="s">
        <v>563</v>
      </c>
      <c r="Q40" s="334">
        <v>15.693738603933699</v>
      </c>
      <c r="R40" s="334">
        <v>15.6833840730652</v>
      </c>
      <c r="S40" s="334">
        <v>1.34864720808169</v>
      </c>
      <c r="T40" s="334">
        <v>1.3292700151016399</v>
      </c>
      <c r="U40" s="334">
        <v>7.2719973215048901E-3</v>
      </c>
      <c r="V40" s="334">
        <v>7.2823046247247197E-3</v>
      </c>
      <c r="W40" s="334">
        <v>8.7669048763751208E-3</v>
      </c>
      <c r="X40" s="334">
        <v>1.1275978065526901E-2</v>
      </c>
      <c r="Y40" s="334">
        <v>0.78015232674163604</v>
      </c>
      <c r="Z40" s="334">
        <v>0.797536014601395</v>
      </c>
      <c r="AA40" s="334">
        <v>399.75287892840902</v>
      </c>
      <c r="AB40" s="334">
        <v>401.476620180476</v>
      </c>
      <c r="AC40" s="334">
        <v>30.339108007864599</v>
      </c>
      <c r="AD40" s="334">
        <v>31.108568522756201</v>
      </c>
      <c r="AE40" s="499" t="s">
        <v>563</v>
      </c>
      <c r="AF40" s="334">
        <v>5.82495421245421E-2</v>
      </c>
      <c r="AG40" s="334">
        <v>5.8261904761904799E-2</v>
      </c>
      <c r="AH40" s="334">
        <v>1.05710395130334</v>
      </c>
      <c r="AI40" s="334">
        <v>1.06560596704504</v>
      </c>
      <c r="AJ40" s="334">
        <v>71.278880975943494</v>
      </c>
      <c r="AK40" s="334">
        <v>74.1502129576767</v>
      </c>
      <c r="AL40" s="334">
        <v>12.2703161760911</v>
      </c>
      <c r="AM40" s="334">
        <v>12.7544239138933</v>
      </c>
      <c r="AN40" s="334">
        <v>317.72160153831402</v>
      </c>
      <c r="AO40" s="334">
        <v>317.79220779220799</v>
      </c>
      <c r="AP40" s="334">
        <v>0.43634855385388499</v>
      </c>
      <c r="AQ40" s="334">
        <v>0.43735478105451298</v>
      </c>
      <c r="AR40" s="334">
        <v>2.0682877596093698</v>
      </c>
      <c r="AS40" s="334">
        <v>2.0795975082223599</v>
      </c>
      <c r="AT40" s="499" t="s">
        <v>563</v>
      </c>
      <c r="AU40" s="401">
        <v>33.524347479409101</v>
      </c>
      <c r="AV40" s="334">
        <v>33.571134586363002</v>
      </c>
      <c r="AW40" s="334">
        <v>1.5635001018641801</v>
      </c>
      <c r="AX40" s="334">
        <v>1.5983017635532299</v>
      </c>
      <c r="AY40" s="334">
        <v>32.618204965291199</v>
      </c>
      <c r="AZ40" s="334">
        <v>32.6244917005533</v>
      </c>
      <c r="BA40" s="334">
        <v>8.4087706570575196E-2</v>
      </c>
      <c r="BB40" s="334">
        <v>8.5799438990182303E-2</v>
      </c>
      <c r="BC40" s="334">
        <v>95.477703413901096</v>
      </c>
      <c r="BD40" s="334">
        <v>96.922406622569</v>
      </c>
      <c r="BE40" s="334">
        <v>13.424313729357101</v>
      </c>
      <c r="BF40" s="334">
        <v>13.9010395955235</v>
      </c>
      <c r="BG40" s="334">
        <v>0.39512590963980199</v>
      </c>
      <c r="BH40" s="334">
        <v>0.39528309506501902</v>
      </c>
      <c r="BI40" s="499" t="s">
        <v>563</v>
      </c>
      <c r="BJ40" s="540">
        <v>154.615938555333</v>
      </c>
      <c r="BK40" s="540">
        <v>159.23732673911601</v>
      </c>
      <c r="BL40" s="540">
        <v>0.89747577409991997</v>
      </c>
      <c r="BM40" s="540">
        <v>1.0588489831241901</v>
      </c>
      <c r="BN40" s="540">
        <v>167.46955505043101</v>
      </c>
      <c r="BO40" s="540">
        <v>169.06176592510701</v>
      </c>
      <c r="BP40" s="540">
        <v>3.9087971157233898</v>
      </c>
      <c r="BQ40" s="540">
        <v>3.9366151866151902</v>
      </c>
      <c r="BR40" s="540">
        <v>33.306192797729103</v>
      </c>
      <c r="BS40" s="540">
        <v>33.310645249115197</v>
      </c>
      <c r="BT40" s="540">
        <v>122.324038461538</v>
      </c>
      <c r="BU40" s="540">
        <v>122.35</v>
      </c>
      <c r="BV40" s="540">
        <v>165.28821854589299</v>
      </c>
      <c r="BW40" s="540">
        <v>168.94087202527501</v>
      </c>
    </row>
    <row r="41" spans="1:75" ht="11.1" customHeight="1">
      <c r="A41" s="1568" t="s">
        <v>564</v>
      </c>
      <c r="B41" s="1569">
        <v>86.209490157362396</v>
      </c>
      <c r="C41" s="1569">
        <v>87.028664532040494</v>
      </c>
      <c r="D41" s="1569">
        <v>122.30249999999999</v>
      </c>
      <c r="E41" s="1569">
        <v>122.3</v>
      </c>
      <c r="F41" s="1569">
        <v>324.39547446402901</v>
      </c>
      <c r="G41" s="1569">
        <v>324.36016443442497</v>
      </c>
      <c r="H41" s="1569">
        <v>89.613512918506999</v>
      </c>
      <c r="I41" s="1569">
        <v>89.633185532632197</v>
      </c>
      <c r="J41" s="1569">
        <v>17.607997642429499</v>
      </c>
      <c r="K41" s="1569">
        <v>17.6662622060438</v>
      </c>
      <c r="L41" s="1569">
        <v>19.367054661171501</v>
      </c>
      <c r="M41" s="1569">
        <v>19.336579812800402</v>
      </c>
      <c r="N41" s="1569">
        <v>144.67647209920199</v>
      </c>
      <c r="O41" s="1569">
        <v>144.485218964788</v>
      </c>
      <c r="P41" s="1568" t="s">
        <v>564</v>
      </c>
      <c r="Q41" s="1570">
        <v>15.6489594552623</v>
      </c>
      <c r="R41" s="1570">
        <v>15.6341881215964</v>
      </c>
      <c r="S41" s="1570">
        <v>1.3462335295979999</v>
      </c>
      <c r="T41" s="1570">
        <v>1.34283455575563</v>
      </c>
      <c r="U41" s="1570">
        <v>7.2703200201438903E-3</v>
      </c>
      <c r="V41" s="1570">
        <v>7.29495973754846E-3</v>
      </c>
      <c r="W41" s="1570">
        <v>9.9666969251278797E-5</v>
      </c>
      <c r="X41" s="1570">
        <v>9.3066577988346494E-5</v>
      </c>
      <c r="Y41" s="1570">
        <v>0.78807665677693195</v>
      </c>
      <c r="Z41" s="1570">
        <v>0.78369805517285596</v>
      </c>
      <c r="AA41" s="1570">
        <v>400.48319144814297</v>
      </c>
      <c r="AB41" s="1570">
        <v>400.26182294223503</v>
      </c>
      <c r="AC41" s="1570">
        <v>31.2258332255815</v>
      </c>
      <c r="AD41" s="1570">
        <v>31.4315086096119</v>
      </c>
      <c r="AE41" s="1568" t="s">
        <v>564</v>
      </c>
      <c r="AF41" s="1570">
        <v>5.8239285714285702E-2</v>
      </c>
      <c r="AG41" s="1570">
        <v>5.82380952380952E-2</v>
      </c>
      <c r="AH41" s="1570">
        <v>1.0624412497103399</v>
      </c>
      <c r="AI41" s="1570">
        <v>1.0607691487045701</v>
      </c>
      <c r="AJ41" s="1570">
        <v>73.519083341187198</v>
      </c>
      <c r="AK41" s="1570">
        <v>73.337194490119202</v>
      </c>
      <c r="AL41" s="1570">
        <v>12.7624869065277</v>
      </c>
      <c r="AM41" s="1570">
        <v>12.857510815342801</v>
      </c>
      <c r="AN41" s="1570">
        <v>317.66883116883099</v>
      </c>
      <c r="AO41" s="1570">
        <v>317.66233766233802</v>
      </c>
      <c r="AP41" s="1570">
        <v>0.43700687507795399</v>
      </c>
      <c r="AQ41" s="1570">
        <v>0.43776286353467603</v>
      </c>
      <c r="AR41" s="1570">
        <v>2.1000712828535599</v>
      </c>
      <c r="AS41" s="1570">
        <v>2.11995146472526</v>
      </c>
      <c r="AT41" s="1568" t="s">
        <v>564</v>
      </c>
      <c r="AU41" s="1475">
        <v>33.518835318264301</v>
      </c>
      <c r="AV41" s="1570">
        <v>33.555113519445797</v>
      </c>
      <c r="AW41" s="1570">
        <v>1.5939932012051401</v>
      </c>
      <c r="AX41" s="1570">
        <v>1.58810544085184</v>
      </c>
      <c r="AY41" s="1570">
        <v>32.609018530203301</v>
      </c>
      <c r="AZ41" s="1570">
        <v>32.605508011410599</v>
      </c>
      <c r="BA41" s="1570">
        <v>8.4404719416966895E-2</v>
      </c>
      <c r="BB41" s="1570">
        <v>8.4942353104597898E-2</v>
      </c>
      <c r="BC41" s="1570">
        <v>96.513671430294494</v>
      </c>
      <c r="BD41" s="1570">
        <v>96.679841897233203</v>
      </c>
      <c r="BE41" s="1570">
        <v>13.613762516657101</v>
      </c>
      <c r="BF41" s="1570">
        <v>13.5444930505565</v>
      </c>
      <c r="BG41" s="1570">
        <v>0.395383545503113</v>
      </c>
      <c r="BH41" s="1570">
        <v>0.39549849626491601</v>
      </c>
      <c r="BI41" s="1568" t="s">
        <v>564</v>
      </c>
      <c r="BJ41" s="1569">
        <v>158.307473977092</v>
      </c>
      <c r="BK41" s="1569">
        <v>159.06873902581799</v>
      </c>
      <c r="BL41" s="1569">
        <v>1.0587128094281699</v>
      </c>
      <c r="BM41" s="1569">
        <v>1.0588744588744601</v>
      </c>
      <c r="BN41" s="1569">
        <v>168.25458102743099</v>
      </c>
      <c r="BO41" s="1569">
        <v>168.133076711575</v>
      </c>
      <c r="BP41" s="1569">
        <v>3.9149881799795101</v>
      </c>
      <c r="BQ41" s="1569">
        <v>3.9381742070520001</v>
      </c>
      <c r="BR41" s="1569">
        <v>33.299450848757303</v>
      </c>
      <c r="BS41" s="1569">
        <v>33.296579137229301</v>
      </c>
      <c r="BT41" s="1569">
        <v>122.30249999999999</v>
      </c>
      <c r="BU41" s="1569">
        <v>122.3</v>
      </c>
      <c r="BV41" s="1569">
        <v>166.33064406980699</v>
      </c>
      <c r="BW41" s="1569">
        <v>164.92766295947499</v>
      </c>
    </row>
    <row r="42" spans="1:75" ht="11.1" customHeight="1">
      <c r="A42" s="499" t="s">
        <v>556</v>
      </c>
      <c r="B42" s="540">
        <v>85.9169084085989</v>
      </c>
      <c r="C42" s="540">
        <v>84.108298208552199</v>
      </c>
      <c r="D42" s="540">
        <v>122.62444444444399</v>
      </c>
      <c r="E42" s="540">
        <v>122.75</v>
      </c>
      <c r="F42" s="540">
        <v>324.79795367497201</v>
      </c>
      <c r="G42" s="540">
        <v>325.12250033108199</v>
      </c>
      <c r="H42" s="540">
        <v>89.467665932362607</v>
      </c>
      <c r="I42" s="540">
        <v>88.157138753231806</v>
      </c>
      <c r="J42" s="540">
        <v>17.7562054537403</v>
      </c>
      <c r="K42" s="540">
        <v>17.7399774546926</v>
      </c>
      <c r="L42" s="540">
        <v>18.951662514626399</v>
      </c>
      <c r="M42" s="540">
        <v>18.828708603684401</v>
      </c>
      <c r="N42" s="540">
        <v>141.610031811026</v>
      </c>
      <c r="O42" s="540">
        <v>140.74514892944401</v>
      </c>
      <c r="P42" s="499" t="s">
        <v>556</v>
      </c>
      <c r="Q42" s="334">
        <v>15.668871568685599</v>
      </c>
      <c r="R42" s="334">
        <v>15.665479791212</v>
      </c>
      <c r="S42" s="334">
        <v>1.3229385187107701</v>
      </c>
      <c r="T42" s="334">
        <v>1.30061401696361</v>
      </c>
      <c r="U42" s="334">
        <v>7.2425172565649997E-3</v>
      </c>
      <c r="V42" s="334">
        <v>7.2216502426827502E-3</v>
      </c>
      <c r="W42" s="334">
        <v>9.3097203142630694E-5</v>
      </c>
      <c r="X42" s="334">
        <v>9.3261186023965993E-5</v>
      </c>
      <c r="Y42" s="334">
        <v>0.77244765424742901</v>
      </c>
      <c r="Z42" s="334">
        <v>0.76850837376741299</v>
      </c>
      <c r="AA42" s="334">
        <v>400.22239356161498</v>
      </c>
      <c r="AB42" s="334">
        <v>399.90226421241198</v>
      </c>
      <c r="AC42" s="334">
        <v>31.060227531111799</v>
      </c>
      <c r="AD42" s="334">
        <v>30.512055679840898</v>
      </c>
      <c r="AE42" s="499" t="s">
        <v>556</v>
      </c>
      <c r="AF42" s="334">
        <v>5.83925925925926E-2</v>
      </c>
      <c r="AG42" s="334">
        <v>5.8452380952380999E-2</v>
      </c>
      <c r="AH42" s="334">
        <v>1.05503287582451</v>
      </c>
      <c r="AI42" s="334">
        <v>1.05304606980044</v>
      </c>
      <c r="AJ42" s="334">
        <v>71.621680906987706</v>
      </c>
      <c r="AK42" s="334">
        <v>70.225272854396096</v>
      </c>
      <c r="AL42" s="334">
        <v>12.656769518149099</v>
      </c>
      <c r="AM42" s="334">
        <v>12.5969787775543</v>
      </c>
      <c r="AN42" s="334">
        <v>318.47136672150401</v>
      </c>
      <c r="AO42" s="334">
        <v>318.87258085465601</v>
      </c>
      <c r="AP42" s="334">
        <v>0.43859313328233801</v>
      </c>
      <c r="AQ42" s="334">
        <v>0.43964899713466998</v>
      </c>
      <c r="AR42" s="334">
        <v>2.0599947614114398</v>
      </c>
      <c r="AS42" s="334">
        <v>2.02364073988592</v>
      </c>
      <c r="AT42" s="499" t="s">
        <v>556</v>
      </c>
      <c r="AU42" s="401">
        <v>33.594584957778402</v>
      </c>
      <c r="AV42" s="334">
        <v>33.691057803150898</v>
      </c>
      <c r="AW42" s="334">
        <v>1.5425920979189101</v>
      </c>
      <c r="AX42" s="334">
        <v>1.5098400984009801</v>
      </c>
      <c r="AY42" s="334">
        <v>32.675889908737297</v>
      </c>
      <c r="AZ42" s="334">
        <v>32.709782290084497</v>
      </c>
      <c r="BA42" s="334">
        <v>8.2353191061594694E-2</v>
      </c>
      <c r="BB42" s="334">
        <v>8.0165882967607099E-2</v>
      </c>
      <c r="BC42" s="334">
        <v>95.806403533157095</v>
      </c>
      <c r="BD42" s="334">
        <v>95.059242623712507</v>
      </c>
      <c r="BE42" s="334">
        <v>13.150820684750601</v>
      </c>
      <c r="BF42" s="334">
        <v>12.8606077750363</v>
      </c>
      <c r="BG42" s="334">
        <v>0.393541719397209</v>
      </c>
      <c r="BH42" s="334">
        <v>0.38900332752337202</v>
      </c>
      <c r="BI42" s="499" t="s">
        <v>556</v>
      </c>
      <c r="BJ42" s="540">
        <v>156.01370359770101</v>
      </c>
      <c r="BK42" s="540">
        <v>153.53345841150701</v>
      </c>
      <c r="BL42" s="540">
        <v>1.06159510045635</v>
      </c>
      <c r="BM42" s="540">
        <v>1.0625865650969499</v>
      </c>
      <c r="BN42" s="540">
        <v>167.06344209908599</v>
      </c>
      <c r="BO42" s="540">
        <v>166.485826664858</v>
      </c>
      <c r="BP42" s="540">
        <v>3.8102115967786401</v>
      </c>
      <c r="BQ42" s="540">
        <v>3.7338403041825101</v>
      </c>
      <c r="BR42" s="540">
        <v>33.386340530479899</v>
      </c>
      <c r="BS42" s="540">
        <v>33.423642972866297</v>
      </c>
      <c r="BT42" s="540">
        <v>122.62444444444399</v>
      </c>
      <c r="BU42" s="540">
        <v>122.75</v>
      </c>
      <c r="BV42" s="540">
        <v>163.439033600724</v>
      </c>
      <c r="BW42" s="540">
        <v>161.87655668246401</v>
      </c>
    </row>
    <row r="43" spans="1:75" s="7" customFormat="1" ht="11.1" customHeight="1">
      <c r="A43" s="496" t="s">
        <v>565</v>
      </c>
      <c r="B43" s="541">
        <v>86.821687019186797</v>
      </c>
      <c r="C43" s="541">
        <v>87.355037068783801</v>
      </c>
      <c r="D43" s="541">
        <v>122.740384615385</v>
      </c>
      <c r="E43" s="541">
        <v>122.75</v>
      </c>
      <c r="F43" s="541">
        <v>325.27935541305601</v>
      </c>
      <c r="G43" s="541">
        <v>325.079449152542</v>
      </c>
      <c r="H43" s="541">
        <v>89.0936442470787</v>
      </c>
      <c r="I43" s="541">
        <v>89.700025576382004</v>
      </c>
      <c r="J43" s="541">
        <v>17.866019174678499</v>
      </c>
      <c r="K43" s="541">
        <v>17.8862854811447</v>
      </c>
      <c r="L43" s="541">
        <v>19.191646383457101</v>
      </c>
      <c r="M43" s="541">
        <v>19.1787884942893</v>
      </c>
      <c r="N43" s="541">
        <v>143.40381961774901</v>
      </c>
      <c r="O43" s="541">
        <v>143.341312237208</v>
      </c>
      <c r="P43" s="496" t="s">
        <v>565</v>
      </c>
      <c r="Q43" s="320">
        <v>15.667030228792401</v>
      </c>
      <c r="R43" s="320">
        <v>15.662581423093799</v>
      </c>
      <c r="S43" s="320">
        <v>1.3151654993903299</v>
      </c>
      <c r="T43" s="320">
        <v>1.2939440257207599</v>
      </c>
      <c r="U43" s="320">
        <v>7.1611538721722701E-3</v>
      </c>
      <c r="V43" s="320">
        <v>7.0627157652474104E-3</v>
      </c>
      <c r="W43" s="320">
        <v>9.3180744316702306E-5</v>
      </c>
      <c r="X43" s="320">
        <v>9.3318898996641293E-5</v>
      </c>
      <c r="Y43" s="320">
        <v>0.77077817382485603</v>
      </c>
      <c r="Z43" s="320">
        <v>0.76520275535330196</v>
      </c>
      <c r="AA43" s="320">
        <v>400.36776385304501</v>
      </c>
      <c r="AB43" s="320">
        <v>400.42407437612098</v>
      </c>
      <c r="AC43" s="320">
        <v>30.8571261770186</v>
      </c>
      <c r="AD43" s="320">
        <v>30.938878386893499</v>
      </c>
      <c r="AE43" s="496" t="s">
        <v>565</v>
      </c>
      <c r="AF43" s="320">
        <v>5.8447802197802198E-2</v>
      </c>
      <c r="AG43" s="320">
        <v>5.8452380952380999E-2</v>
      </c>
      <c r="AH43" s="320">
        <v>1.06001575544976</v>
      </c>
      <c r="AI43" s="320">
        <v>1.06126182518013</v>
      </c>
      <c r="AJ43" s="320">
        <v>71.566743517907895</v>
      </c>
      <c r="AK43" s="320">
        <v>71.557111973582593</v>
      </c>
      <c r="AL43" s="320">
        <v>12.943840267072201</v>
      </c>
      <c r="AM43" s="320">
        <v>13.145917001338701</v>
      </c>
      <c r="AN43" s="320">
        <v>318.799824558956</v>
      </c>
      <c r="AO43" s="320">
        <v>318.83116883116901</v>
      </c>
      <c r="AP43" s="320">
        <v>0.43945763407080701</v>
      </c>
      <c r="AQ43" s="320">
        <v>0.44024029409127602</v>
      </c>
      <c r="AR43" s="320">
        <v>2.0353971851721799</v>
      </c>
      <c r="AS43" s="320">
        <v>1.99809550163998</v>
      </c>
      <c r="AT43" s="496" t="s">
        <v>565</v>
      </c>
      <c r="AU43" s="495">
        <v>33.6714308792357</v>
      </c>
      <c r="AV43" s="320">
        <v>33.688283887257398</v>
      </c>
      <c r="AW43" s="320">
        <v>1.5944343703875801</v>
      </c>
      <c r="AX43" s="320">
        <v>1.6353583799627001</v>
      </c>
      <c r="AY43" s="320">
        <v>32.711331213055502</v>
      </c>
      <c r="AZ43" s="320">
        <v>32.728969470737198</v>
      </c>
      <c r="BA43" s="320">
        <v>8.2656045930611294E-2</v>
      </c>
      <c r="BB43" s="320">
        <v>8.2682203960662795E-2</v>
      </c>
      <c r="BC43" s="320">
        <v>96.1187972962868</v>
      </c>
      <c r="BD43" s="320">
        <v>95.793663180895905</v>
      </c>
      <c r="BE43" s="320">
        <v>13.2143504591634</v>
      </c>
      <c r="BF43" s="320">
        <v>13.178519281971999</v>
      </c>
      <c r="BG43" s="320">
        <v>0.38795319452684102</v>
      </c>
      <c r="BH43" s="320">
        <v>0.38389366692728699</v>
      </c>
      <c r="BI43" s="496" t="s">
        <v>565</v>
      </c>
      <c r="BJ43" s="541">
        <v>155.57731266459999</v>
      </c>
      <c r="BK43" s="541">
        <v>155.15388990709701</v>
      </c>
      <c r="BL43" s="541">
        <v>1.0626094819308101</v>
      </c>
      <c r="BM43" s="541">
        <v>1.0627705627705599</v>
      </c>
      <c r="BN43" s="541">
        <v>168.02014116583899</v>
      </c>
      <c r="BO43" s="541">
        <v>168.404445054191</v>
      </c>
      <c r="BP43" s="541">
        <v>3.7984587663961298</v>
      </c>
      <c r="BQ43" s="541">
        <v>3.7446613788895702</v>
      </c>
      <c r="BR43" s="541">
        <v>33.417630260483101</v>
      </c>
      <c r="BS43" s="541">
        <v>33.419548053362398</v>
      </c>
      <c r="BT43" s="541">
        <v>122.740384615385</v>
      </c>
      <c r="BU43" s="541">
        <v>122.75</v>
      </c>
      <c r="BV43" s="541">
        <v>164.86329382276401</v>
      </c>
      <c r="BW43" s="541">
        <v>165.41789180209301</v>
      </c>
    </row>
    <row r="44" spans="1:75" ht="11.1" customHeight="1">
      <c r="A44" s="499" t="s">
        <v>566</v>
      </c>
      <c r="B44" s="540">
        <v>88.069022928312904</v>
      </c>
      <c r="C44" s="540">
        <v>87.483909499088</v>
      </c>
      <c r="D44" s="540">
        <v>122.75</v>
      </c>
      <c r="E44" s="540">
        <v>122.75</v>
      </c>
      <c r="F44" s="540">
        <v>325.39230832824097</v>
      </c>
      <c r="G44" s="540">
        <v>325.51047467515201</v>
      </c>
      <c r="H44" s="540">
        <v>89.428754434487601</v>
      </c>
      <c r="I44" s="540">
        <v>88.817336565247302</v>
      </c>
      <c r="J44" s="540">
        <v>17.933964691556199</v>
      </c>
      <c r="K44" s="540">
        <v>17.952993140567202</v>
      </c>
      <c r="L44" s="540">
        <v>19.1699144058929</v>
      </c>
      <c r="M44" s="540">
        <v>19.062038978181501</v>
      </c>
      <c r="N44" s="540">
        <v>143.24447490227701</v>
      </c>
      <c r="O44" s="540">
        <v>142.42682394208401</v>
      </c>
      <c r="P44" s="499" t="s">
        <v>566</v>
      </c>
      <c r="Q44" s="334">
        <v>15.6713666090389</v>
      </c>
      <c r="R44" s="334">
        <v>15.6670793500874</v>
      </c>
      <c r="S44" s="334">
        <v>1.28537911850429</v>
      </c>
      <c r="T44" s="334">
        <v>1.28265412748171</v>
      </c>
      <c r="U44" s="334">
        <v>6.9961170416448599E-3</v>
      </c>
      <c r="V44" s="334">
        <v>6.9369878496750503E-3</v>
      </c>
      <c r="W44" s="334">
        <v>9.3152421534245205E-5</v>
      </c>
      <c r="X44" s="334">
        <v>9.2778611714518502E-5</v>
      </c>
      <c r="Y44" s="334">
        <v>0.77596120019213499</v>
      </c>
      <c r="Z44" s="334">
        <v>0.77101849816274604</v>
      </c>
      <c r="AA44" s="334">
        <v>400.35666277097999</v>
      </c>
      <c r="AB44" s="334">
        <v>400.032589212971</v>
      </c>
      <c r="AC44" s="334">
        <v>31.033071072435501</v>
      </c>
      <c r="AD44" s="334">
        <v>30.934979838709701</v>
      </c>
      <c r="AE44" s="499" t="s">
        <v>566</v>
      </c>
      <c r="AF44" s="334">
        <v>5.8452380952380999E-2</v>
      </c>
      <c r="AG44" s="334">
        <v>5.8452380952380999E-2</v>
      </c>
      <c r="AH44" s="334">
        <v>1.0616839128114799</v>
      </c>
      <c r="AI44" s="334">
        <v>1.0592470759603101</v>
      </c>
      <c r="AJ44" s="334">
        <v>72.243601184349501</v>
      </c>
      <c r="AK44" s="334">
        <v>71.802611975382504</v>
      </c>
      <c r="AL44" s="334">
        <v>13.2538303829167</v>
      </c>
      <c r="AM44" s="334">
        <v>13.238140944410601</v>
      </c>
      <c r="AN44" s="334">
        <v>318.83885766666401</v>
      </c>
      <c r="AO44" s="334">
        <v>318.83116883116901</v>
      </c>
      <c r="AP44" s="334">
        <v>0.43918565633281698</v>
      </c>
      <c r="AQ44" s="334">
        <v>0.43659967988618198</v>
      </c>
      <c r="AR44" s="334">
        <v>1.9974185117227501</v>
      </c>
      <c r="AS44" s="334">
        <v>1.9907557573791801</v>
      </c>
      <c r="AT44" s="499" t="s">
        <v>566</v>
      </c>
      <c r="AU44" s="401">
        <v>33.684998317764801</v>
      </c>
      <c r="AV44" s="334">
        <v>33.688746174852099</v>
      </c>
      <c r="AW44" s="334">
        <v>1.6798031362699799</v>
      </c>
      <c r="AX44" s="334">
        <v>1.71558350803634</v>
      </c>
      <c r="AY44" s="334">
        <v>32.715320999335603</v>
      </c>
      <c r="AZ44" s="334">
        <v>32.710653946596999</v>
      </c>
      <c r="BA44" s="334">
        <v>8.2103007631225203E-2</v>
      </c>
      <c r="BB44" s="334">
        <v>8.0737987963297897E-2</v>
      </c>
      <c r="BC44" s="334">
        <v>96.185699895435903</v>
      </c>
      <c r="BD44" s="334">
        <v>95.902183679049998</v>
      </c>
      <c r="BE44" s="334">
        <v>13.1658307949868</v>
      </c>
      <c r="BF44" s="334">
        <v>13.109694231734499</v>
      </c>
      <c r="BG44" s="334">
        <v>0.37629634059616401</v>
      </c>
      <c r="BH44" s="334">
        <v>0.37196969696969701</v>
      </c>
      <c r="BI44" s="499" t="s">
        <v>566</v>
      </c>
      <c r="BJ44" s="540">
        <v>156.72071829050401</v>
      </c>
      <c r="BK44" s="540">
        <v>156.36942675159199</v>
      </c>
      <c r="BL44" s="540">
        <v>1.06275693331326</v>
      </c>
      <c r="BM44" s="540">
        <v>1.0627705627705599</v>
      </c>
      <c r="BN44" s="540">
        <v>168.19195436033701</v>
      </c>
      <c r="BO44" s="540">
        <v>167.737086635693</v>
      </c>
      <c r="BP44" s="540">
        <v>3.7705996469062799</v>
      </c>
      <c r="BQ44" s="540">
        <v>3.7566947207345098</v>
      </c>
      <c r="BR44" s="540">
        <v>33.420761321089799</v>
      </c>
      <c r="BS44" s="540">
        <v>33.420912915038699</v>
      </c>
      <c r="BT44" s="540">
        <v>122.75</v>
      </c>
      <c r="BU44" s="540">
        <v>122.75</v>
      </c>
      <c r="BV44" s="540">
        <v>165.52200126722099</v>
      </c>
      <c r="BW44" s="540">
        <v>164.85937630393499</v>
      </c>
    </row>
    <row r="45" spans="1:75" ht="11.1" customHeight="1">
      <c r="A45" s="496" t="s">
        <v>557</v>
      </c>
      <c r="B45" s="541">
        <v>86.216779675735296</v>
      </c>
      <c r="C45" s="541">
        <v>84.606793216204395</v>
      </c>
      <c r="D45" s="541">
        <v>122.759615384615</v>
      </c>
      <c r="E45" s="541">
        <v>122.85</v>
      </c>
      <c r="F45" s="541">
        <v>325.58413189067699</v>
      </c>
      <c r="G45" s="541">
        <v>325.86206896551698</v>
      </c>
      <c r="H45" s="541">
        <v>87.468832332094095</v>
      </c>
      <c r="I45" s="541">
        <v>86.450160092889107</v>
      </c>
      <c r="J45" s="541">
        <v>18.012940840726898</v>
      </c>
      <c r="K45" s="541">
        <v>18.037263797735999</v>
      </c>
      <c r="L45" s="541">
        <v>18.904249334010998</v>
      </c>
      <c r="M45" s="541">
        <v>18.773208637051301</v>
      </c>
      <c r="N45" s="541">
        <v>141.29243208104</v>
      </c>
      <c r="O45" s="541">
        <v>140.31926569777599</v>
      </c>
      <c r="P45" s="496" t="s">
        <v>557</v>
      </c>
      <c r="Q45" s="320">
        <v>15.6634287174034</v>
      </c>
      <c r="R45" s="320">
        <v>15.668343823535</v>
      </c>
      <c r="S45" s="320">
        <v>1.29431612375397</v>
      </c>
      <c r="T45" s="320">
        <v>1.2993812470252299</v>
      </c>
      <c r="U45" s="320">
        <v>6.8581217753337503E-3</v>
      </c>
      <c r="V45" s="320">
        <v>6.8637036623180698E-3</v>
      </c>
      <c r="W45" s="320">
        <v>8.9392449029859994E-5</v>
      </c>
      <c r="X45" s="320">
        <v>8.9325640494290407E-5</v>
      </c>
      <c r="Y45" s="320">
        <v>0.76375713113826504</v>
      </c>
      <c r="Z45" s="320">
        <v>0.75859087961962401</v>
      </c>
      <c r="AA45" s="320">
        <v>399.448646864816</v>
      </c>
      <c r="AB45" s="320">
        <v>398.92839746712099</v>
      </c>
      <c r="AC45" s="320">
        <v>30.182523071937201</v>
      </c>
      <c r="AD45" s="320">
        <v>30.184275184275201</v>
      </c>
      <c r="AE45" s="496" t="s">
        <v>557</v>
      </c>
      <c r="AF45" s="320">
        <v>5.8456959706959702E-2</v>
      </c>
      <c r="AG45" s="320">
        <v>5.8500000000000003E-2</v>
      </c>
      <c r="AH45" s="320">
        <v>1.0571052909794101</v>
      </c>
      <c r="AI45" s="320">
        <v>1.0519654671034899</v>
      </c>
      <c r="AJ45" s="320">
        <v>70.949257568184905</v>
      </c>
      <c r="AK45" s="320">
        <v>69.416387608176294</v>
      </c>
      <c r="AL45" s="320">
        <v>12.805027845193299</v>
      </c>
      <c r="AM45" s="320">
        <v>12.372909522154901</v>
      </c>
      <c r="AN45" s="320">
        <v>318.87531109354501</v>
      </c>
      <c r="AO45" s="320">
        <v>319.09090909090901</v>
      </c>
      <c r="AP45" s="320">
        <v>0.44105763607313497</v>
      </c>
      <c r="AQ45" s="320">
        <v>0.441906474820144</v>
      </c>
      <c r="AR45" s="320">
        <v>2.0060987557705499</v>
      </c>
      <c r="AS45" s="320">
        <v>2.0037350861597898</v>
      </c>
      <c r="AT45" s="496" t="s">
        <v>557</v>
      </c>
      <c r="AU45" s="495">
        <v>33.688030988058699</v>
      </c>
      <c r="AV45" s="320">
        <v>33.703241382148398</v>
      </c>
      <c r="AW45" s="320">
        <v>1.6662566747040299</v>
      </c>
      <c r="AX45" s="320">
        <v>1.5954545454545499</v>
      </c>
      <c r="AY45" s="320">
        <v>32.701938779014696</v>
      </c>
      <c r="AZ45" s="320">
        <v>32.713764546108202</v>
      </c>
      <c r="BA45" s="320">
        <v>8.0213613664620806E-2</v>
      </c>
      <c r="BB45" s="320">
        <v>7.9353288462283803E-2</v>
      </c>
      <c r="BC45" s="320">
        <v>95.284632239596803</v>
      </c>
      <c r="BD45" s="320">
        <v>95.015275145984006</v>
      </c>
      <c r="BE45" s="320">
        <v>12.9038571913878</v>
      </c>
      <c r="BF45" s="320">
        <v>12.625380251582699</v>
      </c>
      <c r="BG45" s="320">
        <v>0.367246183695981</v>
      </c>
      <c r="BH45" s="320">
        <v>0.365897244973939</v>
      </c>
      <c r="BI45" s="496" t="s">
        <v>557</v>
      </c>
      <c r="BJ45" s="541">
        <v>153.46498622586</v>
      </c>
      <c r="BK45" s="541">
        <v>152.10796756020599</v>
      </c>
      <c r="BL45" s="541">
        <v>1.06280426637075</v>
      </c>
      <c r="BM45" s="541">
        <v>1.0636363636363599</v>
      </c>
      <c r="BN45" s="541">
        <v>167.256070352379</v>
      </c>
      <c r="BO45" s="541">
        <v>166.59886086249</v>
      </c>
      <c r="BP45" s="541">
        <v>3.7322393469580302</v>
      </c>
      <c r="BQ45" s="541">
        <v>3.6925157799819699</v>
      </c>
      <c r="BR45" s="541">
        <v>33.423286078182002</v>
      </c>
      <c r="BS45" s="541">
        <v>33.449505813161998</v>
      </c>
      <c r="BT45" s="541">
        <v>122.759615384615</v>
      </c>
      <c r="BU45" s="541">
        <v>122.85</v>
      </c>
      <c r="BV45" s="541">
        <v>163.57826772592699</v>
      </c>
      <c r="BW45" s="541">
        <v>162.86838541504801</v>
      </c>
    </row>
    <row r="46" spans="1:75" ht="11.1" customHeight="1">
      <c r="A46" s="554" t="s">
        <v>2930</v>
      </c>
      <c r="B46" s="820"/>
      <c r="C46" s="820"/>
      <c r="D46" s="820"/>
      <c r="E46" s="820"/>
      <c r="F46" s="820"/>
      <c r="G46" s="820"/>
      <c r="H46" s="820"/>
      <c r="I46" s="820"/>
      <c r="J46" s="820"/>
      <c r="K46" s="820"/>
      <c r="L46" s="820"/>
      <c r="M46" s="820"/>
      <c r="N46" s="820"/>
      <c r="O46" s="820"/>
      <c r="P46" s="554" t="s">
        <v>2930</v>
      </c>
      <c r="Q46" s="488"/>
      <c r="R46" s="488"/>
      <c r="S46" s="431"/>
      <c r="T46" s="431"/>
      <c r="U46" s="488"/>
      <c r="V46" s="488"/>
      <c r="W46" s="488"/>
      <c r="X46" s="488"/>
      <c r="Y46" s="488"/>
      <c r="Z46" s="488"/>
      <c r="AA46" s="488"/>
      <c r="AB46" s="488"/>
      <c r="AC46" s="488"/>
      <c r="AD46" s="488"/>
      <c r="AE46" s="554" t="s">
        <v>2930</v>
      </c>
      <c r="AF46" s="488"/>
      <c r="AG46" s="488"/>
      <c r="AH46" s="431"/>
      <c r="AI46" s="431"/>
      <c r="AJ46" s="488"/>
      <c r="AK46" s="488"/>
      <c r="AL46" s="488"/>
      <c r="AM46" s="488"/>
      <c r="AN46" s="488"/>
      <c r="AO46" s="488"/>
      <c r="AP46" s="488"/>
      <c r="AQ46" s="488"/>
      <c r="AR46" s="488"/>
      <c r="AS46" s="488"/>
      <c r="AT46" s="554" t="s">
        <v>2930</v>
      </c>
      <c r="AU46" s="555"/>
      <c r="AV46" s="488"/>
      <c r="AW46" s="488"/>
      <c r="AX46" s="488"/>
      <c r="AY46" s="488"/>
      <c r="AZ46" s="488"/>
      <c r="BA46" s="488"/>
      <c r="BB46" s="488"/>
      <c r="BC46" s="488"/>
      <c r="BD46" s="488"/>
      <c r="BE46" s="488"/>
      <c r="BF46" s="488"/>
      <c r="BG46" s="488"/>
      <c r="BH46" s="488"/>
      <c r="BI46" s="554" t="s">
        <v>2930</v>
      </c>
      <c r="BJ46" s="820"/>
      <c r="BK46" s="820"/>
      <c r="BL46" s="820"/>
      <c r="BM46" s="820"/>
      <c r="BN46" s="820"/>
      <c r="BO46" s="820"/>
      <c r="BP46" s="820"/>
      <c r="BQ46" s="820"/>
      <c r="BR46" s="820"/>
      <c r="BS46" s="820"/>
      <c r="BT46" s="820"/>
      <c r="BU46" s="820"/>
      <c r="BV46" s="820"/>
      <c r="BW46" s="820"/>
    </row>
    <row r="47" spans="1:75" ht="11.1" customHeight="1">
      <c r="A47" s="496" t="s">
        <v>559</v>
      </c>
      <c r="B47" s="541">
        <v>85.861276887760795</v>
      </c>
      <c r="C47" s="541">
        <v>86.958778947743099</v>
      </c>
      <c r="D47" s="541">
        <v>123.29037037037</v>
      </c>
      <c r="E47" s="541">
        <v>123.82</v>
      </c>
      <c r="F47" s="541">
        <v>326.98833285245701</v>
      </c>
      <c r="G47" s="541">
        <v>328.391460018565</v>
      </c>
      <c r="H47" s="541">
        <v>87.322414113584202</v>
      </c>
      <c r="I47" s="541">
        <v>88.319840222547199</v>
      </c>
      <c r="J47" s="541">
        <v>18.138756001712501</v>
      </c>
      <c r="K47" s="541">
        <v>18.237252187233</v>
      </c>
      <c r="L47" s="541">
        <v>18.8324586096881</v>
      </c>
      <c r="M47" s="541">
        <v>19.108024691358001</v>
      </c>
      <c r="N47" s="541">
        <v>140.77123390072401</v>
      </c>
      <c r="O47" s="541">
        <v>142.73969492591999</v>
      </c>
      <c r="P47" s="496" t="s">
        <v>559</v>
      </c>
      <c r="Q47" s="320">
        <v>15.723353442419199</v>
      </c>
      <c r="R47" s="320">
        <v>15.789238783226301</v>
      </c>
      <c r="S47" s="320">
        <v>1.2871783493779101</v>
      </c>
      <c r="T47" s="320">
        <v>1.2980396267952601</v>
      </c>
      <c r="U47" s="320">
        <v>6.8496357083973796E-3</v>
      </c>
      <c r="V47" s="320">
        <v>6.8811826164277001E-3</v>
      </c>
      <c r="W47" s="320">
        <v>8.96674842268873E-5</v>
      </c>
      <c r="X47" s="320">
        <v>9.0037485320370404E-5</v>
      </c>
      <c r="Y47" s="320">
        <v>0.75932932632905004</v>
      </c>
      <c r="Z47" s="320">
        <v>0.78573468286956205</v>
      </c>
      <c r="AA47" s="320">
        <v>400.58485717925799</v>
      </c>
      <c r="AB47" s="320">
        <v>402.33956133225001</v>
      </c>
      <c r="AC47" s="320">
        <v>30.1966983578921</v>
      </c>
      <c r="AD47" s="320">
        <v>30.2997675272238</v>
      </c>
      <c r="AE47" s="496" t="s">
        <v>559</v>
      </c>
      <c r="AF47" s="320">
        <v>5.87097001763668E-2</v>
      </c>
      <c r="AG47" s="320">
        <v>5.8961904761904799E-2</v>
      </c>
      <c r="AH47" s="320">
        <v>1.0567958649114799</v>
      </c>
      <c r="AI47" s="320">
        <v>1.0590201455019399</v>
      </c>
      <c r="AJ47" s="320">
        <v>71.173164645134605</v>
      </c>
      <c r="AK47" s="320">
        <v>72.750427828780502</v>
      </c>
      <c r="AL47" s="320">
        <v>12.697793056312101</v>
      </c>
      <c r="AM47" s="320">
        <v>13.0749736008448</v>
      </c>
      <c r="AN47" s="320">
        <v>320.22087315984197</v>
      </c>
      <c r="AO47" s="320">
        <v>321.61038961038997</v>
      </c>
      <c r="AP47" s="320">
        <v>0.44346086451537198</v>
      </c>
      <c r="AQ47" s="320">
        <v>0.44563613460500301</v>
      </c>
      <c r="AR47" s="320">
        <v>2.0020995764242202</v>
      </c>
      <c r="AS47" s="320">
        <v>2.0220792370251801</v>
      </c>
      <c r="AT47" s="496" t="s">
        <v>559</v>
      </c>
      <c r="AU47" s="495">
        <v>33.825116761679098</v>
      </c>
      <c r="AV47" s="320">
        <v>33.9926699702132</v>
      </c>
      <c r="AW47" s="320">
        <v>1.58595010574205</v>
      </c>
      <c r="AX47" s="320">
        <v>1.55065748278021</v>
      </c>
      <c r="AY47" s="320">
        <v>32.835720247324097</v>
      </c>
      <c r="AZ47" s="320">
        <v>32.970310211689501</v>
      </c>
      <c r="BA47" s="320">
        <v>8.26945849438179E-2</v>
      </c>
      <c r="BB47" s="320">
        <v>8.5810913828710797E-2</v>
      </c>
      <c r="BC47" s="320">
        <v>95.466130910009696</v>
      </c>
      <c r="BD47" s="320">
        <v>96.564632481965305</v>
      </c>
      <c r="BE47" s="320">
        <v>12.7504875575931</v>
      </c>
      <c r="BF47" s="320">
        <v>13.005687756356</v>
      </c>
      <c r="BG47" s="320">
        <v>0.36719140447230803</v>
      </c>
      <c r="BH47" s="320">
        <v>0.36889617160732902</v>
      </c>
      <c r="BI47" s="496" t="s">
        <v>559</v>
      </c>
      <c r="BJ47" s="541">
        <v>152.16017193083701</v>
      </c>
      <c r="BK47" s="541">
        <v>153.32796730852601</v>
      </c>
      <c r="BL47" s="541">
        <v>1.0210308345194901</v>
      </c>
      <c r="BM47" s="541">
        <v>1.0149180327868901</v>
      </c>
      <c r="BN47" s="541">
        <v>167.431843896717</v>
      </c>
      <c r="BO47" s="541">
        <v>168.85312968771299</v>
      </c>
      <c r="BP47" s="541">
        <v>3.6822968910183498</v>
      </c>
      <c r="BQ47" s="541">
        <v>3.7049670855775001</v>
      </c>
      <c r="BR47" s="541">
        <v>33.568901679571603</v>
      </c>
      <c r="BS47" s="541">
        <v>33.711321961910699</v>
      </c>
      <c r="BT47" s="541">
        <v>123.29037037037</v>
      </c>
      <c r="BU47" s="541">
        <v>123.82</v>
      </c>
      <c r="BV47" s="541">
        <v>164.92633095004101</v>
      </c>
      <c r="BW47" s="541">
        <v>166.92793093350099</v>
      </c>
    </row>
    <row r="48" spans="1:75" ht="12" thickBot="1">
      <c r="A48" s="1913" t="s">
        <v>560</v>
      </c>
      <c r="B48" s="1914">
        <v>87.365056191395396</v>
      </c>
      <c r="C48" s="1914">
        <v>88.092584543423598</v>
      </c>
      <c r="D48" s="1914">
        <v>123.100769230769</v>
      </c>
      <c r="E48" s="1914">
        <v>123</v>
      </c>
      <c r="F48" s="1914">
        <v>326.50215766212</v>
      </c>
      <c r="G48" s="1914">
        <v>326.25994694960201</v>
      </c>
      <c r="H48" s="1914">
        <v>88.523279479572295</v>
      </c>
      <c r="I48" s="1914">
        <v>88.460570318961501</v>
      </c>
      <c r="J48" s="1914">
        <v>18.137992128322001</v>
      </c>
      <c r="K48" s="1914">
        <v>18.134103909889699</v>
      </c>
      <c r="L48" s="1914">
        <v>19.079002825111399</v>
      </c>
      <c r="M48" s="1914">
        <v>19.0603111634538</v>
      </c>
      <c r="N48" s="1914">
        <v>142.617502160306</v>
      </c>
      <c r="O48" s="1914">
        <v>142.495498938282</v>
      </c>
      <c r="P48" s="1913" t="s">
        <v>560</v>
      </c>
      <c r="Q48" s="1915">
        <v>15.696370924562199</v>
      </c>
      <c r="R48" s="1915">
        <v>15.6883752965485</v>
      </c>
      <c r="S48" s="1915">
        <v>1.2896193877059099</v>
      </c>
      <c r="T48" s="1915">
        <v>1.2895785279932901</v>
      </c>
      <c r="U48" s="1915">
        <v>6.90582570302933E-3</v>
      </c>
      <c r="V48" s="1915">
        <v>6.93055359909846E-3</v>
      </c>
      <c r="W48" s="1915">
        <v>8.9554248481568102E-5</v>
      </c>
      <c r="X48" s="1915">
        <v>8.9480576167612404E-5</v>
      </c>
      <c r="Y48" s="1915">
        <v>0.77529388987461101</v>
      </c>
      <c r="Z48" s="1915">
        <v>0.76843782213475798</v>
      </c>
      <c r="AA48" s="1915">
        <v>400.798108600246</v>
      </c>
      <c r="AB48" s="1915">
        <v>400.45580335340998</v>
      </c>
      <c r="AC48" s="1915">
        <v>30.278337081132999</v>
      </c>
      <c r="AD48" s="1915">
        <v>30.5514157973174</v>
      </c>
      <c r="AE48" s="1913" t="s">
        <v>560</v>
      </c>
      <c r="AF48" s="1915">
        <v>5.8619413919413901E-2</v>
      </c>
      <c r="AG48" s="1915">
        <v>5.8571428571428601E-2</v>
      </c>
      <c r="AH48" s="1915">
        <v>1.06319046479067</v>
      </c>
      <c r="AI48" s="1915">
        <v>1.06497655752822</v>
      </c>
      <c r="AJ48" s="1915">
        <v>72.7251464758304</v>
      </c>
      <c r="AK48" s="1915">
        <v>72.729881278538798</v>
      </c>
      <c r="AL48" s="1915">
        <v>13.0622050489293</v>
      </c>
      <c r="AM48" s="1915">
        <v>13.120419853435299</v>
      </c>
      <c r="AN48" s="1915">
        <v>319.73905149518703</v>
      </c>
      <c r="AO48" s="1915">
        <v>319.48051948051898</v>
      </c>
      <c r="AP48" s="1915">
        <v>0.44254465661892101</v>
      </c>
      <c r="AQ48" s="1915">
        <v>0.44288414798811798</v>
      </c>
      <c r="AR48" s="1915">
        <v>2.0030049598863502</v>
      </c>
      <c r="AS48" s="1915">
        <v>1.9723391461214701</v>
      </c>
      <c r="AT48" s="1913" t="s">
        <v>560</v>
      </c>
      <c r="AU48" s="1878">
        <v>33.7723182213415</v>
      </c>
      <c r="AV48" s="1915">
        <v>33.742541663809099</v>
      </c>
      <c r="AW48" s="1915">
        <v>1.48312076591231</v>
      </c>
      <c r="AX48" s="1915">
        <v>1.4277423099245501</v>
      </c>
      <c r="AY48" s="1915">
        <v>32.785131650054304</v>
      </c>
      <c r="AZ48" s="1915">
        <v>32.7585058925361</v>
      </c>
      <c r="BA48" s="1915">
        <v>8.7700232768438094E-2</v>
      </c>
      <c r="BB48" s="1915">
        <v>8.9435032356576696E-2</v>
      </c>
      <c r="BC48" s="1915">
        <v>96.410599151393598</v>
      </c>
      <c r="BD48" s="1915">
        <v>96.474371543982102</v>
      </c>
      <c r="BE48" s="1915">
        <v>12.933695148588701</v>
      </c>
      <c r="BF48" s="1915">
        <v>12.7971700567029</v>
      </c>
      <c r="BG48" s="1915">
        <v>0.37077120601042202</v>
      </c>
      <c r="BH48" s="1915">
        <v>0.37557251908396899</v>
      </c>
      <c r="BI48" s="1913" t="s">
        <v>560</v>
      </c>
      <c r="BJ48" s="1914">
        <v>152.39381594950601</v>
      </c>
      <c r="BK48" s="1914">
        <v>151.97380614073001</v>
      </c>
      <c r="BL48" s="1914">
        <v>1.0088795676868401</v>
      </c>
      <c r="BM48" s="1914">
        <v>1.00819672131148</v>
      </c>
      <c r="BN48" s="1914">
        <v>168.48409258666101</v>
      </c>
      <c r="BO48" s="1914">
        <v>168.37782340862401</v>
      </c>
      <c r="BP48" s="1914">
        <v>3.7258093971293098</v>
      </c>
      <c r="BQ48" s="1914">
        <v>3.7087290818634102</v>
      </c>
      <c r="BR48" s="1914">
        <v>33.5169245514236</v>
      </c>
      <c r="BS48" s="1914">
        <v>33.489435852755399</v>
      </c>
      <c r="BT48" s="1914">
        <v>123.100769230769</v>
      </c>
      <c r="BU48" s="1914">
        <v>123</v>
      </c>
      <c r="BV48" s="1914">
        <v>166.62483582150901</v>
      </c>
      <c r="BW48" s="1914">
        <v>166.48664795537701</v>
      </c>
    </row>
    <row r="49" spans="1:75">
      <c r="A49" s="2622" t="s">
        <v>2957</v>
      </c>
      <c r="B49" s="2622"/>
      <c r="C49" s="2622"/>
      <c r="D49" s="2622"/>
      <c r="E49" s="2622"/>
      <c r="F49" s="2622"/>
      <c r="G49" s="2622"/>
      <c r="H49" s="542" t="s">
        <v>377</v>
      </c>
      <c r="I49" s="2575" t="s">
        <v>1208</v>
      </c>
      <c r="J49" s="2575"/>
      <c r="K49" s="2575"/>
      <c r="L49" s="2575"/>
      <c r="M49" s="2575"/>
      <c r="N49" s="6"/>
      <c r="O49" s="6"/>
      <c r="P49" s="543"/>
      <c r="Q49" s="30"/>
      <c r="R49" s="30"/>
      <c r="S49" s="30"/>
      <c r="T49" s="30"/>
      <c r="U49" s="30"/>
      <c r="V49" s="30"/>
      <c r="W49" s="61"/>
      <c r="X49" s="61"/>
      <c r="Y49" s="61"/>
      <c r="Z49" s="61"/>
      <c r="AA49" s="61"/>
      <c r="AB49" s="61"/>
      <c r="AC49" s="61"/>
      <c r="AD49" s="61"/>
      <c r="AE49" s="543" t="s">
        <v>675</v>
      </c>
      <c r="AF49" s="2575" t="s">
        <v>1256</v>
      </c>
      <c r="AG49" s="2575"/>
      <c r="AH49" s="2575"/>
      <c r="AI49" s="2575"/>
      <c r="AJ49" s="2575"/>
      <c r="AK49" s="2575"/>
      <c r="AL49" s="61"/>
      <c r="AM49" s="61"/>
      <c r="AN49" s="61"/>
      <c r="AO49" s="61"/>
      <c r="AP49" s="61"/>
      <c r="AQ49" s="61"/>
      <c r="AR49" s="61"/>
      <c r="AS49" s="61"/>
      <c r="AT49" s="1691"/>
      <c r="AU49" s="30"/>
      <c r="AV49" s="30"/>
      <c r="AW49" s="30"/>
      <c r="AX49" s="30"/>
      <c r="AY49" s="30"/>
      <c r="AZ49" s="30"/>
      <c r="BA49" s="61"/>
      <c r="BB49" s="61"/>
      <c r="BC49" s="61"/>
      <c r="BD49" s="61"/>
      <c r="BE49" s="61"/>
      <c r="BF49" s="61"/>
      <c r="BG49" s="61"/>
      <c r="BH49" s="61"/>
      <c r="BI49" s="543"/>
      <c r="BJ49" s="544"/>
      <c r="BK49" s="544"/>
      <c r="BL49" s="544"/>
      <c r="BM49" s="544"/>
      <c r="BN49" s="544"/>
      <c r="BO49" s="544"/>
      <c r="BP49" s="544"/>
      <c r="BQ49" s="544"/>
      <c r="BR49" s="544"/>
      <c r="BS49" s="544"/>
      <c r="BT49" s="544"/>
      <c r="BU49" s="544"/>
      <c r="BV49" s="544"/>
      <c r="BW49" s="544"/>
    </row>
    <row r="50" spans="1:75">
      <c r="B50" s="150"/>
      <c r="C50" s="150"/>
      <c r="D50" s="150"/>
      <c r="E50" s="150"/>
      <c r="F50" s="150"/>
      <c r="G50" s="150"/>
      <c r="H50" s="150"/>
      <c r="I50" s="150"/>
      <c r="J50" s="150"/>
      <c r="K50" s="150"/>
      <c r="L50" s="150"/>
      <c r="M50" s="150"/>
      <c r="N50" s="150"/>
      <c r="O50" s="150"/>
      <c r="P50" s="945"/>
      <c r="Q50" s="150"/>
      <c r="R50" s="150"/>
      <c r="S50" s="150"/>
      <c r="T50" s="150"/>
      <c r="U50" s="150"/>
      <c r="V50" s="150"/>
      <c r="W50" s="150"/>
      <c r="X50" s="150"/>
      <c r="Y50" s="150"/>
      <c r="Z50" s="150"/>
      <c r="AA50" s="150"/>
      <c r="AB50" s="150"/>
      <c r="AC50" s="150"/>
      <c r="AD50" s="150"/>
      <c r="AE50" s="945"/>
      <c r="AF50" s="150"/>
      <c r="AG50" s="150"/>
      <c r="AH50" s="150"/>
      <c r="AI50" s="150"/>
      <c r="AJ50" s="150"/>
      <c r="AK50" s="150"/>
      <c r="AL50" s="150"/>
      <c r="AM50" s="150"/>
      <c r="AN50" s="150"/>
      <c r="AO50" s="150"/>
      <c r="AP50" s="150"/>
      <c r="AQ50" s="150"/>
      <c r="AR50" s="150"/>
      <c r="AS50" s="150"/>
      <c r="AT50" s="945"/>
      <c r="AU50" s="150"/>
      <c r="AV50" s="150"/>
      <c r="AW50" s="150"/>
      <c r="AX50" s="150"/>
      <c r="AY50" s="150"/>
      <c r="AZ50" s="150"/>
      <c r="BA50" s="150"/>
      <c r="BB50" s="150"/>
      <c r="BC50" s="150"/>
      <c r="BD50" s="150"/>
      <c r="BE50" s="150"/>
      <c r="BF50" s="150"/>
      <c r="BG50" s="150"/>
      <c r="BH50" s="150"/>
      <c r="BI50" s="945"/>
      <c r="BJ50" s="150"/>
      <c r="BK50" s="150"/>
      <c r="BL50" s="150"/>
      <c r="BM50" s="150"/>
      <c r="BN50" s="150"/>
      <c r="BO50" s="150"/>
      <c r="BP50" s="150"/>
      <c r="BQ50" s="150"/>
      <c r="BR50" s="150"/>
      <c r="BS50" s="150"/>
    </row>
    <row r="51" spans="1:75" s="1684" customFormat="1" ht="12.75"/>
    <row r="52" spans="1:75" ht="12.75">
      <c r="A52" s="1684"/>
      <c r="B52" s="1684"/>
      <c r="C52" s="1684"/>
      <c r="D52" s="1684"/>
      <c r="E52" s="1684"/>
      <c r="F52" s="1684"/>
      <c r="G52" s="1684"/>
      <c r="H52" s="1684"/>
      <c r="I52" s="1684"/>
      <c r="J52" s="1684"/>
      <c r="K52" s="1684"/>
      <c r="L52" s="1684"/>
      <c r="M52" s="1684"/>
      <c r="N52" s="1684"/>
      <c r="O52" s="1684"/>
      <c r="P52" s="1684"/>
      <c r="Q52" s="1684"/>
      <c r="R52" s="1684"/>
      <c r="S52" s="1684"/>
      <c r="T52" s="1684"/>
      <c r="U52" s="1684"/>
      <c r="V52" s="1684"/>
      <c r="W52" s="1684"/>
      <c r="X52" s="1684"/>
      <c r="Y52" s="1684"/>
      <c r="Z52" s="1684"/>
      <c r="AA52" s="1684"/>
      <c r="AB52" s="1684"/>
      <c r="AC52" s="1684"/>
      <c r="AD52" s="1684"/>
      <c r="AE52" s="1684"/>
      <c r="AF52" s="1684"/>
      <c r="AG52" s="1684"/>
      <c r="AH52" s="1684"/>
      <c r="AI52" s="1684"/>
      <c r="AJ52" s="1684"/>
      <c r="AK52" s="1684"/>
      <c r="AL52" s="1684"/>
      <c r="AM52" s="1684"/>
      <c r="AN52" s="1684"/>
      <c r="AO52" s="1684"/>
      <c r="AP52" s="1684"/>
      <c r="AQ52" s="1684"/>
      <c r="AR52" s="1684"/>
      <c r="AS52" s="1684"/>
      <c r="AT52" s="1684"/>
      <c r="AU52" s="1684"/>
      <c r="AV52" s="1684"/>
      <c r="AW52" s="1684"/>
      <c r="AX52" s="1684"/>
      <c r="AY52" s="1684"/>
      <c r="AZ52" s="1684"/>
      <c r="BA52" s="1684"/>
      <c r="BB52" s="1684"/>
      <c r="BC52" s="1684"/>
      <c r="BD52" s="1684"/>
      <c r="BE52" s="1684"/>
      <c r="BF52" s="1684"/>
      <c r="BG52" s="1684"/>
      <c r="BH52" s="1684"/>
      <c r="BI52" s="1684"/>
      <c r="BJ52" s="1684"/>
      <c r="BK52" s="1684"/>
      <c r="BL52" s="1684"/>
      <c r="BM52" s="1684"/>
      <c r="BN52" s="1684"/>
      <c r="BO52" s="1684"/>
      <c r="BP52" s="1684"/>
      <c r="BQ52" s="1684"/>
      <c r="BR52" s="1684"/>
      <c r="BS52" s="1684"/>
      <c r="BT52" s="1684"/>
      <c r="BU52" s="1684"/>
      <c r="BV52" s="1684"/>
      <c r="BW52" s="1684"/>
    </row>
  </sheetData>
  <customSheetViews>
    <customSheetView guid="{A374FC54-96E3-45F0-9C12-8450400C12DF}" scale="160">
      <pane xSplit="1" ySplit="6" topLeftCell="BB41" activePane="bottomRight" state="frozen"/>
      <selection pane="bottomRight" activeCell="BI52" sqref="BI52"/>
      <pageMargins left="0.70866141732283505" right="0.70866141732283505" top="0.74803149606299202" bottom="0.74803149606299202" header="0.31496062992126" footer="0.511811023622047"/>
      <pageSetup paperSize="132" firstPageNumber="86" orientation="portrait" useFirstPageNumber="1" r:id="rId1"/>
      <headerFooter>
        <oddFooter>&amp;C&amp;"Times New Roman,Regular"&amp;8&amp;P</oddFooter>
      </headerFooter>
    </customSheetView>
  </customSheetViews>
  <mergeCells count="124">
    <mergeCell ref="A49:G49"/>
    <mergeCell ref="I49:M49"/>
    <mergeCell ref="AF49:AK49"/>
    <mergeCell ref="C4:C5"/>
    <mergeCell ref="D4:D5"/>
    <mergeCell ref="E4:E5"/>
    <mergeCell ref="BU1:BW1"/>
    <mergeCell ref="AC2:AD2"/>
    <mergeCell ref="A3:A6"/>
    <mergeCell ref="B3:C3"/>
    <mergeCell ref="D3:E3"/>
    <mergeCell ref="F3:G3"/>
    <mergeCell ref="H3:I3"/>
    <mergeCell ref="F1:G1"/>
    <mergeCell ref="M1:O1"/>
    <mergeCell ref="U1:V1"/>
    <mergeCell ref="AB1:AD1"/>
    <mergeCell ref="AJ1:AK1"/>
    <mergeCell ref="AQ1:AS1"/>
    <mergeCell ref="J3:K3"/>
    <mergeCell ref="L3:M3"/>
    <mergeCell ref="N3:O3"/>
    <mergeCell ref="P3:P6"/>
    <mergeCell ref="Q3:R3"/>
    <mergeCell ref="AY1:AZ1"/>
    <mergeCell ref="BF1:BH1"/>
    <mergeCell ref="BN1:BO1"/>
    <mergeCell ref="AR4:AR5"/>
    <mergeCell ref="AS4:AS5"/>
    <mergeCell ref="AU4:AU5"/>
    <mergeCell ref="AR3:AS3"/>
    <mergeCell ref="AT3:AT6"/>
    <mergeCell ref="AF3:AG3"/>
    <mergeCell ref="AH3:AI3"/>
    <mergeCell ref="AJ3:AK3"/>
    <mergeCell ref="AL3:AM3"/>
    <mergeCell ref="AN3:AO3"/>
    <mergeCell ref="AP3:AQ3"/>
    <mergeCell ref="AF4:AF5"/>
    <mergeCell ref="AG4:AG5"/>
    <mergeCell ref="AH4:AH5"/>
    <mergeCell ref="AP4:AP5"/>
    <mergeCell ref="AQ4:AQ5"/>
    <mergeCell ref="AL4:AL5"/>
    <mergeCell ref="AM4:AM5"/>
    <mergeCell ref="Z4:Z5"/>
    <mergeCell ref="Q4:Q5"/>
    <mergeCell ref="T4:T5"/>
    <mergeCell ref="V4:V5"/>
    <mergeCell ref="W4:W5"/>
    <mergeCell ref="X4:X5"/>
    <mergeCell ref="BT3:BU3"/>
    <mergeCell ref="BV3:BW3"/>
    <mergeCell ref="B4:B5"/>
    <mergeCell ref="BJ3:BK3"/>
    <mergeCell ref="AK4:AK5"/>
    <mergeCell ref="AZ4:AZ5"/>
    <mergeCell ref="BP3:BQ3"/>
    <mergeCell ref="AO4:AO5"/>
    <mergeCell ref="AN4:AN5"/>
    <mergeCell ref="F4:F5"/>
    <mergeCell ref="G4:G5"/>
    <mergeCell ref="H4:H5"/>
    <mergeCell ref="J4:J5"/>
    <mergeCell ref="K4:K5"/>
    <mergeCell ref="L4:L5"/>
    <mergeCell ref="U3:V3"/>
    <mergeCell ref="W3:X3"/>
    <mergeCell ref="Y3:Z3"/>
    <mergeCell ref="U4:U5"/>
    <mergeCell ref="I4:I5"/>
    <mergeCell ref="S3:T3"/>
    <mergeCell ref="M4:M5"/>
    <mergeCell ref="N4:N5"/>
    <mergeCell ref="R4:R5"/>
    <mergeCell ref="S4:S5"/>
    <mergeCell ref="O4:O5"/>
    <mergeCell ref="Y4:Y5"/>
    <mergeCell ref="AC3:AD3"/>
    <mergeCell ref="AE3:AE6"/>
    <mergeCell ref="AB4:AB5"/>
    <mergeCell ref="AC4:AC5"/>
    <mergeCell ref="AD4:AD5"/>
    <mergeCell ref="AI4:AI5"/>
    <mergeCell ref="AJ4:AJ5"/>
    <mergeCell ref="AA3:AB3"/>
    <mergeCell ref="AA4:AA5"/>
    <mergeCell ref="BR3:BS3"/>
    <mergeCell ref="AW4:AW5"/>
    <mergeCell ref="AX4:AX5"/>
    <mergeCell ref="AY4:AY5"/>
    <mergeCell ref="BA3:BB3"/>
    <mergeCell ref="AV4:AV5"/>
    <mergeCell ref="BC4:BC5"/>
    <mergeCell ref="BD4:BD5"/>
    <mergeCell ref="BE4:BE5"/>
    <mergeCell ref="BF4:BF5"/>
    <mergeCell ref="BG4:BG5"/>
    <mergeCell ref="BH4:BH5"/>
    <mergeCell ref="BJ4:BJ5"/>
    <mergeCell ref="BC3:BD3"/>
    <mergeCell ref="BE3:BF3"/>
    <mergeCell ref="AU3:AV3"/>
    <mergeCell ref="AW3:AX3"/>
    <mergeCell ref="AY3:AZ3"/>
    <mergeCell ref="BA4:BA5"/>
    <mergeCell ref="BB4:BB5"/>
    <mergeCell ref="BL3:BM3"/>
    <mergeCell ref="BN3:BO3"/>
    <mergeCell ref="BG3:BH3"/>
    <mergeCell ref="BI3:BI6"/>
    <mergeCell ref="BW4:BW5"/>
    <mergeCell ref="BQ4:BQ5"/>
    <mergeCell ref="BR4:BR5"/>
    <mergeCell ref="BS4:BS5"/>
    <mergeCell ref="BT4:BT5"/>
    <mergeCell ref="BU4:BU5"/>
    <mergeCell ref="BV4:BV5"/>
    <mergeCell ref="BK4:BK5"/>
    <mergeCell ref="BL4:BL5"/>
    <mergeCell ref="BM4:BM5"/>
    <mergeCell ref="BN4:BN5"/>
    <mergeCell ref="BO4:BO5"/>
    <mergeCell ref="BP4:BP5"/>
  </mergeCells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sheetPr codeName="Sheet34"/>
  <dimension ref="A1:AJ51"/>
  <sheetViews>
    <sheetView zoomScale="130" zoomScaleNormal="130" workbookViewId="0">
      <pane xSplit="1" ySplit="3" topLeftCell="B13" activePane="bottomRight" state="frozen"/>
      <selection activeCell="BU10" sqref="BU10"/>
      <selection pane="topRight" activeCell="BU10" sqref="BU10"/>
      <selection pane="bottomLeft" activeCell="BU10" sqref="BU10"/>
      <selection pane="bottomRight" activeCell="Q27" sqref="Q27"/>
    </sheetView>
  </sheetViews>
  <sheetFormatPr defaultColWidth="9.140625" defaultRowHeight="11.25"/>
  <cols>
    <col min="1" max="1" width="11.5703125" style="8" customWidth="1"/>
    <col min="2" max="2" width="9.42578125" style="8" customWidth="1"/>
    <col min="3" max="3" width="10.140625" style="8" customWidth="1"/>
    <col min="4" max="4" width="9.140625" style="8" customWidth="1"/>
    <col min="5" max="5" width="8.140625" style="8" customWidth="1"/>
    <col min="6" max="6" width="8.85546875" style="8" customWidth="1"/>
    <col min="7" max="7" width="8.42578125" style="8" customWidth="1"/>
    <col min="8" max="8" width="7.7109375" style="8" customWidth="1"/>
    <col min="9" max="9" width="8.42578125" style="8" customWidth="1"/>
    <col min="10" max="10" width="7.28515625" style="8" customWidth="1"/>
    <col min="11" max="11" width="7.140625" style="8" customWidth="1"/>
    <col min="12" max="12" width="7.7109375" style="8" customWidth="1"/>
    <col min="13" max="13" width="7.85546875" style="8" customWidth="1"/>
    <col min="14" max="14" width="7.5703125" style="8" customWidth="1"/>
    <col min="15" max="15" width="7.42578125" style="8" customWidth="1"/>
    <col min="16" max="17" width="7.28515625" style="8" customWidth="1"/>
    <col min="18" max="19" width="9" style="8" customWidth="1"/>
    <col min="20" max="20" width="8.28515625" style="8" customWidth="1"/>
    <col min="21" max="21" width="8.42578125" style="8" customWidth="1"/>
    <col min="22" max="22" width="8.5703125" style="8" customWidth="1"/>
    <col min="23" max="23" width="8.28515625" style="8" customWidth="1"/>
    <col min="24" max="24" width="8.85546875" style="8" customWidth="1"/>
    <col min="25" max="25" width="8.140625" style="8" customWidth="1"/>
    <col min="26" max="26" width="8.5703125" style="8" customWidth="1"/>
    <col min="27" max="27" width="9" style="8" customWidth="1"/>
    <col min="28" max="28" width="9.140625" style="8" customWidth="1"/>
    <col min="29" max="29" width="8.5703125" style="8" customWidth="1"/>
    <col min="30" max="30" width="9.42578125" style="8" customWidth="1"/>
    <col min="31" max="31" width="9" style="8" customWidth="1"/>
    <col min="32" max="32" width="8.28515625" style="8" customWidth="1"/>
    <col min="33" max="33" width="7.7109375" style="8" customWidth="1"/>
    <col min="34" max="34" width="8.5703125" style="8" customWidth="1"/>
    <col min="35" max="35" width="7.42578125" style="8" customWidth="1"/>
    <col min="36" max="36" width="8.5703125" style="8" customWidth="1"/>
    <col min="37" max="16384" width="9.140625" style="8"/>
  </cols>
  <sheetData>
    <row r="1" spans="1:36" s="125" customFormat="1" ht="15" customHeight="1">
      <c r="A1" s="2625" t="s">
        <v>316</v>
      </c>
      <c r="B1" s="2625"/>
      <c r="C1" s="2625"/>
      <c r="D1" s="2625"/>
      <c r="E1" s="2625"/>
      <c r="F1" s="2625"/>
      <c r="G1" s="2625"/>
      <c r="H1" s="2625"/>
      <c r="I1" s="2626" t="s">
        <v>317</v>
      </c>
      <c r="J1" s="2626"/>
      <c r="K1" s="2626"/>
      <c r="L1" s="2626"/>
      <c r="M1" s="2626"/>
      <c r="N1" s="2626"/>
      <c r="O1" s="306"/>
      <c r="P1" s="2624" t="s">
        <v>1079</v>
      </c>
      <c r="Q1" s="2624"/>
      <c r="R1" s="2624"/>
      <c r="S1" s="2625" t="s">
        <v>830</v>
      </c>
      <c r="T1" s="2625"/>
      <c r="U1" s="2625"/>
      <c r="V1" s="2625"/>
      <c r="W1" s="2625"/>
      <c r="X1" s="2625"/>
      <c r="Y1" s="2625"/>
      <c r="Z1" s="2625"/>
      <c r="AA1" s="2625"/>
      <c r="AB1" s="2626" t="s">
        <v>317</v>
      </c>
      <c r="AC1" s="2626"/>
      <c r="AD1" s="2626"/>
      <c r="AE1" s="2626"/>
      <c r="AF1" s="2626"/>
      <c r="AG1" s="306"/>
      <c r="AH1" s="2624" t="s">
        <v>1080</v>
      </c>
      <c r="AI1" s="2624"/>
      <c r="AJ1" s="2624"/>
    </row>
    <row r="2" spans="1:36" s="15" customFormat="1" ht="10.5" customHeight="1">
      <c r="A2" s="40"/>
      <c r="B2" s="40"/>
      <c r="C2" s="40"/>
      <c r="E2" s="1443"/>
      <c r="H2" s="65"/>
      <c r="I2" s="1696"/>
      <c r="J2" s="65"/>
      <c r="K2" s="65"/>
      <c r="L2" s="65"/>
      <c r="M2" s="65"/>
      <c r="N2" s="65"/>
      <c r="O2" s="40"/>
      <c r="P2" s="40"/>
      <c r="Q2" s="2591" t="s">
        <v>611</v>
      </c>
      <c r="R2" s="2591"/>
      <c r="W2" s="1443"/>
      <c r="AI2" s="2591" t="s">
        <v>611</v>
      </c>
      <c r="AJ2" s="2591"/>
    </row>
    <row r="3" spans="1:36" s="84" customFormat="1" ht="39" customHeight="1">
      <c r="A3" s="1689" t="s">
        <v>919</v>
      </c>
      <c r="B3" s="1689" t="s">
        <v>612</v>
      </c>
      <c r="C3" s="1689" t="s">
        <v>374</v>
      </c>
      <c r="D3" s="1689" t="s">
        <v>515</v>
      </c>
      <c r="E3" s="1689" t="s">
        <v>516</v>
      </c>
      <c r="F3" s="1689" t="s">
        <v>814</v>
      </c>
      <c r="G3" s="1689" t="s">
        <v>815</v>
      </c>
      <c r="H3" s="1689" t="s">
        <v>300</v>
      </c>
      <c r="I3" s="1689" t="s">
        <v>816</v>
      </c>
      <c r="J3" s="1689" t="s">
        <v>518</v>
      </c>
      <c r="K3" s="1689" t="s">
        <v>817</v>
      </c>
      <c r="L3" s="1689" t="s">
        <v>239</v>
      </c>
      <c r="M3" s="1689" t="s">
        <v>818</v>
      </c>
      <c r="N3" s="1689" t="s">
        <v>819</v>
      </c>
      <c r="O3" s="1689" t="s">
        <v>820</v>
      </c>
      <c r="P3" s="1689" t="s">
        <v>821</v>
      </c>
      <c r="Q3" s="1689" t="s">
        <v>521</v>
      </c>
      <c r="R3" s="1689" t="s">
        <v>522</v>
      </c>
      <c r="S3" s="1689" t="s">
        <v>919</v>
      </c>
      <c r="T3" s="1689" t="s">
        <v>523</v>
      </c>
      <c r="U3" s="1689" t="s">
        <v>524</v>
      </c>
      <c r="V3" s="1689" t="s">
        <v>822</v>
      </c>
      <c r="W3" s="1689" t="s">
        <v>526</v>
      </c>
      <c r="X3" s="1689" t="s">
        <v>1899</v>
      </c>
      <c r="Y3" s="1689" t="s">
        <v>823</v>
      </c>
      <c r="Z3" s="1689" t="s">
        <v>824</v>
      </c>
      <c r="AA3" s="1689" t="s">
        <v>375</v>
      </c>
      <c r="AB3" s="1689" t="s">
        <v>825</v>
      </c>
      <c r="AC3" s="1689" t="s">
        <v>826</v>
      </c>
      <c r="AD3" s="1700" t="s">
        <v>827</v>
      </c>
      <c r="AE3" s="1689" t="s">
        <v>1900</v>
      </c>
      <c r="AF3" s="1689" t="s">
        <v>614</v>
      </c>
      <c r="AG3" s="1689" t="s">
        <v>532</v>
      </c>
      <c r="AH3" s="1689" t="s">
        <v>1512</v>
      </c>
      <c r="AI3" s="1689" t="s">
        <v>1258</v>
      </c>
      <c r="AJ3" s="1689" t="s">
        <v>1257</v>
      </c>
    </row>
    <row r="4" spans="1:36" s="230" customFormat="1" ht="12" customHeight="1">
      <c r="A4" s="637" t="s">
        <v>1033</v>
      </c>
      <c r="B4" s="334">
        <v>-18.440000000000001</v>
      </c>
      <c r="C4" s="334">
        <v>-0.22</v>
      </c>
      <c r="D4" s="334">
        <v>-0.01</v>
      </c>
      <c r="E4" s="334">
        <v>-13.97</v>
      </c>
      <c r="F4" s="334">
        <v>0.64</v>
      </c>
      <c r="G4" s="334">
        <v>-17.73</v>
      </c>
      <c r="H4" s="334">
        <v>-17.670000000000002</v>
      </c>
      <c r="I4" s="334">
        <v>-0.01</v>
      </c>
      <c r="J4" s="334">
        <v>-5.75</v>
      </c>
      <c r="K4" s="334">
        <v>-10.130000000000001</v>
      </c>
      <c r="L4" s="334">
        <v>-12.59</v>
      </c>
      <c r="M4" s="334">
        <v>-17.21</v>
      </c>
      <c r="N4" s="334">
        <v>-6.77</v>
      </c>
      <c r="O4" s="334">
        <v>-15.23</v>
      </c>
      <c r="P4" s="334">
        <v>-99.43</v>
      </c>
      <c r="Q4" s="334">
        <v>-5.44</v>
      </c>
      <c r="R4" s="334">
        <v>-21.92</v>
      </c>
      <c r="S4" s="637" t="s">
        <v>1033</v>
      </c>
      <c r="T4" s="334">
        <v>-22.06</v>
      </c>
      <c r="U4" s="334">
        <v>0.01</v>
      </c>
      <c r="V4" s="334">
        <v>-3.09</v>
      </c>
      <c r="W4" s="334">
        <v>-3.09</v>
      </c>
      <c r="X4" s="334">
        <v>-0.01</v>
      </c>
      <c r="Y4" s="334">
        <v>-39.450000000000003</v>
      </c>
      <c r="Z4" s="334">
        <v>-0.01</v>
      </c>
      <c r="AA4" s="334">
        <v>-9.57</v>
      </c>
      <c r="AB4" s="334">
        <v>-7.17</v>
      </c>
      <c r="AC4" s="334">
        <v>-18.239999999999998</v>
      </c>
      <c r="AD4" s="334">
        <v>-2.5499999999999998</v>
      </c>
      <c r="AE4" s="334">
        <v>-3.8</v>
      </c>
      <c r="AF4" s="334">
        <v>-31.24</v>
      </c>
      <c r="AG4" s="334">
        <v>-9.1199999999999992</v>
      </c>
      <c r="AH4" s="334">
        <v>-3.91</v>
      </c>
      <c r="AI4" s="334">
        <v>0</v>
      </c>
      <c r="AJ4" s="334">
        <v>-7.63</v>
      </c>
    </row>
    <row r="5" spans="1:36" s="230" customFormat="1" ht="12" customHeight="1">
      <c r="A5" s="692" t="s">
        <v>1154</v>
      </c>
      <c r="B5" s="320">
        <v>-3.89</v>
      </c>
      <c r="C5" s="320">
        <v>-0.76</v>
      </c>
      <c r="D5" s="320">
        <v>-0.08</v>
      </c>
      <c r="E5" s="320">
        <v>-4.84</v>
      </c>
      <c r="F5" s="320">
        <v>-7.82</v>
      </c>
      <c r="G5" s="320">
        <v>-1.31</v>
      </c>
      <c r="H5" s="320">
        <v>-1.52</v>
      </c>
      <c r="I5" s="320">
        <v>-0.08</v>
      </c>
      <c r="J5" s="320">
        <v>-5.91</v>
      </c>
      <c r="K5" s="320">
        <v>1.28</v>
      </c>
      <c r="L5" s="320">
        <v>-2.61</v>
      </c>
      <c r="M5" s="320">
        <v>19.25</v>
      </c>
      <c r="N5" s="320">
        <v>0.05</v>
      </c>
      <c r="O5" s="320">
        <v>-6.68</v>
      </c>
      <c r="P5" s="320">
        <v>-5.53</v>
      </c>
      <c r="Q5" s="320">
        <v>-6.41</v>
      </c>
      <c r="R5" s="320">
        <v>2.8</v>
      </c>
      <c r="S5" s="692" t="s">
        <v>1154</v>
      </c>
      <c r="T5" s="320">
        <v>-7.3</v>
      </c>
      <c r="U5" s="320">
        <v>-0.01</v>
      </c>
      <c r="V5" s="320">
        <v>-2.68</v>
      </c>
      <c r="W5" s="320">
        <v>-3.89</v>
      </c>
      <c r="X5" s="320">
        <v>0</v>
      </c>
      <c r="Y5" s="320">
        <v>-13.36</v>
      </c>
      <c r="Z5" s="320">
        <v>0.01</v>
      </c>
      <c r="AA5" s="320">
        <v>-3.69</v>
      </c>
      <c r="AB5" s="320">
        <v>-0.55000000000000004</v>
      </c>
      <c r="AC5" s="320">
        <v>-3.04</v>
      </c>
      <c r="AD5" s="320">
        <v>-9.5299999999999994</v>
      </c>
      <c r="AE5" s="320">
        <v>-5.73</v>
      </c>
      <c r="AF5" s="320">
        <v>0.35</v>
      </c>
      <c r="AG5" s="320">
        <v>-0.56999999999999995</v>
      </c>
      <c r="AH5" s="320">
        <v>-4.17</v>
      </c>
      <c r="AI5" s="320">
        <v>0</v>
      </c>
      <c r="AJ5" s="320">
        <v>-15.21</v>
      </c>
    </row>
    <row r="6" spans="1:36" s="230" customFormat="1" ht="12" customHeight="1">
      <c r="A6" s="776" t="s">
        <v>1178</v>
      </c>
      <c r="B6" s="334">
        <v>4.01</v>
      </c>
      <c r="C6" s="334">
        <v>-2.72</v>
      </c>
      <c r="D6" s="334">
        <v>0.03</v>
      </c>
      <c r="E6" s="334">
        <v>0.15</v>
      </c>
      <c r="F6" s="334">
        <v>-2.1</v>
      </c>
      <c r="G6" s="334">
        <v>3.51</v>
      </c>
      <c r="H6" s="334">
        <v>3.38</v>
      </c>
      <c r="I6" s="334">
        <v>-0.6</v>
      </c>
      <c r="J6" s="334">
        <v>4.72</v>
      </c>
      <c r="K6" s="334">
        <v>-1.24</v>
      </c>
      <c r="L6" s="334">
        <v>-7.34</v>
      </c>
      <c r="M6" s="334">
        <v>-8.4</v>
      </c>
      <c r="N6" s="334">
        <v>-0.4</v>
      </c>
      <c r="O6" s="334">
        <v>-5.53</v>
      </c>
      <c r="P6" s="334">
        <v>-13.2</v>
      </c>
      <c r="Q6" s="334">
        <v>5.32</v>
      </c>
      <c r="R6" s="334">
        <v>3.58</v>
      </c>
      <c r="S6" s="776" t="s">
        <v>1178</v>
      </c>
      <c r="T6" s="334">
        <v>1.07</v>
      </c>
      <c r="U6" s="334">
        <v>-0.05</v>
      </c>
      <c r="V6" s="334">
        <v>-0.2</v>
      </c>
      <c r="W6" s="334">
        <v>-6.8</v>
      </c>
      <c r="X6" s="334">
        <v>-2.5099999999999998</v>
      </c>
      <c r="Y6" s="334">
        <v>8.65</v>
      </c>
      <c r="Z6" s="334">
        <v>0.01</v>
      </c>
      <c r="AA6" s="334">
        <v>1.68</v>
      </c>
      <c r="AB6" s="334">
        <v>-1.86</v>
      </c>
      <c r="AC6" s="334">
        <v>0.46</v>
      </c>
      <c r="AD6" s="334">
        <v>-3.74</v>
      </c>
      <c r="AE6" s="334">
        <v>2.76</v>
      </c>
      <c r="AF6" s="334">
        <v>-57.91</v>
      </c>
      <c r="AG6" s="334">
        <v>-0.33</v>
      </c>
      <c r="AH6" s="334">
        <v>3.75</v>
      </c>
      <c r="AI6" s="334">
        <v>-0.01</v>
      </c>
      <c r="AJ6" s="334">
        <v>-2.52</v>
      </c>
    </row>
    <row r="7" spans="1:36" s="230" customFormat="1" ht="12" customHeight="1">
      <c r="A7" s="829" t="s">
        <v>1298</v>
      </c>
      <c r="B7" s="320">
        <v>-4.29</v>
      </c>
      <c r="C7" s="320">
        <v>-3.74</v>
      </c>
      <c r="D7" s="320">
        <v>-0.21</v>
      </c>
      <c r="E7" s="320">
        <v>-1.83</v>
      </c>
      <c r="F7" s="320">
        <v>2.38</v>
      </c>
      <c r="G7" s="320">
        <v>0.88</v>
      </c>
      <c r="H7" s="320">
        <v>1.1200000000000001</v>
      </c>
      <c r="I7" s="320">
        <v>-0.54</v>
      </c>
      <c r="J7" s="320">
        <v>-6.07</v>
      </c>
      <c r="K7" s="320">
        <v>-7.22</v>
      </c>
      <c r="L7" s="320">
        <v>-23.72</v>
      </c>
      <c r="M7" s="320">
        <v>1.52</v>
      </c>
      <c r="N7" s="320">
        <v>0.28000000000000003</v>
      </c>
      <c r="O7" s="320">
        <v>6.39</v>
      </c>
      <c r="P7" s="320">
        <v>-3.88</v>
      </c>
      <c r="Q7" s="320">
        <v>-5.28</v>
      </c>
      <c r="R7" s="320">
        <v>-7.46</v>
      </c>
      <c r="S7" s="829" t="s">
        <v>1298</v>
      </c>
      <c r="T7" s="320">
        <v>2.41</v>
      </c>
      <c r="U7" s="320">
        <v>0.05</v>
      </c>
      <c r="V7" s="320">
        <v>-13.86</v>
      </c>
      <c r="W7" s="320">
        <v>-5.49</v>
      </c>
      <c r="X7" s="320">
        <v>2.58</v>
      </c>
      <c r="Y7" s="320">
        <v>-6.27</v>
      </c>
      <c r="Z7" s="320">
        <v>-0.01</v>
      </c>
      <c r="AA7" s="320">
        <v>2.57</v>
      </c>
      <c r="AB7" s="320">
        <v>0.84</v>
      </c>
      <c r="AC7" s="320">
        <v>-5.58</v>
      </c>
      <c r="AD7" s="320">
        <v>-3.02</v>
      </c>
      <c r="AE7" s="320">
        <v>-4.18</v>
      </c>
      <c r="AF7" s="320">
        <v>0</v>
      </c>
      <c r="AG7" s="320">
        <v>1.03</v>
      </c>
      <c r="AH7" s="320">
        <v>2.52</v>
      </c>
      <c r="AI7" s="320">
        <v>-0.01</v>
      </c>
      <c r="AJ7" s="320">
        <v>0.55000000000000004</v>
      </c>
    </row>
    <row r="8" spans="1:36" s="230" customFormat="1" ht="12" customHeight="1">
      <c r="A8" s="520" t="s">
        <v>1407</v>
      </c>
      <c r="B8" s="334">
        <v>-4.54</v>
      </c>
      <c r="C8" s="334">
        <v>-0.92</v>
      </c>
      <c r="D8" s="334">
        <v>0.28000000000000003</v>
      </c>
      <c r="E8" s="334">
        <v>1.18</v>
      </c>
      <c r="F8" s="334">
        <v>-3.75</v>
      </c>
      <c r="G8" s="334">
        <v>-1.86</v>
      </c>
      <c r="H8" s="334">
        <v>-1.72</v>
      </c>
      <c r="I8" s="334">
        <v>0.45</v>
      </c>
      <c r="J8" s="334">
        <v>-0.16</v>
      </c>
      <c r="K8" s="334">
        <v>1.68</v>
      </c>
      <c r="L8" s="334">
        <v>1.4</v>
      </c>
      <c r="M8" s="334">
        <v>2.41</v>
      </c>
      <c r="N8" s="334">
        <v>-0.33</v>
      </c>
      <c r="O8" s="334">
        <v>-2.34</v>
      </c>
      <c r="P8" s="334">
        <v>-6.34</v>
      </c>
      <c r="Q8" s="334">
        <v>-4.32</v>
      </c>
      <c r="R8" s="334">
        <v>-0.55000000000000004</v>
      </c>
      <c r="S8" s="520" t="s">
        <v>1407</v>
      </c>
      <c r="T8" s="334">
        <v>-4.04</v>
      </c>
      <c r="U8" s="334">
        <v>0</v>
      </c>
      <c r="V8" s="334">
        <v>-25.37</v>
      </c>
      <c r="W8" s="334">
        <v>4.0599999999999996</v>
      </c>
      <c r="X8" s="334">
        <v>-0.01</v>
      </c>
      <c r="Y8" s="334">
        <v>-0.19</v>
      </c>
      <c r="Z8" s="334">
        <v>0</v>
      </c>
      <c r="AA8" s="334">
        <v>-3.63</v>
      </c>
      <c r="AB8" s="334">
        <v>1.1100000000000001</v>
      </c>
      <c r="AC8" s="334">
        <v>-3.46</v>
      </c>
      <c r="AD8" s="334">
        <v>-10.28</v>
      </c>
      <c r="AE8" s="334">
        <v>2.1800000000000002</v>
      </c>
      <c r="AF8" s="334">
        <v>0</v>
      </c>
      <c r="AG8" s="334">
        <v>-1.04</v>
      </c>
      <c r="AH8" s="334">
        <v>7.98</v>
      </c>
      <c r="AI8" s="334">
        <v>0</v>
      </c>
      <c r="AJ8" s="334">
        <v>-2.93</v>
      </c>
    </row>
    <row r="9" spans="1:36" s="246" customFormat="1" ht="12" customHeight="1">
      <c r="A9" s="482" t="s">
        <v>1487</v>
      </c>
      <c r="B9" s="320">
        <v>-2.21</v>
      </c>
      <c r="C9" s="320">
        <v>-0.47</v>
      </c>
      <c r="D9" s="320">
        <v>-0.16</v>
      </c>
      <c r="E9" s="320">
        <v>-4.1500000000000004</v>
      </c>
      <c r="F9" s="320">
        <v>-2.89</v>
      </c>
      <c r="G9" s="320">
        <v>-0.97</v>
      </c>
      <c r="H9" s="320">
        <v>-1.1299999999999999</v>
      </c>
      <c r="I9" s="320">
        <v>0.81</v>
      </c>
      <c r="J9" s="320">
        <v>-8.69</v>
      </c>
      <c r="K9" s="320">
        <v>-1.1000000000000001</v>
      </c>
      <c r="L9" s="320">
        <v>0</v>
      </c>
      <c r="M9" s="320">
        <v>0.3</v>
      </c>
      <c r="N9" s="320">
        <v>-1.4</v>
      </c>
      <c r="O9" s="320">
        <v>-3.45</v>
      </c>
      <c r="P9" s="320">
        <v>9.74</v>
      </c>
      <c r="Q9" s="320">
        <v>-0.86</v>
      </c>
      <c r="R9" s="320">
        <v>-4.4400000000000004</v>
      </c>
      <c r="S9" s="482" t="s">
        <v>1487</v>
      </c>
      <c r="T9" s="320">
        <v>-11.79</v>
      </c>
      <c r="U9" s="320">
        <v>0</v>
      </c>
      <c r="V9" s="320">
        <v>-2.67</v>
      </c>
      <c r="W9" s="320">
        <v>2.9</v>
      </c>
      <c r="X9" s="320">
        <v>0.01</v>
      </c>
      <c r="Y9" s="320">
        <v>-9.75</v>
      </c>
      <c r="Z9" s="320">
        <v>-0.02</v>
      </c>
      <c r="AA9" s="320">
        <v>-3.35</v>
      </c>
      <c r="AB9" s="320">
        <v>-2.94</v>
      </c>
      <c r="AC9" s="320">
        <v>-0.49</v>
      </c>
      <c r="AD9" s="320">
        <v>-5.18</v>
      </c>
      <c r="AE9" s="320">
        <v>2.61</v>
      </c>
      <c r="AF9" s="320">
        <v>0.16</v>
      </c>
      <c r="AG9" s="320">
        <v>-0.76</v>
      </c>
      <c r="AH9" s="320">
        <v>-0.63</v>
      </c>
      <c r="AI9" s="320">
        <v>0</v>
      </c>
      <c r="AJ9" s="320">
        <v>-3.12</v>
      </c>
    </row>
    <row r="10" spans="1:36" s="246" customFormat="1" ht="12" customHeight="1">
      <c r="A10" s="520" t="s">
        <v>1539</v>
      </c>
      <c r="B10" s="334">
        <v>9.42</v>
      </c>
      <c r="C10" s="334">
        <v>0.1</v>
      </c>
      <c r="D10" s="334">
        <v>0.16</v>
      </c>
      <c r="E10" s="334">
        <v>10.14</v>
      </c>
      <c r="F10" s="334">
        <v>9.59</v>
      </c>
      <c r="G10" s="334">
        <v>6.06</v>
      </c>
      <c r="H10" s="334">
        <v>5.83</v>
      </c>
      <c r="I10" s="334">
        <v>-0.17</v>
      </c>
      <c r="J10" s="334">
        <v>1.63</v>
      </c>
      <c r="K10" s="334">
        <v>-1.74</v>
      </c>
      <c r="L10" s="334">
        <v>0</v>
      </c>
      <c r="M10" s="334">
        <v>-2.66</v>
      </c>
      <c r="N10" s="334">
        <v>2.21</v>
      </c>
      <c r="O10" s="334">
        <v>3.03</v>
      </c>
      <c r="P10" s="334">
        <v>-16.13</v>
      </c>
      <c r="Q10" s="334">
        <v>3.65</v>
      </c>
      <c r="R10" s="334">
        <v>8.8800000000000008</v>
      </c>
      <c r="S10" s="520" t="s">
        <v>1539</v>
      </c>
      <c r="T10" s="540">
        <v>12.92</v>
      </c>
      <c r="U10" s="540">
        <v>0</v>
      </c>
      <c r="V10" s="540">
        <v>5.84</v>
      </c>
      <c r="W10" s="540">
        <v>2.21</v>
      </c>
      <c r="X10" s="540">
        <v>-1.64</v>
      </c>
      <c r="Y10" s="540">
        <v>-3.71</v>
      </c>
      <c r="Z10" s="540">
        <v>0.02</v>
      </c>
      <c r="AA10" s="540">
        <v>5.92</v>
      </c>
      <c r="AB10" s="540">
        <v>3.59</v>
      </c>
      <c r="AC10" s="540">
        <v>9.41</v>
      </c>
      <c r="AD10" s="540">
        <v>-6.69</v>
      </c>
      <c r="AE10" s="540">
        <v>3.32</v>
      </c>
      <c r="AF10" s="540">
        <v>-79.510000000000005</v>
      </c>
      <c r="AG10" s="540">
        <v>3.41</v>
      </c>
      <c r="AH10" s="540">
        <v>-3.65</v>
      </c>
      <c r="AI10" s="540">
        <v>0</v>
      </c>
      <c r="AJ10" s="540">
        <v>12.51</v>
      </c>
    </row>
    <row r="11" spans="1:36" s="246" customFormat="1" ht="12" customHeight="1">
      <c r="A11" s="482" t="s">
        <v>1810</v>
      </c>
      <c r="B11" s="320">
        <v>-8.39</v>
      </c>
      <c r="C11" s="320">
        <v>-9.24</v>
      </c>
      <c r="D11" s="320">
        <v>0</v>
      </c>
      <c r="E11" s="320">
        <v>-3.81</v>
      </c>
      <c r="F11" s="320">
        <v>-3.74</v>
      </c>
      <c r="G11" s="320">
        <v>-12.29</v>
      </c>
      <c r="H11" s="320">
        <v>-12.24</v>
      </c>
      <c r="I11" s="320">
        <v>-1.06</v>
      </c>
      <c r="J11" s="320">
        <v>-5.88</v>
      </c>
      <c r="K11" s="320">
        <v>-2.3199999999999998</v>
      </c>
      <c r="L11" s="320">
        <v>0</v>
      </c>
      <c r="M11" s="320">
        <v>-19.09</v>
      </c>
      <c r="N11" s="320">
        <v>-1.86</v>
      </c>
      <c r="O11" s="320">
        <v>-5.71</v>
      </c>
      <c r="P11" s="320">
        <v>-11.1</v>
      </c>
      <c r="Q11" s="320">
        <v>-6.46</v>
      </c>
      <c r="R11" s="320">
        <v>-11.06</v>
      </c>
      <c r="S11" s="482" t="s">
        <v>1810</v>
      </c>
      <c r="T11" s="541">
        <v>-13.61</v>
      </c>
      <c r="U11" s="541">
        <v>0</v>
      </c>
      <c r="V11" s="541">
        <v>-22.47</v>
      </c>
      <c r="W11" s="541">
        <v>-11.25</v>
      </c>
      <c r="X11" s="541">
        <v>1.06</v>
      </c>
      <c r="Y11" s="541">
        <v>37.840000000000003</v>
      </c>
      <c r="Z11" s="541">
        <v>-0.05</v>
      </c>
      <c r="AA11" s="541">
        <v>-13.05</v>
      </c>
      <c r="AB11" s="541">
        <v>-3.47</v>
      </c>
      <c r="AC11" s="541">
        <v>-16.670000000000002</v>
      </c>
      <c r="AD11" s="541">
        <v>-44.74</v>
      </c>
      <c r="AE11" s="541">
        <v>-3.61</v>
      </c>
      <c r="AF11" s="541">
        <v>-0.04</v>
      </c>
      <c r="AG11" s="541">
        <v>-6.93</v>
      </c>
      <c r="AH11" s="541">
        <v>-9.18</v>
      </c>
      <c r="AI11" s="541">
        <v>0</v>
      </c>
      <c r="AJ11" s="541">
        <v>-12.36</v>
      </c>
    </row>
    <row r="12" spans="1:36" s="1797" customFormat="1" ht="12" customHeight="1">
      <c r="A12" s="520" t="s">
        <v>2056</v>
      </c>
      <c r="B12" s="334">
        <v>-2.9642547042443099</v>
      </c>
      <c r="C12" s="334">
        <v>-11.839622641509401</v>
      </c>
      <c r="D12" s="334">
        <v>0</v>
      </c>
      <c r="E12" s="334">
        <v>-2.20351196571472</v>
      </c>
      <c r="F12" s="334">
        <v>-7.65</v>
      </c>
      <c r="G12" s="334">
        <v>4.24700822190362</v>
      </c>
      <c r="H12" s="334">
        <v>4.51</v>
      </c>
      <c r="I12" s="334">
        <v>0.213922183411133</v>
      </c>
      <c r="J12" s="334">
        <v>-3.83818943675697</v>
      </c>
      <c r="K12" s="334">
        <v>-0.96489768757278305</v>
      </c>
      <c r="L12" s="334">
        <v>-5.9520266650794603E-3</v>
      </c>
      <c r="M12" s="334">
        <v>-5.3625246821630199</v>
      </c>
      <c r="N12" s="334">
        <v>-0.21141649048625799</v>
      </c>
      <c r="O12" s="334">
        <v>-5.94513822179528</v>
      </c>
      <c r="P12" s="334">
        <v>-11.8333333333333</v>
      </c>
      <c r="Q12" s="334">
        <v>-0.21704301206533499</v>
      </c>
      <c r="R12" s="334">
        <v>-1.2143242707333299</v>
      </c>
      <c r="S12" s="520" t="s">
        <v>2056</v>
      </c>
      <c r="T12" s="540">
        <v>-8.3931491283984094</v>
      </c>
      <c r="U12" s="540">
        <v>0</v>
      </c>
      <c r="V12" s="540">
        <v>-28.801742919390001</v>
      </c>
      <c r="W12" s="540">
        <v>-1.5605381165919301</v>
      </c>
      <c r="X12" s="540">
        <v>0.54623809393099299</v>
      </c>
      <c r="Y12" s="540">
        <v>-36.85</v>
      </c>
      <c r="Z12" s="540">
        <v>0.03</v>
      </c>
      <c r="AA12" s="540">
        <v>-0.26</v>
      </c>
      <c r="AB12" s="540">
        <v>3.07</v>
      </c>
      <c r="AC12" s="540">
        <v>-5.2622076551302701</v>
      </c>
      <c r="AD12" s="540">
        <v>17.303005686433799</v>
      </c>
      <c r="AE12" s="540">
        <v>6.44</v>
      </c>
      <c r="AF12" s="540">
        <v>0</v>
      </c>
      <c r="AG12" s="540">
        <v>0.45</v>
      </c>
      <c r="AH12" s="540">
        <v>0.23</v>
      </c>
      <c r="AI12" s="540">
        <v>0.01</v>
      </c>
      <c r="AJ12" s="540">
        <v>4.7744704442882204</v>
      </c>
    </row>
    <row r="13" spans="1:36" s="1797" customFormat="1" ht="12" customHeight="1">
      <c r="A13" s="482" t="s">
        <v>2188</v>
      </c>
      <c r="B13" s="320">
        <v>1.49992507123463E-2</v>
      </c>
      <c r="C13" s="320">
        <v>-10.1694915254237</v>
      </c>
      <c r="D13" s="320">
        <v>0</v>
      </c>
      <c r="E13" s="320">
        <v>-3.2274571439014599</v>
      </c>
      <c r="F13" s="320">
        <v>1.9763428186563401</v>
      </c>
      <c r="G13" s="320">
        <v>-1.7958738003563</v>
      </c>
      <c r="H13" s="320">
        <v>-1.8053520285684601</v>
      </c>
      <c r="I13" s="320">
        <v>0.27919545602991702</v>
      </c>
      <c r="J13" s="320">
        <v>-1.51631477927063</v>
      </c>
      <c r="K13" s="320">
        <v>-8.2290076335877895</v>
      </c>
      <c r="L13" s="320">
        <v>0</v>
      </c>
      <c r="M13" s="320">
        <v>-10.270119051319501</v>
      </c>
      <c r="N13" s="320">
        <v>0.228198859005705</v>
      </c>
      <c r="O13" s="320">
        <v>-0.69952305246422897</v>
      </c>
      <c r="P13" s="320">
        <v>0</v>
      </c>
      <c r="Q13" s="320">
        <v>-1.35741382975896</v>
      </c>
      <c r="R13" s="320">
        <v>-0.91175532286413696</v>
      </c>
      <c r="S13" s="482" t="s">
        <v>2188</v>
      </c>
      <c r="T13" s="541">
        <v>1.3548435422557601</v>
      </c>
      <c r="U13" s="541">
        <v>0</v>
      </c>
      <c r="V13" s="541">
        <v>3.0812073302191898</v>
      </c>
      <c r="W13" s="541">
        <v>-4.6845614634980297</v>
      </c>
      <c r="X13" s="541">
        <v>-7.9539221064179905E-2</v>
      </c>
      <c r="Y13" s="541">
        <v>-2.4489795918367299</v>
      </c>
      <c r="Z13" s="541">
        <v>-1.86577109654033E-2</v>
      </c>
      <c r="AA13" s="541">
        <v>-5.6983584007529302</v>
      </c>
      <c r="AB13" s="541">
        <v>-0.27287141856263097</v>
      </c>
      <c r="AC13" s="541">
        <v>1.9039891308450001</v>
      </c>
      <c r="AD13" s="541">
        <v>0.58833142670370997</v>
      </c>
      <c r="AE13" s="541">
        <v>-0.161308265658026</v>
      </c>
      <c r="AF13" s="541">
        <v>-80.675306695381295</v>
      </c>
      <c r="AG13" s="541">
        <v>-1.1179797448375599</v>
      </c>
      <c r="AH13" s="541">
        <v>-4.2289910252923599</v>
      </c>
      <c r="AI13" s="541">
        <v>-2.7225701061802301E-3</v>
      </c>
      <c r="AJ13" s="541">
        <v>-0.48795846906843299</v>
      </c>
    </row>
    <row r="14" spans="1:36" s="1251" customFormat="1" ht="12" customHeight="1">
      <c r="A14" s="554" t="s">
        <v>2439</v>
      </c>
      <c r="B14" s="488">
        <v>-2.0620859538754099</v>
      </c>
      <c r="C14" s="488">
        <v>-3.8892282630828801</v>
      </c>
      <c r="D14" s="488">
        <v>-3.9771974015643599E-2</v>
      </c>
      <c r="E14" s="488">
        <v>-1.8272182429469399E-2</v>
      </c>
      <c r="F14" s="488">
        <v>-0.44422093705473098</v>
      </c>
      <c r="G14" s="488">
        <v>9.3439738594947794</v>
      </c>
      <c r="H14" s="488">
        <v>9.3793777228019</v>
      </c>
      <c r="I14" s="488">
        <v>-0.53185390896699303</v>
      </c>
      <c r="J14" s="488">
        <v>-2.4515827043473202</v>
      </c>
      <c r="K14" s="488">
        <v>0.877868473740952</v>
      </c>
      <c r="L14" s="488">
        <v>0</v>
      </c>
      <c r="M14" s="488">
        <v>11.191373172502001</v>
      </c>
      <c r="N14" s="488">
        <v>0.40916530278232399</v>
      </c>
      <c r="O14" s="488">
        <v>11.868626986009</v>
      </c>
      <c r="P14" s="488">
        <v>0</v>
      </c>
      <c r="Q14" s="488">
        <v>4.4172290925425104</v>
      </c>
      <c r="R14" s="488">
        <v>-0.48470895855336898</v>
      </c>
      <c r="S14" s="554" t="s">
        <v>2439</v>
      </c>
      <c r="T14" s="820">
        <v>5.9475331451840896</v>
      </c>
      <c r="U14" s="820">
        <v>0</v>
      </c>
      <c r="V14" s="820">
        <v>-1.8861272695222999</v>
      </c>
      <c r="W14" s="820">
        <v>3.8179591402048301</v>
      </c>
      <c r="X14" s="820">
        <v>3.0179154434963901E-2</v>
      </c>
      <c r="Y14" s="820">
        <v>9.2356687898089191</v>
      </c>
      <c r="Z14" s="820">
        <v>3.4662045060658599E-2</v>
      </c>
      <c r="AA14" s="820">
        <v>1.9203099059214199</v>
      </c>
      <c r="AB14" s="820">
        <v>6.2698381598025001</v>
      </c>
      <c r="AC14" s="820">
        <v>11.7804636250501</v>
      </c>
      <c r="AD14" s="820">
        <v>2.0683903252710598</v>
      </c>
      <c r="AE14" s="820">
        <v>12.4890501814541</v>
      </c>
      <c r="AF14" s="820">
        <v>-2.69127258746636E-2</v>
      </c>
      <c r="AG14" s="820">
        <v>4.4655125034350096</v>
      </c>
      <c r="AH14" s="820">
        <v>12.9126362659297</v>
      </c>
      <c r="AI14" s="820">
        <v>1.36147038801906E-2</v>
      </c>
      <c r="AJ14" s="820">
        <v>8.4743766143370198</v>
      </c>
    </row>
    <row r="15" spans="1:36" s="1251" customFormat="1" ht="12" customHeight="1">
      <c r="A15" s="496" t="s">
        <v>559</v>
      </c>
      <c r="B15" s="320">
        <v>-1.2056787729652101</v>
      </c>
      <c r="C15" s="320">
        <v>0</v>
      </c>
      <c r="D15" s="320">
        <v>0</v>
      </c>
      <c r="E15" s="320">
        <v>-1.22748113650312</v>
      </c>
      <c r="F15" s="320">
        <v>-0.109326381296779</v>
      </c>
      <c r="G15" s="320">
        <v>0.87901735570129402</v>
      </c>
      <c r="H15" s="320">
        <v>0.93794077176746904</v>
      </c>
      <c r="I15" s="320">
        <v>-6.6552759059814295E-2</v>
      </c>
      <c r="J15" s="320">
        <v>-0.441896572315777</v>
      </c>
      <c r="K15" s="320">
        <v>0.475533057217365</v>
      </c>
      <c r="L15" s="320">
        <v>0</v>
      </c>
      <c r="M15" s="320">
        <v>5.2957156416718503</v>
      </c>
      <c r="N15" s="320">
        <v>0.39273441335296999</v>
      </c>
      <c r="O15" s="320">
        <v>2.4207555362570599</v>
      </c>
      <c r="P15" s="320">
        <v>0</v>
      </c>
      <c r="Q15" s="320">
        <v>0.79826417722536203</v>
      </c>
      <c r="R15" s="320">
        <v>-2.9986757280693701</v>
      </c>
      <c r="S15" s="496" t="s">
        <v>559</v>
      </c>
      <c r="T15" s="541">
        <v>-2.52090102588441</v>
      </c>
      <c r="U15" s="541">
        <v>0</v>
      </c>
      <c r="V15" s="541">
        <v>-0.19723865877711999</v>
      </c>
      <c r="W15" s="541">
        <v>-3.4182191078448103E-2</v>
      </c>
      <c r="X15" s="541">
        <v>-1.64536828826852E-2</v>
      </c>
      <c r="Y15" s="541">
        <v>0</v>
      </c>
      <c r="Z15" s="541">
        <v>5.3310587482674103E-3</v>
      </c>
      <c r="AA15" s="541">
        <v>1.23089844725781E-2</v>
      </c>
      <c r="AB15" s="541">
        <v>1.0169112716978299</v>
      </c>
      <c r="AC15" s="541">
        <v>-1.5292565546202901</v>
      </c>
      <c r="AD15" s="541">
        <v>1.1739417989418</v>
      </c>
      <c r="AE15" s="541">
        <v>1.8468162247903901</v>
      </c>
      <c r="AF15" s="541">
        <v>0</v>
      </c>
      <c r="AG15" s="541">
        <v>0.99628055260361303</v>
      </c>
      <c r="AH15" s="541">
        <v>2.8100097861037301</v>
      </c>
      <c r="AI15" s="541">
        <v>1.36130358431234E-3</v>
      </c>
      <c r="AJ15" s="541">
        <v>1.5145535103754999</v>
      </c>
    </row>
    <row r="16" spans="1:36" s="1251" customFormat="1" ht="12" customHeight="1">
      <c r="A16" s="499" t="s">
        <v>560</v>
      </c>
      <c r="B16" s="334">
        <v>3.0040472395423699</v>
      </c>
      <c r="C16" s="334">
        <v>-1.6666666666666701</v>
      </c>
      <c r="D16" s="334">
        <v>1.32643586682584E-2</v>
      </c>
      <c r="E16" s="334">
        <v>2.7372871926115501</v>
      </c>
      <c r="F16" s="334">
        <v>6.5919578114700103E-2</v>
      </c>
      <c r="G16" s="334">
        <v>2.8723293226580799</v>
      </c>
      <c r="H16" s="334">
        <v>2.82002682525837</v>
      </c>
      <c r="I16" s="334">
        <v>0.15702913691658901</v>
      </c>
      <c r="J16" s="334">
        <v>-0.22046118095692099</v>
      </c>
      <c r="K16" s="334">
        <v>5.7661107145174899</v>
      </c>
      <c r="L16" s="334">
        <v>0</v>
      </c>
      <c r="M16" s="334">
        <v>5.6612256190344397</v>
      </c>
      <c r="N16" s="334">
        <v>9.8280098280098302E-2</v>
      </c>
      <c r="O16" s="334">
        <v>6.4355863662622799</v>
      </c>
      <c r="P16" s="334">
        <v>0</v>
      </c>
      <c r="Q16" s="334">
        <v>1.7876436164592699</v>
      </c>
      <c r="R16" s="334">
        <v>5.7847020355610903</v>
      </c>
      <c r="S16" s="499" t="s">
        <v>560</v>
      </c>
      <c r="T16" s="540">
        <v>4.3456728983533504</v>
      </c>
      <c r="U16" s="540">
        <v>0</v>
      </c>
      <c r="V16" s="540">
        <v>-0.125358166189112</v>
      </c>
      <c r="W16" s="540">
        <v>3.9023307436182</v>
      </c>
      <c r="X16" s="540">
        <v>4.38957475994513E-2</v>
      </c>
      <c r="Y16" s="540">
        <v>-6.2841530054644803</v>
      </c>
      <c r="Z16" s="540">
        <v>-2.66481905878591E-2</v>
      </c>
      <c r="AA16" s="540">
        <v>3.4341883542407801</v>
      </c>
      <c r="AB16" s="540">
        <v>2.97660145761412</v>
      </c>
      <c r="AC16" s="540">
        <v>5.8020377169313297</v>
      </c>
      <c r="AD16" s="540">
        <v>0.63227953410981697</v>
      </c>
      <c r="AE16" s="540">
        <v>4.7907390917186099</v>
      </c>
      <c r="AF16" s="540">
        <v>0</v>
      </c>
      <c r="AG16" s="540">
        <v>1.37355238351737</v>
      </c>
      <c r="AH16" s="540">
        <v>5.2066480364759498</v>
      </c>
      <c r="AI16" s="540">
        <v>4.0840775430189503E-3</v>
      </c>
      <c r="AJ16" s="540">
        <v>2.77355778577081</v>
      </c>
    </row>
    <row r="17" spans="1:36" s="1251" customFormat="1" ht="12" customHeight="1">
      <c r="A17" s="1284" t="s">
        <v>554</v>
      </c>
      <c r="B17" s="320">
        <v>1.7242649953545499</v>
      </c>
      <c r="C17" s="320">
        <v>0</v>
      </c>
      <c r="D17" s="320">
        <v>0</v>
      </c>
      <c r="E17" s="320">
        <v>-0.258961932595908</v>
      </c>
      <c r="F17" s="320">
        <v>1.748151953649</v>
      </c>
      <c r="G17" s="320">
        <v>0.41921815813507801</v>
      </c>
      <c r="H17" s="320">
        <v>0.386673262654748</v>
      </c>
      <c r="I17" s="320">
        <v>0.37248380435272099</v>
      </c>
      <c r="J17" s="320">
        <v>0.23291925465838501</v>
      </c>
      <c r="K17" s="320">
        <v>1.7095709570957101</v>
      </c>
      <c r="L17" s="320">
        <v>0</v>
      </c>
      <c r="M17" s="320">
        <v>1.6772741657582899</v>
      </c>
      <c r="N17" s="320">
        <v>8.1967213114754106E-2</v>
      </c>
      <c r="O17" s="320">
        <v>5.2535570959503799</v>
      </c>
      <c r="P17" s="320">
        <v>0</v>
      </c>
      <c r="Q17" s="320">
        <v>0.40749489455010901</v>
      </c>
      <c r="R17" s="320">
        <v>1.5292253506445901</v>
      </c>
      <c r="S17" s="1284" t="s">
        <v>554</v>
      </c>
      <c r="T17" s="485">
        <v>-1.52356285172877E-2</v>
      </c>
      <c r="U17" s="485">
        <v>0.13003901170351101</v>
      </c>
      <c r="V17" s="485">
        <v>0.54015124234785705</v>
      </c>
      <c r="W17" s="485">
        <v>0.50419418168838104</v>
      </c>
      <c r="X17" s="485">
        <v>0</v>
      </c>
      <c r="Y17" s="485">
        <v>-2.9949642194540198</v>
      </c>
      <c r="Z17" s="485">
        <v>3.1988057791757701E-2</v>
      </c>
      <c r="AA17" s="485">
        <v>1.97068223560363</v>
      </c>
      <c r="AB17" s="485">
        <v>1.7405557290040601</v>
      </c>
      <c r="AC17" s="485">
        <v>0.75069201325100099</v>
      </c>
      <c r="AD17" s="485">
        <v>1.2978257205460999</v>
      </c>
      <c r="AE17" s="485">
        <v>0.20224852774968799</v>
      </c>
      <c r="AF17" s="485">
        <v>0</v>
      </c>
      <c r="AG17" s="485">
        <v>0.71883900718839</v>
      </c>
      <c r="AH17" s="485">
        <v>5.7222826932047903</v>
      </c>
      <c r="AI17" s="485">
        <v>-5.4451402123604697E-3</v>
      </c>
      <c r="AJ17" s="485">
        <v>1.3872569813892</v>
      </c>
    </row>
    <row r="18" spans="1:36" s="1251" customFormat="1" ht="12" customHeight="1">
      <c r="A18" s="1104" t="s">
        <v>561</v>
      </c>
      <c r="B18" s="334">
        <v>-4.7881219511208801</v>
      </c>
      <c r="C18" s="334">
        <v>0</v>
      </c>
      <c r="D18" s="334">
        <v>-2.6521681474605499E-2</v>
      </c>
      <c r="E18" s="334">
        <v>-2.7906642212392598</v>
      </c>
      <c r="F18" s="334">
        <v>-1.6505263157894701</v>
      </c>
      <c r="G18" s="334">
        <v>-2.7978490398538902</v>
      </c>
      <c r="H18" s="334">
        <v>-2.7545131037524602</v>
      </c>
      <c r="I18" s="334">
        <v>6.4332677140026501E-4</v>
      </c>
      <c r="J18" s="334">
        <v>-0.44000475680818202</v>
      </c>
      <c r="K18" s="334">
        <v>-3.5185480019105202</v>
      </c>
      <c r="L18" s="334">
        <v>0</v>
      </c>
      <c r="M18" s="334">
        <v>-7.3165167514013802</v>
      </c>
      <c r="N18" s="334">
        <v>-0.48939641109298498</v>
      </c>
      <c r="O18" s="334">
        <v>-6.1087006165791298</v>
      </c>
      <c r="P18" s="334">
        <v>0</v>
      </c>
      <c r="Q18" s="334">
        <v>-1.99999496940982</v>
      </c>
      <c r="R18" s="334">
        <v>-5.7960749195856502</v>
      </c>
      <c r="S18" s="1104" t="s">
        <v>561</v>
      </c>
      <c r="T18" s="785">
        <v>-4.1780721924157804</v>
      </c>
      <c r="U18" s="785">
        <v>-0.12987012987013</v>
      </c>
      <c r="V18" s="785">
        <v>-2.70002700027E-2</v>
      </c>
      <c r="W18" s="785">
        <v>-3.62917096663227</v>
      </c>
      <c r="X18" s="785">
        <v>-2.7427317608337901E-2</v>
      </c>
      <c r="Y18" s="785">
        <v>-2.6674233825198601</v>
      </c>
      <c r="Z18" s="785">
        <v>-0.114492637857124</v>
      </c>
      <c r="AA18" s="785">
        <v>-4.9822038233661399</v>
      </c>
      <c r="AB18" s="785">
        <v>-3.1118841456497899</v>
      </c>
      <c r="AC18" s="785">
        <v>-5.5311524949595601</v>
      </c>
      <c r="AD18" s="785">
        <v>1.2630141662399701</v>
      </c>
      <c r="AE18" s="785">
        <v>-3.0227862705509101</v>
      </c>
      <c r="AF18" s="785">
        <v>-2.69127258746636E-2</v>
      </c>
      <c r="AG18" s="785">
        <v>-1.8242343541944099</v>
      </c>
      <c r="AH18" s="785">
        <v>-4.6835630650659601</v>
      </c>
      <c r="AI18" s="785">
        <v>-1.3612665223724099E-3</v>
      </c>
      <c r="AJ18" s="785">
        <v>-3.0804879153473999</v>
      </c>
    </row>
    <row r="19" spans="1:36" s="1251" customFormat="1" ht="12" customHeight="1">
      <c r="A19" s="1284" t="s">
        <v>562</v>
      </c>
      <c r="B19" s="320">
        <v>-1.14121219179192</v>
      </c>
      <c r="C19" s="320">
        <v>0</v>
      </c>
      <c r="D19" s="320">
        <v>1.3262599469495999E-2</v>
      </c>
      <c r="E19" s="320">
        <v>-0.90163934426229497</v>
      </c>
      <c r="F19" s="320">
        <v>-0.89576320694355605</v>
      </c>
      <c r="G19" s="320">
        <v>-2.6500340020401199</v>
      </c>
      <c r="H19" s="320">
        <v>-2.6713364859849098</v>
      </c>
      <c r="I19" s="320">
        <v>-0.122724614959552</v>
      </c>
      <c r="J19" s="320">
        <v>-0.39090262970860001</v>
      </c>
      <c r="K19" s="320">
        <v>-0.99306431273644402</v>
      </c>
      <c r="L19" s="320">
        <v>0</v>
      </c>
      <c r="M19" s="320">
        <v>1.52532839228402</v>
      </c>
      <c r="N19" s="320">
        <v>-0.29277813923227097</v>
      </c>
      <c r="O19" s="320">
        <v>-1.46264626462646</v>
      </c>
      <c r="P19" s="320">
        <v>0</v>
      </c>
      <c r="Q19" s="320">
        <v>-1.21241637615222</v>
      </c>
      <c r="R19" s="320">
        <v>-1.31424539080314</v>
      </c>
      <c r="S19" s="1284" t="s">
        <v>562</v>
      </c>
      <c r="T19" s="485">
        <v>-0.92658717603348395</v>
      </c>
      <c r="U19" s="485">
        <v>-1.29853265809635E-2</v>
      </c>
      <c r="V19" s="485">
        <v>0</v>
      </c>
      <c r="W19" s="485">
        <v>-0.83574961623742094</v>
      </c>
      <c r="X19" s="485">
        <v>1.5087300607606701E-2</v>
      </c>
      <c r="Y19" s="485">
        <v>-14.3526292532037</v>
      </c>
      <c r="Z19" s="485">
        <v>5.3255225669018797E-3</v>
      </c>
      <c r="AA19" s="485">
        <v>-1.27480478544308</v>
      </c>
      <c r="AB19" s="485">
        <v>-1.3429328160555101</v>
      </c>
      <c r="AC19" s="485">
        <v>-2.2439385763542701</v>
      </c>
      <c r="AD19" s="485">
        <v>0.68740333390616903</v>
      </c>
      <c r="AE19" s="485">
        <v>-1.70116246101503</v>
      </c>
      <c r="AF19" s="485">
        <v>0</v>
      </c>
      <c r="AG19" s="485">
        <v>-1.3270266719222199</v>
      </c>
      <c r="AH19" s="485">
        <v>-2.01858844031368</v>
      </c>
      <c r="AI19" s="485">
        <v>4.0839663481172898E-3</v>
      </c>
      <c r="AJ19" s="485">
        <v>-2.1832220527402399</v>
      </c>
    </row>
    <row r="20" spans="1:36" s="1251" customFormat="1" ht="12" customHeight="1">
      <c r="A20" s="1104" t="s">
        <v>555</v>
      </c>
      <c r="B20" s="334">
        <v>-4.2481277081479503</v>
      </c>
      <c r="C20" s="334">
        <v>0</v>
      </c>
      <c r="D20" s="334">
        <v>-6.62690523525514E-2</v>
      </c>
      <c r="E20" s="334">
        <v>-2.2640195053988199</v>
      </c>
      <c r="F20" s="334">
        <v>1.39113015413722E-2</v>
      </c>
      <c r="G20" s="334">
        <v>-1.5022222842430599</v>
      </c>
      <c r="H20" s="334">
        <v>-1.50009134135241</v>
      </c>
      <c r="I20" s="334">
        <v>0.196358673259168</v>
      </c>
      <c r="J20" s="334">
        <v>-1.2648900896475499</v>
      </c>
      <c r="K20" s="334">
        <v>-1.7195972114639799</v>
      </c>
      <c r="L20" s="334">
        <v>0</v>
      </c>
      <c r="M20" s="334">
        <v>-3.6532882782364799</v>
      </c>
      <c r="N20" s="334">
        <v>-0.19480519480519501</v>
      </c>
      <c r="O20" s="334">
        <v>-0.58165548098433995</v>
      </c>
      <c r="P20" s="334">
        <v>0</v>
      </c>
      <c r="Q20" s="334">
        <v>-0.58700503100117696</v>
      </c>
      <c r="R20" s="334">
        <v>-4.3260667359834102</v>
      </c>
      <c r="S20" s="1104" t="s">
        <v>555</v>
      </c>
      <c r="T20" s="785">
        <v>-2.34297064665637</v>
      </c>
      <c r="U20" s="785">
        <v>1.2987012987013E-2</v>
      </c>
      <c r="V20" s="785">
        <v>-0.20657445661936399</v>
      </c>
      <c r="W20" s="785">
        <v>1.3833650354487299</v>
      </c>
      <c r="X20" s="785">
        <v>-1.3715539706487499E-3</v>
      </c>
      <c r="Y20" s="785">
        <v>6.9976359338061496</v>
      </c>
      <c r="Z20" s="785">
        <v>0</v>
      </c>
      <c r="AA20" s="785">
        <v>-5.2760153360702997</v>
      </c>
      <c r="AB20" s="785">
        <v>-1.4484761589647399</v>
      </c>
      <c r="AC20" s="785">
        <v>-0.75924320742814899</v>
      </c>
      <c r="AD20" s="785">
        <v>-0.512908189434091</v>
      </c>
      <c r="AE20" s="785">
        <v>-2.4450959783149901</v>
      </c>
      <c r="AF20" s="785">
        <v>0</v>
      </c>
      <c r="AG20" s="785">
        <v>-0.74334898278560302</v>
      </c>
      <c r="AH20" s="785">
        <v>0.45222465353756403</v>
      </c>
      <c r="AI20" s="785">
        <v>-2.7225701061802301E-3</v>
      </c>
      <c r="AJ20" s="785">
        <v>-1.00555939903915</v>
      </c>
    </row>
    <row r="21" spans="1:36" s="1251" customFormat="1" ht="12" customHeight="1">
      <c r="A21" s="1284" t="s">
        <v>563</v>
      </c>
      <c r="B21" s="320">
        <v>0.168800644366565</v>
      </c>
      <c r="C21" s="320">
        <v>-1.63934426229508</v>
      </c>
      <c r="D21" s="320">
        <v>6.6312997347480099E-2</v>
      </c>
      <c r="E21" s="320">
        <v>-0.44731093311141201</v>
      </c>
      <c r="F21" s="320">
        <v>0.25942146224441398</v>
      </c>
      <c r="G21" s="320">
        <v>7.7508553871936295E-2</v>
      </c>
      <c r="H21" s="320">
        <v>0.124909921306482</v>
      </c>
      <c r="I21" s="320">
        <v>-0.32982122919367102</v>
      </c>
      <c r="J21" s="320">
        <v>-1.31405817174515</v>
      </c>
      <c r="K21" s="320">
        <v>-0.68619607360452906</v>
      </c>
      <c r="L21" s="320">
        <v>0</v>
      </c>
      <c r="M21" s="320">
        <v>1.0436463198582699</v>
      </c>
      <c r="N21" s="320">
        <v>-0.113507377979569</v>
      </c>
      <c r="O21" s="320">
        <v>1.75278852720237</v>
      </c>
      <c r="P21" s="320">
        <v>0</v>
      </c>
      <c r="Q21" s="320">
        <v>0.145707564011963</v>
      </c>
      <c r="R21" s="320">
        <v>0.33690930575766398</v>
      </c>
      <c r="S21" s="1284" t="s">
        <v>563</v>
      </c>
      <c r="T21" s="485">
        <v>0.33215234720991998</v>
      </c>
      <c r="U21" s="485">
        <v>0</v>
      </c>
      <c r="V21" s="485">
        <v>-0.179307871615564</v>
      </c>
      <c r="W21" s="485">
        <v>-0.94210346008907198</v>
      </c>
      <c r="X21" s="485">
        <v>-8.2286466619123401E-3</v>
      </c>
      <c r="Y21" s="485">
        <v>7.5678974671956096</v>
      </c>
      <c r="Z21" s="485">
        <v>0.127976111125923</v>
      </c>
      <c r="AA21" s="485">
        <v>2.21790625487714</v>
      </c>
      <c r="AB21" s="485">
        <v>0.78177102630603901</v>
      </c>
      <c r="AC21" s="485">
        <v>0.249314158587462</v>
      </c>
      <c r="AD21" s="485">
        <v>-1.32433572332349</v>
      </c>
      <c r="AE21" s="485">
        <v>-0.33081546010916901</v>
      </c>
      <c r="AF21" s="485">
        <v>0</v>
      </c>
      <c r="AG21" s="485">
        <v>-0.415584415584416</v>
      </c>
      <c r="AH21" s="485">
        <v>1.5405125166642</v>
      </c>
      <c r="AI21" s="485">
        <v>2.7226442320781902E-3</v>
      </c>
      <c r="AJ21" s="485">
        <v>-0.80068154301622096</v>
      </c>
    </row>
    <row r="22" spans="1:36" s="1251" customFormat="1" ht="12" customHeight="1">
      <c r="A22" s="1104" t="s">
        <v>564</v>
      </c>
      <c r="B22" s="334">
        <v>1.2035677729733001</v>
      </c>
      <c r="C22" s="334">
        <v>0</v>
      </c>
      <c r="D22" s="334">
        <v>2.6532236667551098E-2</v>
      </c>
      <c r="E22" s="334">
        <v>0.57192676547515298</v>
      </c>
      <c r="F22" s="334">
        <v>-5.8544744912182901E-2</v>
      </c>
      <c r="G22" s="334">
        <v>0.65717800035143203</v>
      </c>
      <c r="H22" s="334">
        <v>0.61417215619221599</v>
      </c>
      <c r="I22" s="334">
        <v>0.23218271042764099</v>
      </c>
      <c r="J22" s="334">
        <v>-0.57435979825683803</v>
      </c>
      <c r="K22" s="334">
        <v>-1.1768283411889899</v>
      </c>
      <c r="L22" s="334">
        <v>0</v>
      </c>
      <c r="M22" s="334">
        <v>4.1149641156348498</v>
      </c>
      <c r="N22" s="334">
        <v>-3.2420165342843199E-2</v>
      </c>
      <c r="O22" s="334">
        <v>-1.1809695197390599</v>
      </c>
      <c r="P22" s="334">
        <v>0</v>
      </c>
      <c r="Q22" s="334">
        <v>0.58958439608657998</v>
      </c>
      <c r="R22" s="334">
        <v>0.65387734243154705</v>
      </c>
      <c r="S22" s="1104" t="s">
        <v>564</v>
      </c>
      <c r="T22" s="785">
        <v>1.2610544065151501</v>
      </c>
      <c r="U22" s="785">
        <v>0</v>
      </c>
      <c r="V22" s="785">
        <v>-0.36623492630638699</v>
      </c>
      <c r="W22" s="785">
        <v>0.80290080290080301</v>
      </c>
      <c r="X22" s="785">
        <v>3.5670187954451898E-2</v>
      </c>
      <c r="Y22" s="785">
        <v>13.227756982435899</v>
      </c>
      <c r="Z22" s="785">
        <v>1.06658134015945E-2</v>
      </c>
      <c r="AA22" s="785">
        <v>-1.5604410846799401E-2</v>
      </c>
      <c r="AB22" s="785">
        <v>0.806752819899903</v>
      </c>
      <c r="AC22" s="785">
        <v>2.9570471684856399</v>
      </c>
      <c r="AD22" s="785">
        <v>0.32157061860032199</v>
      </c>
      <c r="AE22" s="785">
        <v>1.3523330539256799</v>
      </c>
      <c r="AF22" s="785">
        <v>0</v>
      </c>
      <c r="AG22" s="785">
        <v>0.798533839507789</v>
      </c>
      <c r="AH22" s="785">
        <v>-0.39834759516081403</v>
      </c>
      <c r="AI22" s="785">
        <v>2.7227183620126302E-3</v>
      </c>
      <c r="AJ22" s="785">
        <v>1.7829295889671399</v>
      </c>
    </row>
    <row r="23" spans="1:36" s="1251" customFormat="1" ht="12" customHeight="1">
      <c r="A23" s="1284" t="s">
        <v>556</v>
      </c>
      <c r="B23" s="320">
        <v>-3.1718342327301703E-2</v>
      </c>
      <c r="C23" s="320">
        <v>0</v>
      </c>
      <c r="D23" s="320">
        <v>-3.97825222119082E-2</v>
      </c>
      <c r="E23" s="320">
        <v>0.22719328905976899</v>
      </c>
      <c r="F23" s="320">
        <v>-1.28315387526231</v>
      </c>
      <c r="G23" s="320">
        <v>2.5412795767897398</v>
      </c>
      <c r="H23" s="320">
        <v>3.02351278502656</v>
      </c>
      <c r="I23" s="320">
        <v>-2.7005651897147001E-2</v>
      </c>
      <c r="J23" s="320">
        <v>1.7402218330414501</v>
      </c>
      <c r="K23" s="320">
        <v>-0.70954106280193197</v>
      </c>
      <c r="L23" s="320">
        <v>-0.26120510537251401</v>
      </c>
      <c r="M23" s="320">
        <v>-1.30085068352587</v>
      </c>
      <c r="N23" s="320">
        <v>1.6212710765239901E-2</v>
      </c>
      <c r="O23" s="320">
        <v>0.33856223902494098</v>
      </c>
      <c r="P23" s="320">
        <v>0</v>
      </c>
      <c r="Q23" s="320">
        <v>1.0961633444386401</v>
      </c>
      <c r="R23" s="320">
        <v>0.59696872571705795</v>
      </c>
      <c r="S23" s="1284" t="s">
        <v>556</v>
      </c>
      <c r="T23" s="485">
        <v>5.6064409187781203</v>
      </c>
      <c r="U23" s="485">
        <v>0</v>
      </c>
      <c r="V23" s="485">
        <v>-0.142716974400143</v>
      </c>
      <c r="W23" s="485">
        <v>0.64559854718604204</v>
      </c>
      <c r="X23" s="485">
        <v>-2.05747205267128E-2</v>
      </c>
      <c r="Y23" s="485">
        <v>3.2708890871245901</v>
      </c>
      <c r="Z23" s="485">
        <v>-2.3992322456813799E-2</v>
      </c>
      <c r="AA23" s="485">
        <v>-1.61708515283843</v>
      </c>
      <c r="AB23" s="485">
        <v>-6.34541450487104E-2</v>
      </c>
      <c r="AC23" s="485">
        <v>6.7300577919091298</v>
      </c>
      <c r="AD23" s="485">
        <v>-0.278481012658228</v>
      </c>
      <c r="AE23" s="485">
        <v>1.2561534544220001</v>
      </c>
      <c r="AF23" s="485">
        <v>0</v>
      </c>
      <c r="AG23" s="485">
        <v>1.5014615997873999</v>
      </c>
      <c r="AH23" s="485">
        <v>-7.3713696004717694E-2</v>
      </c>
      <c r="AI23" s="485">
        <v>-2.7226442320781902E-3</v>
      </c>
      <c r="AJ23" s="485">
        <v>2.1738189590757102</v>
      </c>
    </row>
    <row r="24" spans="1:36" s="1251" customFormat="1" ht="12" customHeight="1">
      <c r="A24" s="1104" t="s">
        <v>565</v>
      </c>
      <c r="B24" s="334">
        <v>1.2609874155573499</v>
      </c>
      <c r="C24" s="334">
        <v>0</v>
      </c>
      <c r="D24" s="334">
        <v>2.6528717336516801E-2</v>
      </c>
      <c r="E24" s="334">
        <v>3.4083926699678302</v>
      </c>
      <c r="F24" s="334">
        <v>0.914405532257617</v>
      </c>
      <c r="G24" s="334">
        <v>5.8159133027767798</v>
      </c>
      <c r="H24" s="334">
        <v>5.4066565054718998</v>
      </c>
      <c r="I24" s="334">
        <v>0.22297118774045099</v>
      </c>
      <c r="J24" s="334">
        <v>0.58188351760623302</v>
      </c>
      <c r="K24" s="334">
        <v>-0.95693779904306198</v>
      </c>
      <c r="L24" s="334">
        <v>0.26188917326349598</v>
      </c>
      <c r="M24" s="334">
        <v>6.1077549873560004</v>
      </c>
      <c r="N24" s="334">
        <v>0.66916925085686296</v>
      </c>
      <c r="O24" s="334">
        <v>2.6767091541135599</v>
      </c>
      <c r="P24" s="334">
        <v>0</v>
      </c>
      <c r="Q24" s="334">
        <v>1.99530616818082</v>
      </c>
      <c r="R24" s="334">
        <v>3.5256131080256599</v>
      </c>
      <c r="S24" s="1104" t="s">
        <v>565</v>
      </c>
      <c r="T24" s="785">
        <v>1.7977928946442301</v>
      </c>
      <c r="U24" s="785">
        <v>0</v>
      </c>
      <c r="V24" s="785">
        <v>-0.30235660293463801</v>
      </c>
      <c r="W24" s="785">
        <v>2.9548056967007801</v>
      </c>
      <c r="X24" s="785">
        <v>-2.7432208155595498E-3</v>
      </c>
      <c r="Y24" s="785">
        <v>2.5304878048780499</v>
      </c>
      <c r="Z24" s="785">
        <v>7.9980804606894305E-3</v>
      </c>
      <c r="AA24" s="785">
        <v>2.56840926586885</v>
      </c>
      <c r="AB24" s="785">
        <v>2.3651230322482002</v>
      </c>
      <c r="AC24" s="785">
        <v>3.6887285394376699</v>
      </c>
      <c r="AD24" s="785">
        <v>-1.08514190317195</v>
      </c>
      <c r="AE24" s="785">
        <v>7.2586029010135302</v>
      </c>
      <c r="AF24" s="785">
        <v>0</v>
      </c>
      <c r="AG24" s="785">
        <v>2.0612964469758599</v>
      </c>
      <c r="AH24" s="785">
        <v>1.4963339817447301</v>
      </c>
      <c r="AI24" s="785">
        <v>-5.4449919686368501E-3</v>
      </c>
      <c r="AJ24" s="785">
        <v>3.5408225465373602</v>
      </c>
    </row>
    <row r="25" spans="1:36" s="1251" customFormat="1" ht="12" customHeight="1">
      <c r="A25" s="1284" t="s">
        <v>566</v>
      </c>
      <c r="B25" s="320">
        <v>0.67357869167898998</v>
      </c>
      <c r="C25" s="320">
        <v>-0.73230268510984498</v>
      </c>
      <c r="D25" s="320">
        <v>-1.3262599469495999E-2</v>
      </c>
      <c r="E25" s="320">
        <v>-2.1681783688071402E-2</v>
      </c>
      <c r="F25" s="320">
        <v>0.14880331539349401</v>
      </c>
      <c r="G25" s="320">
        <v>-0.71704399182251799</v>
      </c>
      <c r="H25" s="320">
        <v>-0.812437457916378</v>
      </c>
      <c r="I25" s="320">
        <v>-1.0174010665169799</v>
      </c>
      <c r="J25" s="320">
        <v>-0.30323075392063298</v>
      </c>
      <c r="K25" s="320">
        <v>2.63965623081645</v>
      </c>
      <c r="L25" s="320">
        <v>0</v>
      </c>
      <c r="M25" s="320">
        <v>-1.7088410950391799</v>
      </c>
      <c r="N25" s="320">
        <v>-0.227975899690604</v>
      </c>
      <c r="O25" s="320">
        <v>1.80488380323228</v>
      </c>
      <c r="P25" s="320">
        <v>0</v>
      </c>
      <c r="Q25" s="320">
        <v>0.23627488130530699</v>
      </c>
      <c r="R25" s="320">
        <v>0.60692911590781395</v>
      </c>
      <c r="S25" s="1284" t="s">
        <v>566</v>
      </c>
      <c r="T25" s="485">
        <v>1.78872880025126</v>
      </c>
      <c r="U25" s="485">
        <v>-1.29853265809635E-2</v>
      </c>
      <c r="V25" s="485">
        <v>-0.57471264367816099</v>
      </c>
      <c r="W25" s="485">
        <v>0.35191037058316599</v>
      </c>
      <c r="X25" s="485">
        <v>3.2929489730115398E-2</v>
      </c>
      <c r="Y25" s="485">
        <v>2.660406885759</v>
      </c>
      <c r="Z25" s="485">
        <v>0</v>
      </c>
      <c r="AA25" s="485">
        <v>3.3581077415504801</v>
      </c>
      <c r="AB25" s="485">
        <v>1.4969363220352101</v>
      </c>
      <c r="AC25" s="485">
        <v>-0.415040574862169</v>
      </c>
      <c r="AD25" s="485">
        <v>1.6697278343629999E-2</v>
      </c>
      <c r="AE25" s="485">
        <v>-0.43507160553507801</v>
      </c>
      <c r="AF25" s="485">
        <v>0</v>
      </c>
      <c r="AG25" s="485">
        <v>4.0700040700040699E-2</v>
      </c>
      <c r="AH25" s="485">
        <v>1.7509135200974399</v>
      </c>
      <c r="AI25" s="485">
        <v>1.36143331699613E-2</v>
      </c>
      <c r="AJ25" s="485">
        <v>0.49226180606486403</v>
      </c>
    </row>
    <row r="26" spans="1:36" s="1251" customFormat="1" ht="12" customHeight="1">
      <c r="A26" s="1104" t="s">
        <v>557</v>
      </c>
      <c r="B26" s="334">
        <v>1.6103955160627601</v>
      </c>
      <c r="C26" s="334">
        <v>0.101812258195887</v>
      </c>
      <c r="D26" s="334">
        <v>-3.9771974015643599E-2</v>
      </c>
      <c r="E26" s="334">
        <v>1.12922087414121</v>
      </c>
      <c r="F26" s="334">
        <v>0.44841170061185098</v>
      </c>
      <c r="G26" s="334">
        <v>3.7372753550333</v>
      </c>
      <c r="H26" s="334">
        <v>3.7811033965676102</v>
      </c>
      <c r="I26" s="334">
        <v>-0.14395087835513801</v>
      </c>
      <c r="J26" s="334">
        <v>-4.8563571470364497E-2</v>
      </c>
      <c r="K26" s="334">
        <v>0.35422762975512101</v>
      </c>
      <c r="L26" s="334">
        <v>0</v>
      </c>
      <c r="M26" s="334">
        <v>0.117512874572288</v>
      </c>
      <c r="N26" s="334">
        <v>0.50736497545008197</v>
      </c>
      <c r="O26" s="334">
        <v>0.50984111927910802</v>
      </c>
      <c r="P26" s="334">
        <v>0</v>
      </c>
      <c r="Q26" s="334">
        <v>1.1489010040851899</v>
      </c>
      <c r="R26" s="334">
        <v>1.4914118347788901</v>
      </c>
      <c r="S26" s="1104" t="s">
        <v>557</v>
      </c>
      <c r="T26" s="785">
        <v>1.0728474850332099</v>
      </c>
      <c r="U26" s="785">
        <v>1.2987012987013E-2</v>
      </c>
      <c r="V26" s="785">
        <v>-0.31729243786356398</v>
      </c>
      <c r="W26" s="785">
        <v>-1.1413053124833601</v>
      </c>
      <c r="X26" s="785">
        <v>-2.0576696205657202E-2</v>
      </c>
      <c r="Y26" s="785">
        <v>1.7515923566878999</v>
      </c>
      <c r="Z26" s="785">
        <v>1.06652446340488E-2</v>
      </c>
      <c r="AA26" s="785">
        <v>2.0088544548976199</v>
      </c>
      <c r="AB26" s="785">
        <v>1.04627924291704</v>
      </c>
      <c r="AC26" s="785">
        <v>2.1514902233753102</v>
      </c>
      <c r="AD26" s="785">
        <v>-0.100083402835696</v>
      </c>
      <c r="AE26" s="785">
        <v>3.54774120885997</v>
      </c>
      <c r="AF26" s="785">
        <v>0</v>
      </c>
      <c r="AG26" s="785">
        <v>1.2778235779060201</v>
      </c>
      <c r="AH26" s="785">
        <v>0.84446491632120402</v>
      </c>
      <c r="AI26" s="785">
        <v>2.7229407760381201E-3</v>
      </c>
      <c r="AJ26" s="785">
        <v>1.7961183504353999</v>
      </c>
    </row>
    <row r="27" spans="1:36" s="1251" customFormat="1" ht="12" customHeight="1">
      <c r="A27" s="1379" t="s">
        <v>2664</v>
      </c>
      <c r="B27" s="556">
        <v>-2.0620859538754099</v>
      </c>
      <c r="C27" s="556">
        <v>-3.8892282630828801</v>
      </c>
      <c r="D27" s="556">
        <v>-3.9771974015643599E-2</v>
      </c>
      <c r="E27" s="556">
        <v>-1.8272182429469399E-2</v>
      </c>
      <c r="F27" s="556">
        <v>-0.44422093705473098</v>
      </c>
      <c r="G27" s="556">
        <v>9.3439738594947794</v>
      </c>
      <c r="H27" s="556">
        <v>9.3793777228019</v>
      </c>
      <c r="I27" s="556">
        <v>-0.53185390896699303</v>
      </c>
      <c r="J27" s="556">
        <v>-2.4515827043473202</v>
      </c>
      <c r="K27" s="556">
        <v>0.877868473740952</v>
      </c>
      <c r="L27" s="556">
        <v>0</v>
      </c>
      <c r="M27" s="556">
        <v>11.191373172502001</v>
      </c>
      <c r="N27" s="556">
        <v>0.40916530278232399</v>
      </c>
      <c r="O27" s="556">
        <v>11.868626986009</v>
      </c>
      <c r="P27" s="556">
        <v>0</v>
      </c>
      <c r="Q27" s="556">
        <v>4.4172290925425104</v>
      </c>
      <c r="R27" s="556">
        <v>-0.48470895855336898</v>
      </c>
      <c r="S27" s="1379" t="s">
        <v>2664</v>
      </c>
      <c r="T27" s="613">
        <v>5.9475331451840896</v>
      </c>
      <c r="U27" s="613">
        <v>0</v>
      </c>
      <c r="V27" s="613">
        <v>-1.8861272695222999</v>
      </c>
      <c r="W27" s="613">
        <v>3.8179591402048301</v>
      </c>
      <c r="X27" s="613">
        <v>3.0179154434963901E-2</v>
      </c>
      <c r="Y27" s="613">
        <v>9.2356687898089191</v>
      </c>
      <c r="Z27" s="613">
        <v>3.4662045060658599E-2</v>
      </c>
      <c r="AA27" s="613">
        <v>1.9203099059214199</v>
      </c>
      <c r="AB27" s="613">
        <v>6.2698381598025001</v>
      </c>
      <c r="AC27" s="613">
        <v>11.7804636250501</v>
      </c>
      <c r="AD27" s="613">
        <v>2.0683903252710598</v>
      </c>
      <c r="AE27" s="613">
        <v>12.4890501814541</v>
      </c>
      <c r="AF27" s="613">
        <v>-2.69127258746636E-2</v>
      </c>
      <c r="AG27" s="613">
        <v>4.4655125034350096</v>
      </c>
      <c r="AH27" s="613">
        <v>12.9126362659297</v>
      </c>
      <c r="AI27" s="613">
        <v>1.36147038801906E-2</v>
      </c>
      <c r="AJ27" s="613">
        <v>8.4743766143370198</v>
      </c>
    </row>
    <row r="28" spans="1:36" s="1251" customFormat="1" ht="12" customHeight="1">
      <c r="A28" s="1104" t="s">
        <v>559</v>
      </c>
      <c r="B28" s="334">
        <v>-1.4929962137372099</v>
      </c>
      <c r="C28" s="334">
        <v>0.130489744321657</v>
      </c>
      <c r="D28" s="334">
        <v>3.9787798408488097E-2</v>
      </c>
      <c r="E28" s="334">
        <v>-1.05940629858625</v>
      </c>
      <c r="F28" s="334">
        <v>0.12868212717151101</v>
      </c>
      <c r="G28" s="334">
        <v>-2.73284997211378</v>
      </c>
      <c r="H28" s="334">
        <v>-2.6834480737085702</v>
      </c>
      <c r="I28" s="334">
        <v>6.3695484627094797E-4</v>
      </c>
      <c r="J28" s="334">
        <v>-2.54986258567014</v>
      </c>
      <c r="K28" s="334">
        <v>-1.38213851761847</v>
      </c>
      <c r="L28" s="334">
        <v>0</v>
      </c>
      <c r="M28" s="334">
        <v>-3.23734992140731</v>
      </c>
      <c r="N28" s="334">
        <v>-0.114435180644107</v>
      </c>
      <c r="O28" s="334">
        <v>-0.86976962858486095</v>
      </c>
      <c r="P28" s="334">
        <v>0</v>
      </c>
      <c r="Q28" s="334">
        <v>-0.80094623655913999</v>
      </c>
      <c r="R28" s="334">
        <v>-2.6830783205781401</v>
      </c>
      <c r="S28" s="1104" t="s">
        <v>559</v>
      </c>
      <c r="T28" s="785">
        <v>-2.4256503327283698</v>
      </c>
      <c r="U28" s="785">
        <v>0</v>
      </c>
      <c r="V28" s="785">
        <v>-3.5242290748898703E-2</v>
      </c>
      <c r="W28" s="785">
        <v>-3.2408202521210501</v>
      </c>
      <c r="X28" s="785">
        <v>-5.4868179199473299E-3</v>
      </c>
      <c r="Y28" s="785">
        <v>-2.6779072650632298</v>
      </c>
      <c r="Z28" s="785">
        <v>-1.8660695244188501E-2</v>
      </c>
      <c r="AA28" s="785">
        <v>-2.78186265718815</v>
      </c>
      <c r="AB28" s="785">
        <v>-1.63056048107316</v>
      </c>
      <c r="AC28" s="785">
        <v>-3.1327738303817299</v>
      </c>
      <c r="AD28" s="785">
        <v>-0.80251509886655104</v>
      </c>
      <c r="AE28" s="785">
        <v>-1.92083461184412</v>
      </c>
      <c r="AF28" s="785">
        <v>0</v>
      </c>
      <c r="AG28" s="785">
        <v>-1.39547486790408</v>
      </c>
      <c r="AH28" s="785">
        <v>-0.45850527281063702</v>
      </c>
      <c r="AI28" s="785">
        <v>-2.7228666339922701E-3</v>
      </c>
      <c r="AJ28" s="785">
        <v>-3.48146638127889</v>
      </c>
    </row>
    <row r="29" spans="1:36" s="1251" customFormat="1" ht="12" customHeight="1">
      <c r="A29" s="1284" t="s">
        <v>560</v>
      </c>
      <c r="B29" s="320">
        <v>1.67106814916403</v>
      </c>
      <c r="C29" s="320">
        <v>0.80154554422887203</v>
      </c>
      <c r="D29" s="320">
        <v>0</v>
      </c>
      <c r="E29" s="320">
        <v>0.60749363404874501</v>
      </c>
      <c r="F29" s="320">
        <v>0.65324510770097099</v>
      </c>
      <c r="G29" s="320">
        <v>2.45553885653454</v>
      </c>
      <c r="H29" s="320">
        <v>2.4593385632803701</v>
      </c>
      <c r="I29" s="320">
        <v>0.67459681297893503</v>
      </c>
      <c r="J29" s="320">
        <v>-0.54778052487127704</v>
      </c>
      <c r="K29" s="320">
        <v>-0.18192844147968501</v>
      </c>
      <c r="L29" s="320">
        <v>-0.112960760998811</v>
      </c>
      <c r="M29" s="320">
        <v>1.67295725798225</v>
      </c>
      <c r="N29" s="320">
        <v>9.8183603338242498E-2</v>
      </c>
      <c r="O29" s="320">
        <v>0.68639053254437898</v>
      </c>
      <c r="P29" s="320">
        <v>0</v>
      </c>
      <c r="Q29" s="320">
        <v>0.45505057749772299</v>
      </c>
      <c r="R29" s="320">
        <v>-0.16118738632468099</v>
      </c>
      <c r="S29" s="1284" t="s">
        <v>560</v>
      </c>
      <c r="T29" s="485">
        <v>2.7136792499726599</v>
      </c>
      <c r="U29" s="485">
        <v>0</v>
      </c>
      <c r="V29" s="485">
        <v>-4.4033465433729602E-2</v>
      </c>
      <c r="W29" s="485">
        <v>1.88989605571694</v>
      </c>
      <c r="X29" s="485">
        <v>-0.143821825304423</v>
      </c>
      <c r="Y29" s="485">
        <v>0.95118898623279102</v>
      </c>
      <c r="Z29" s="485">
        <v>-2.6651031394914999E-2</v>
      </c>
      <c r="AA29" s="485">
        <v>0.36429872495446303</v>
      </c>
      <c r="AB29" s="485">
        <v>1.0359869138495099</v>
      </c>
      <c r="AC29" s="485">
        <v>3.4577700738799102</v>
      </c>
      <c r="AD29" s="485">
        <v>4.1383876841582498E-2</v>
      </c>
      <c r="AE29" s="485">
        <v>1.77378052588845</v>
      </c>
      <c r="AF29" s="485">
        <v>0</v>
      </c>
      <c r="AG29" s="485">
        <v>1.0127275215546701</v>
      </c>
      <c r="AH29" s="485">
        <v>1.26915338182944</v>
      </c>
      <c r="AI29" s="485">
        <v>-8.1679326962345797E-3</v>
      </c>
      <c r="AJ29" s="485">
        <v>2.01314795993718</v>
      </c>
    </row>
    <row r="30" spans="1:36" s="1251" customFormat="1" ht="12" customHeight="1">
      <c r="A30" s="1104" t="s">
        <v>554</v>
      </c>
      <c r="B30" s="334">
        <v>0.55805730066738901</v>
      </c>
      <c r="C30" s="334">
        <v>-0.13136288998358001</v>
      </c>
      <c r="D30" s="334">
        <v>0</v>
      </c>
      <c r="E30" s="334">
        <v>-1.21815372453196</v>
      </c>
      <c r="F30" s="334">
        <v>-3.5184012384772402E-2</v>
      </c>
      <c r="G30" s="334">
        <v>0.34954872866378101</v>
      </c>
      <c r="H30" s="334">
        <v>0.34656984086158898</v>
      </c>
      <c r="I30" s="334">
        <v>0.17794280134645499</v>
      </c>
      <c r="J30" s="334">
        <v>-0.59749278499278502</v>
      </c>
      <c r="K30" s="334">
        <v>-1.22791254866727</v>
      </c>
      <c r="L30" s="334">
        <v>0</v>
      </c>
      <c r="M30" s="334">
        <v>-1.0431037383491999</v>
      </c>
      <c r="N30" s="334">
        <v>3.2738582419381199E-2</v>
      </c>
      <c r="O30" s="334">
        <v>0.237247924080664</v>
      </c>
      <c r="P30" s="334">
        <v>0</v>
      </c>
      <c r="Q30" s="334">
        <v>-0.219180255497613</v>
      </c>
      <c r="R30" s="334">
        <v>-1.8268184279167301</v>
      </c>
      <c r="S30" s="1104" t="s">
        <v>554</v>
      </c>
      <c r="T30" s="785">
        <v>0.78153963307716201</v>
      </c>
      <c r="U30" s="785">
        <v>0</v>
      </c>
      <c r="V30" s="785">
        <v>0.13227513227513199</v>
      </c>
      <c r="W30" s="785">
        <v>-1.87253698282005</v>
      </c>
      <c r="X30" s="785">
        <v>0.15227172958735699</v>
      </c>
      <c r="Y30" s="785">
        <v>-3.82184772795667</v>
      </c>
      <c r="Z30" s="785">
        <v>4.7994880546075099E-2</v>
      </c>
      <c r="AA30" s="785">
        <v>-1.06698956515545</v>
      </c>
      <c r="AB30" s="785">
        <v>-0.48062015503875999</v>
      </c>
      <c r="AC30" s="785">
        <v>0.45815791848717602</v>
      </c>
      <c r="AD30" s="785">
        <v>-0.15701181720519</v>
      </c>
      <c r="AE30" s="785">
        <v>0.36356798094402298</v>
      </c>
      <c r="AF30" s="785">
        <v>0</v>
      </c>
      <c r="AG30" s="785">
        <v>0.17822868110776</v>
      </c>
      <c r="AH30" s="785">
        <v>-0.21621621621621601</v>
      </c>
      <c r="AI30" s="785">
        <v>-2.7225701061802301E-3</v>
      </c>
      <c r="AJ30" s="785">
        <v>-0.56647881978380199</v>
      </c>
    </row>
    <row r="31" spans="1:36" s="1251" customFormat="1" ht="12" customHeight="1">
      <c r="A31" s="1284" t="s">
        <v>561</v>
      </c>
      <c r="B31" s="320">
        <v>-3.8016461818787602E-2</v>
      </c>
      <c r="C31" s="320">
        <v>-0.40068689181453898</v>
      </c>
      <c r="D31" s="320">
        <v>0</v>
      </c>
      <c r="E31" s="320">
        <v>-0.20440364340529299</v>
      </c>
      <c r="F31" s="320">
        <v>0.26953036802890001</v>
      </c>
      <c r="G31" s="320">
        <v>-1.11463236550621</v>
      </c>
      <c r="H31" s="320">
        <v>-1.0702268791048599</v>
      </c>
      <c r="I31" s="320">
        <v>0.15956762321451501</v>
      </c>
      <c r="J31" s="320">
        <v>0.33537878573650398</v>
      </c>
      <c r="K31" s="320">
        <v>0.34258925351604802</v>
      </c>
      <c r="L31" s="320">
        <v>0</v>
      </c>
      <c r="M31" s="320">
        <v>-2.7073921299024399</v>
      </c>
      <c r="N31" s="320">
        <v>-0.472466601498859</v>
      </c>
      <c r="O31" s="320">
        <v>0.41691483025610498</v>
      </c>
      <c r="P31" s="320">
        <v>0</v>
      </c>
      <c r="Q31" s="320">
        <v>-5.1276703743888798E-2</v>
      </c>
      <c r="R31" s="320">
        <v>-0.22503030604006299</v>
      </c>
      <c r="S31" s="1284" t="s">
        <v>561</v>
      </c>
      <c r="T31" s="485">
        <v>-0.444395676743293</v>
      </c>
      <c r="U31" s="485">
        <v>0</v>
      </c>
      <c r="V31" s="485">
        <v>0.13598714303375001</v>
      </c>
      <c r="W31" s="485">
        <v>-1.02986786761269</v>
      </c>
      <c r="X31" s="485">
        <v>-2.7435594940876302E-3</v>
      </c>
      <c r="Y31" s="485">
        <v>3.84375</v>
      </c>
      <c r="Z31" s="485">
        <v>5.3330489040584496E-3</v>
      </c>
      <c r="AA31" s="485">
        <v>-1.2620481821794201</v>
      </c>
      <c r="AB31" s="485">
        <v>-0.57037151225528004</v>
      </c>
      <c r="AC31" s="485">
        <v>0.19734882335418499</v>
      </c>
      <c r="AD31" s="485">
        <v>-0.55062458908612799</v>
      </c>
      <c r="AE31" s="485">
        <v>-0.29375000000000001</v>
      </c>
      <c r="AF31" s="485">
        <v>17.585895117540701</v>
      </c>
      <c r="AG31" s="485">
        <v>-0.92366204835642496</v>
      </c>
      <c r="AH31" s="485">
        <v>-0.21574973031283701</v>
      </c>
      <c r="AI31" s="485">
        <v>1.08914665359691E-2</v>
      </c>
      <c r="AJ31" s="485">
        <v>-1.7426257305483399</v>
      </c>
    </row>
    <row r="32" spans="1:36" s="12" customFormat="1" ht="12" customHeight="1">
      <c r="A32" s="1104" t="s">
        <v>562</v>
      </c>
      <c r="B32" s="334">
        <v>-0.37265840665931699</v>
      </c>
      <c r="C32" s="334">
        <v>2.4537870112874199E-2</v>
      </c>
      <c r="D32" s="334">
        <v>0</v>
      </c>
      <c r="E32" s="334">
        <v>-0.221840561041935</v>
      </c>
      <c r="F32" s="334">
        <v>0.105948664340505</v>
      </c>
      <c r="G32" s="334">
        <v>-4.3478936008323102E-2</v>
      </c>
      <c r="H32" s="334">
        <v>-4.30975052785997E-2</v>
      </c>
      <c r="I32" s="334">
        <v>-0.19073062029193999</v>
      </c>
      <c r="J32" s="334">
        <v>-1.0625916268451301</v>
      </c>
      <c r="K32" s="334">
        <v>-0.102071450015011</v>
      </c>
      <c r="L32" s="334">
        <v>0</v>
      </c>
      <c r="M32" s="334">
        <v>-2.2058588122298701</v>
      </c>
      <c r="N32" s="334">
        <v>-1.6289297931259199E-2</v>
      </c>
      <c r="O32" s="334">
        <v>1.57289776164549</v>
      </c>
      <c r="P32" s="334">
        <v>0</v>
      </c>
      <c r="Q32" s="334">
        <v>-0.46159045834791601</v>
      </c>
      <c r="R32" s="334">
        <v>-0.51179512479293898</v>
      </c>
      <c r="S32" s="1104" t="s">
        <v>562</v>
      </c>
      <c r="T32" s="785">
        <v>-1.0541224775826199</v>
      </c>
      <c r="U32" s="785">
        <v>0</v>
      </c>
      <c r="V32" s="785">
        <v>0.21769911504424799</v>
      </c>
      <c r="W32" s="785">
        <v>0.35730731840431201</v>
      </c>
      <c r="X32" s="785">
        <v>2.19532943662358E-2</v>
      </c>
      <c r="Y32" s="785">
        <v>3.2258064516128999</v>
      </c>
      <c r="Z32" s="785">
        <v>-3.5985126147858898E-2</v>
      </c>
      <c r="AA32" s="785">
        <v>-3.1155885038361402</v>
      </c>
      <c r="AB32" s="785">
        <v>9.6439455309956401E-2</v>
      </c>
      <c r="AC32" s="785">
        <v>-0.54385779282615598</v>
      </c>
      <c r="AD32" s="785">
        <v>-1.28985154538817</v>
      </c>
      <c r="AE32" s="785">
        <v>-0.46656298600311003</v>
      </c>
      <c r="AF32" s="785">
        <v>-1.8079913216416599E-2</v>
      </c>
      <c r="AG32" s="785">
        <v>1.3585110718652401E-2</v>
      </c>
      <c r="AH32" s="785">
        <v>1.04328869511056</v>
      </c>
      <c r="AI32" s="785">
        <v>-1.2251398701351701E-2</v>
      </c>
      <c r="AJ32" s="785">
        <v>0.32969460414004498</v>
      </c>
    </row>
    <row r="33" spans="1:36" s="1251" customFormat="1" ht="12" customHeight="1">
      <c r="A33" s="1284" t="s">
        <v>555</v>
      </c>
      <c r="B33" s="320">
        <v>2.2137596198270999</v>
      </c>
      <c r="C33" s="320">
        <v>-5.3137134682199098E-2</v>
      </c>
      <c r="D33" s="320">
        <v>-1.3260840737302699E-2</v>
      </c>
      <c r="E33" s="320">
        <v>2.0260650531157598</v>
      </c>
      <c r="F33" s="320">
        <v>0.626883493489509</v>
      </c>
      <c r="G33" s="320">
        <v>1.5148649074687099</v>
      </c>
      <c r="H33" s="320">
        <v>1.3107946437006901</v>
      </c>
      <c r="I33" s="320">
        <v>0.154363667938023</v>
      </c>
      <c r="J33" s="320">
        <v>-0.46006460955775902</v>
      </c>
      <c r="K33" s="320">
        <v>-0.76563291327792204</v>
      </c>
      <c r="L33" s="320">
        <v>0</v>
      </c>
      <c r="M33" s="320">
        <v>-0.150246147944505</v>
      </c>
      <c r="N33" s="320">
        <v>-0.25995125913891098</v>
      </c>
      <c r="O33" s="320">
        <v>1.9489330208461799</v>
      </c>
      <c r="P33" s="320">
        <v>0</v>
      </c>
      <c r="Q33" s="320">
        <v>0.82441057930151695</v>
      </c>
      <c r="R33" s="320">
        <v>1.2032375346283299</v>
      </c>
      <c r="S33" s="1284" t="s">
        <v>555</v>
      </c>
      <c r="T33" s="485">
        <v>0.88923409361354699</v>
      </c>
      <c r="U33" s="485">
        <v>0</v>
      </c>
      <c r="V33" s="485">
        <v>0.44444444444444398</v>
      </c>
      <c r="W33" s="485">
        <v>-0.33232191879786099</v>
      </c>
      <c r="X33" s="485">
        <v>-2.8805398954775501E-2</v>
      </c>
      <c r="Y33" s="485">
        <v>-1.2738853503184699</v>
      </c>
      <c r="Z33" s="485">
        <v>2.26624363452156E-2</v>
      </c>
      <c r="AA33" s="485">
        <v>2.2154741922677799</v>
      </c>
      <c r="AB33" s="485">
        <v>0.81670750204176901</v>
      </c>
      <c r="AC33" s="485">
        <v>2.7539493569044402</v>
      </c>
      <c r="AD33" s="485">
        <v>-0.60474117077890699</v>
      </c>
      <c r="AE33" s="485">
        <v>1.86945500633714</v>
      </c>
      <c r="AF33" s="485">
        <v>1.8083182640144701E-2</v>
      </c>
      <c r="AG33" s="485">
        <v>0.80799780881950101</v>
      </c>
      <c r="AH33" s="485">
        <v>1.85567010309278</v>
      </c>
      <c r="AI33" s="485">
        <v>1.22528998529652E-2</v>
      </c>
      <c r="AJ33" s="485">
        <v>1.7374882406499701</v>
      </c>
    </row>
    <row r="34" spans="1:36" ht="12" customHeight="1">
      <c r="A34" s="1104" t="s">
        <v>563</v>
      </c>
      <c r="B34" s="334">
        <v>5.1680360725790102</v>
      </c>
      <c r="C34" s="334">
        <v>1.3262599469495999E-2</v>
      </c>
      <c r="D34" s="334">
        <v>-2.04331834899877E-2</v>
      </c>
      <c r="E34" s="334">
        <v>1.02898871431733</v>
      </c>
      <c r="F34" s="334">
        <v>0.82699115678433699</v>
      </c>
      <c r="G34" s="334">
        <v>1.5625500304184901</v>
      </c>
      <c r="H34" s="334">
        <v>1.7534900565015501</v>
      </c>
      <c r="I34" s="334">
        <v>-0.35122576510174702</v>
      </c>
      <c r="J34" s="334">
        <v>-2.4694979520441498</v>
      </c>
      <c r="K34" s="334">
        <v>-0.104160466638891</v>
      </c>
      <c r="L34" s="334">
        <v>287.539744712225</v>
      </c>
      <c r="M34" s="334">
        <v>1.95554396714686</v>
      </c>
      <c r="N34" s="334">
        <v>0.98441345365053301</v>
      </c>
      <c r="O34" s="334">
        <v>3.0638189677091301</v>
      </c>
      <c r="P34" s="334">
        <v>0</v>
      </c>
      <c r="Q34" s="334">
        <v>0.70085257186852501</v>
      </c>
      <c r="R34" s="334">
        <v>4.4283627743467804</v>
      </c>
      <c r="S34" s="1104" t="s">
        <v>563</v>
      </c>
      <c r="T34" s="785">
        <v>4.68687289880378</v>
      </c>
      <c r="U34" s="785">
        <v>0</v>
      </c>
      <c r="V34" s="785">
        <v>0.53619302949061698</v>
      </c>
      <c r="W34" s="785">
        <v>-8.4985594941657406E-3</v>
      </c>
      <c r="X34" s="785">
        <v>1.7835093977226001E-2</v>
      </c>
      <c r="Y34" s="785">
        <v>2.5473546701502299</v>
      </c>
      <c r="Z34" s="785">
        <v>1.19992000533298E-2</v>
      </c>
      <c r="AA34" s="785">
        <v>1.8457638531310701</v>
      </c>
      <c r="AB34" s="785">
        <v>0.68793828892005604</v>
      </c>
      <c r="AC34" s="785">
        <v>0.89816222191515804</v>
      </c>
      <c r="AD34" s="785">
        <v>0.16961473225102999</v>
      </c>
      <c r="AE34" s="785">
        <v>2.6875772759809999</v>
      </c>
      <c r="AF34" s="785">
        <v>9471.6140199048004</v>
      </c>
      <c r="AG34" s="785">
        <v>0.89816222191515804</v>
      </c>
      <c r="AH34" s="785">
        <v>1.4317889317889301</v>
      </c>
      <c r="AI34" s="785">
        <v>-1.08902804247209E-2</v>
      </c>
      <c r="AJ34" s="785">
        <v>1.8457638531310701</v>
      </c>
    </row>
    <row r="35" spans="1:36" s="9" customFormat="1" ht="12" customHeight="1">
      <c r="A35" s="1568" t="s">
        <v>564</v>
      </c>
      <c r="B35" s="1569">
        <v>1.0651736796281199</v>
      </c>
      <c r="C35" s="1569">
        <v>4.0883074407195401E-2</v>
      </c>
      <c r="D35" s="1569">
        <v>-1.3260840737302699E-2</v>
      </c>
      <c r="E35" s="1569">
        <v>-0.64128403385979704</v>
      </c>
      <c r="F35" s="1569">
        <v>0.78436470792165003</v>
      </c>
      <c r="G35" s="1569">
        <v>-1.24272704275234</v>
      </c>
      <c r="H35" s="1569">
        <v>-1.17115404005502</v>
      </c>
      <c r="I35" s="1569">
        <v>-0.27292715976785198</v>
      </c>
      <c r="J35" s="1569">
        <v>1.0617506258509399</v>
      </c>
      <c r="K35" s="1569">
        <v>0.21473307485833601</v>
      </c>
      <c r="L35" s="1569">
        <v>-99.174309971821302</v>
      </c>
      <c r="M35" s="1569">
        <v>-1.6949152542372901</v>
      </c>
      <c r="N35" s="1569">
        <v>-0.26182294223531299</v>
      </c>
      <c r="O35" s="1569">
        <v>1.07941403238242</v>
      </c>
      <c r="P35" s="1569">
        <v>0</v>
      </c>
      <c r="Q35" s="1570">
        <v>-0.41320557844877898</v>
      </c>
      <c r="R35" s="1570">
        <v>-1.05601310708698</v>
      </c>
      <c r="S35" s="1284" t="s">
        <v>564</v>
      </c>
      <c r="T35" s="1570">
        <v>0.84945778730964705</v>
      </c>
      <c r="U35" s="1570">
        <v>0</v>
      </c>
      <c r="V35" s="1570">
        <v>0.134228187919463</v>
      </c>
      <c r="W35" s="1570">
        <v>1.98214595250477</v>
      </c>
      <c r="X35" s="1570">
        <v>-6.8591810137869497E-3</v>
      </c>
      <c r="Y35" s="1570">
        <v>-0.59732502272432197</v>
      </c>
      <c r="Z35" s="1570">
        <v>-1.73291743314938E-2</v>
      </c>
      <c r="AA35" s="1570">
        <v>-0.95846645367412098</v>
      </c>
      <c r="AB35" s="1570">
        <v>-0.20948616600790501</v>
      </c>
      <c r="AC35" s="1570">
        <v>-2.5250567584030099</v>
      </c>
      <c r="AD35" s="1570">
        <v>9.53982472593215E-2</v>
      </c>
      <c r="AE35" s="1570">
        <v>-6.5032190934512596E-2</v>
      </c>
      <c r="AF35" s="1570">
        <v>4.3290043290043302E-2</v>
      </c>
      <c r="AG35" s="1570">
        <v>-0.50866098432774298</v>
      </c>
      <c r="AH35" s="1570">
        <v>8.0502334567702505E-2</v>
      </c>
      <c r="AI35" s="1570">
        <v>-1.3612665223724099E-3</v>
      </c>
      <c r="AJ35" s="1570">
        <v>-2.3355991474011799</v>
      </c>
    </row>
    <row r="36" spans="1:36" s="9" customFormat="1" ht="12" customHeight="1">
      <c r="A36" s="499" t="s">
        <v>556</v>
      </c>
      <c r="B36" s="540">
        <v>-3.70993434666818</v>
      </c>
      <c r="C36" s="540">
        <v>-0.36659877800407298</v>
      </c>
      <c r="D36" s="540">
        <v>-0.13243279035889299</v>
      </c>
      <c r="E36" s="540">
        <v>-2.0073254811835701</v>
      </c>
      <c r="F36" s="540">
        <v>4.9137208428476499E-2</v>
      </c>
      <c r="G36" s="540">
        <v>-2.9834491433129302</v>
      </c>
      <c r="H36" s="540">
        <v>-2.9456577371118899</v>
      </c>
      <c r="I36" s="540">
        <v>-0.16718353178401399</v>
      </c>
      <c r="J36" s="540">
        <v>-3.4992079763929298</v>
      </c>
      <c r="K36" s="540">
        <v>-1.3678482129725</v>
      </c>
      <c r="L36" s="540">
        <v>-0.15825910426714601</v>
      </c>
      <c r="M36" s="540">
        <v>-2.29769917044921</v>
      </c>
      <c r="N36" s="540">
        <v>-0.45610034207525701</v>
      </c>
      <c r="O36" s="540">
        <v>-3.2811334824757599</v>
      </c>
      <c r="P36" s="334">
        <v>0</v>
      </c>
      <c r="Q36" s="334">
        <v>-1.0919937615063</v>
      </c>
      <c r="R36" s="334">
        <v>-4.5943489538740803</v>
      </c>
      <c r="S36" s="1104" t="s">
        <v>556</v>
      </c>
      <c r="T36" s="334">
        <v>-2.3854726817454099</v>
      </c>
      <c r="U36" s="334">
        <v>1.2988699831146901E-2</v>
      </c>
      <c r="V36" s="334">
        <v>6.2679083094555901E-2</v>
      </c>
      <c r="W36" s="334">
        <v>-4.8930066932638701</v>
      </c>
      <c r="X36" s="334">
        <v>3.7053301860899203E-2</v>
      </c>
      <c r="Y36" s="334">
        <v>-5.2767527675276797</v>
      </c>
      <c r="Z36" s="334">
        <v>-4.7965464865297E-2</v>
      </c>
      <c r="AA36" s="334">
        <v>-5.9691745036572597</v>
      </c>
      <c r="AB36" s="334">
        <v>-2.0367071943003201</v>
      </c>
      <c r="AC36" s="334">
        <v>-5.3972644360977098</v>
      </c>
      <c r="AD36" s="334">
        <v>-2.0028521628901901</v>
      </c>
      <c r="AE36" s="334">
        <v>-3.8336460287679799</v>
      </c>
      <c r="AF36" s="334">
        <v>-1.7313019390581701E-2</v>
      </c>
      <c r="AG36" s="334">
        <v>-1.34273701342737</v>
      </c>
      <c r="AH36" s="334">
        <v>-5.5361216730037999</v>
      </c>
      <c r="AI36" s="334">
        <v>1.36145185225524E-2</v>
      </c>
      <c r="AJ36" s="334">
        <v>-2.2097831802655401</v>
      </c>
    </row>
    <row r="37" spans="1:36" s="1380" customFormat="1" ht="12" customHeight="1">
      <c r="A37" s="496" t="s">
        <v>565</v>
      </c>
      <c r="B37" s="541">
        <v>3.8601885062292598</v>
      </c>
      <c r="C37" s="541">
        <v>0</v>
      </c>
      <c r="D37" s="541">
        <v>-1.3241525423728801E-2</v>
      </c>
      <c r="E37" s="541">
        <v>1.75015528517666</v>
      </c>
      <c r="F37" s="541">
        <v>0.82473625925278304</v>
      </c>
      <c r="G37" s="541">
        <v>1.85928784588222</v>
      </c>
      <c r="H37" s="541">
        <v>1.8445845753918</v>
      </c>
      <c r="I37" s="541">
        <v>-1.8501623676974398E-2</v>
      </c>
      <c r="J37" s="541">
        <v>-0.51283402730195504</v>
      </c>
      <c r="K37" s="541">
        <v>-2.2008055235903301</v>
      </c>
      <c r="L37" s="541">
        <v>6.1883163978220801E-2</v>
      </c>
      <c r="M37" s="541">
        <v>-0.43013433905806803</v>
      </c>
      <c r="N37" s="541">
        <v>0.13048442342195399</v>
      </c>
      <c r="O37" s="541">
        <v>1.39886578449905</v>
      </c>
      <c r="P37" s="1569">
        <v>0</v>
      </c>
      <c r="Q37" s="320">
        <v>0.78018954871083701</v>
      </c>
      <c r="R37" s="320">
        <v>1.89652395078331</v>
      </c>
      <c r="S37" s="1284" t="s">
        <v>565</v>
      </c>
      <c r="T37" s="320">
        <v>4.3576974564926401</v>
      </c>
      <c r="U37" s="320">
        <v>-1.2987012987013E-2</v>
      </c>
      <c r="V37" s="320">
        <v>0.134492961535013</v>
      </c>
      <c r="W37" s="320">
        <v>-1.26234057965117</v>
      </c>
      <c r="X37" s="320">
        <v>-8.2333891374152604E-3</v>
      </c>
      <c r="Y37" s="320">
        <v>8.3133493205435691</v>
      </c>
      <c r="Z37" s="320">
        <v>5.86588454872684E-2</v>
      </c>
      <c r="AA37" s="320">
        <v>3.13889263101172</v>
      </c>
      <c r="AB37" s="320">
        <v>0.77259247697830502</v>
      </c>
      <c r="AC37" s="320">
        <v>2.47197887142489</v>
      </c>
      <c r="AD37" s="320">
        <v>-1.3135261923377599</v>
      </c>
      <c r="AE37" s="320">
        <v>1.0554256462112099</v>
      </c>
      <c r="AF37" s="320">
        <v>1.7316017316017299E-2</v>
      </c>
      <c r="AG37" s="320">
        <v>1.15242145698998</v>
      </c>
      <c r="AH37" s="320">
        <v>0.289810860280659</v>
      </c>
      <c r="AI37" s="320">
        <v>-1.22515654778111E-2</v>
      </c>
      <c r="AJ37" s="320">
        <v>2.18767633325362</v>
      </c>
    </row>
    <row r="38" spans="1:36" s="53" customFormat="1">
      <c r="A38" s="499" t="s">
        <v>566</v>
      </c>
      <c r="B38" s="540">
        <v>0.14752718861842901</v>
      </c>
      <c r="C38" s="540">
        <v>0</v>
      </c>
      <c r="D38" s="540">
        <v>0.13259082471493</v>
      </c>
      <c r="E38" s="540">
        <v>-0.98404543974530601</v>
      </c>
      <c r="F38" s="540">
        <v>0.37295423632135499</v>
      </c>
      <c r="G38" s="540">
        <v>-0.60874291482257903</v>
      </c>
      <c r="H38" s="540">
        <v>-0.63797957535858296</v>
      </c>
      <c r="I38" s="540">
        <v>2.8717660723174498E-2</v>
      </c>
      <c r="J38" s="540">
        <v>-0.87251828631138995</v>
      </c>
      <c r="K38" s="540">
        <v>-1.7801638881039801</v>
      </c>
      <c r="L38" s="540">
        <v>-0.57896877045475503</v>
      </c>
      <c r="M38" s="540">
        <v>0.76002638108099596</v>
      </c>
      <c r="N38" s="540">
        <v>-9.7767638911520294E-2</v>
      </c>
      <c r="O38" s="540">
        <v>-1.2600806451612901E-2</v>
      </c>
      <c r="P38" s="334">
        <v>0</v>
      </c>
      <c r="Q38" s="334">
        <v>-0.18984468978514801</v>
      </c>
      <c r="R38" s="334">
        <v>0.343082602174477</v>
      </c>
      <c r="S38" s="1104" t="s">
        <v>566</v>
      </c>
      <c r="T38" s="334">
        <v>0.70154058528220697</v>
      </c>
      <c r="U38" s="334">
        <v>0</v>
      </c>
      <c r="V38" s="334">
        <v>-0.82696069713676001</v>
      </c>
      <c r="W38" s="334">
        <v>-0.367337009406422</v>
      </c>
      <c r="X38" s="334">
        <v>1.37225035335447E-3</v>
      </c>
      <c r="Y38" s="334">
        <v>4.9056603773584904</v>
      </c>
      <c r="Z38" s="334">
        <v>-5.5961200234504099E-2</v>
      </c>
      <c r="AA38" s="334">
        <v>-2.3514322359982902</v>
      </c>
      <c r="AB38" s="334">
        <v>0.113285675221688</v>
      </c>
      <c r="AC38" s="334">
        <v>-0.52225177020922098</v>
      </c>
      <c r="AD38" s="334">
        <v>-3.10606060606061</v>
      </c>
      <c r="AE38" s="334">
        <v>0.78343949044586003</v>
      </c>
      <c r="AF38" s="334">
        <v>0</v>
      </c>
      <c r="AG38" s="334">
        <v>-0.39628313746925398</v>
      </c>
      <c r="AH38" s="334">
        <v>0.32134659525631198</v>
      </c>
      <c r="AI38" s="334">
        <v>4.0840219448112502E-3</v>
      </c>
      <c r="AJ38" s="334">
        <v>-0.33763911029996002</v>
      </c>
    </row>
    <row r="39" spans="1:36" s="53" customFormat="1">
      <c r="A39" s="496" t="s">
        <v>557</v>
      </c>
      <c r="B39" s="320">
        <v>-3.3674607116891999</v>
      </c>
      <c r="C39" s="320">
        <v>-8.1400081400081398E-2</v>
      </c>
      <c r="D39" s="320">
        <v>2.6525198938991999E-2</v>
      </c>
      <c r="E39" s="320">
        <v>-2.7444495267583799</v>
      </c>
      <c r="F39" s="320">
        <v>0.38761397172179901</v>
      </c>
      <c r="G39" s="320">
        <v>-1.5953789024893399</v>
      </c>
      <c r="H39" s="320">
        <v>-1.5599436814719401</v>
      </c>
      <c r="I39" s="320">
        <v>-7.3335756601812296E-2</v>
      </c>
      <c r="J39" s="320">
        <v>1.2216404886562</v>
      </c>
      <c r="K39" s="320">
        <v>-1.13696678492611</v>
      </c>
      <c r="L39" s="320">
        <v>-3.8001025227131402</v>
      </c>
      <c r="M39" s="320">
        <v>-1.69193244620087</v>
      </c>
      <c r="N39" s="320">
        <v>-0.357200844292905</v>
      </c>
      <c r="O39" s="320">
        <v>-2.5061425061425102</v>
      </c>
      <c r="P39" s="320">
        <v>0</v>
      </c>
      <c r="Q39" s="320">
        <v>-0.768273029780427</v>
      </c>
      <c r="R39" s="320">
        <v>-3.4020062725040998</v>
      </c>
      <c r="S39" s="496" t="s">
        <v>557</v>
      </c>
      <c r="T39" s="541">
        <v>-6.6119781044319899</v>
      </c>
      <c r="U39" s="541">
        <v>0</v>
      </c>
      <c r="V39" s="541">
        <v>1.13309352517986</v>
      </c>
      <c r="W39" s="541">
        <v>0.57004917591603399</v>
      </c>
      <c r="X39" s="541">
        <v>-3.84082522873486E-2</v>
      </c>
      <c r="Y39" s="541">
        <v>-7.0779220779220804</v>
      </c>
      <c r="Z39" s="541">
        <v>-7.1898383617820097E-2</v>
      </c>
      <c r="AA39" s="541">
        <v>-1.7950572945599199</v>
      </c>
      <c r="AB39" s="541">
        <v>-1.0054526470474501</v>
      </c>
      <c r="AC39" s="541">
        <v>-3.7727123242621099</v>
      </c>
      <c r="AD39" s="541">
        <v>-1.7125837676842901</v>
      </c>
      <c r="AE39" s="541">
        <v>-2.8044326131368802</v>
      </c>
      <c r="AF39" s="541">
        <v>0</v>
      </c>
      <c r="AG39" s="541">
        <v>-0.75942500678058</v>
      </c>
      <c r="AH39" s="541">
        <v>-1.7883979561166199</v>
      </c>
      <c r="AI39" s="541">
        <v>4.0841887439758201E-3</v>
      </c>
      <c r="AJ39" s="541">
        <v>-1.28810743725903</v>
      </c>
    </row>
    <row r="40" spans="1:36" s="53" customFormat="1">
      <c r="A40" s="554" t="s">
        <v>2930</v>
      </c>
      <c r="B40" s="488"/>
      <c r="C40" s="488"/>
      <c r="D40" s="488"/>
      <c r="E40" s="488"/>
      <c r="F40" s="488"/>
      <c r="G40" s="488"/>
      <c r="H40" s="488"/>
      <c r="I40" s="488"/>
      <c r="J40" s="488"/>
      <c r="K40" s="488"/>
      <c r="L40" s="488"/>
      <c r="M40" s="488"/>
      <c r="N40" s="488"/>
      <c r="O40" s="488"/>
      <c r="P40" s="488"/>
      <c r="Q40" s="488"/>
      <c r="R40" s="488"/>
      <c r="S40" s="554" t="s">
        <v>2930</v>
      </c>
      <c r="T40" s="820"/>
      <c r="U40" s="820"/>
      <c r="V40" s="820"/>
      <c r="W40" s="820"/>
      <c r="X40" s="820"/>
      <c r="Y40" s="820"/>
      <c r="Z40" s="820"/>
      <c r="AA40" s="820"/>
      <c r="AB40" s="820"/>
      <c r="AC40" s="820"/>
      <c r="AD40" s="820"/>
      <c r="AE40" s="820"/>
      <c r="AF40" s="820"/>
      <c r="AG40" s="820"/>
      <c r="AH40" s="820"/>
      <c r="AI40" s="820"/>
      <c r="AJ40" s="820"/>
    </row>
    <row r="41" spans="1:36" s="53" customFormat="1">
      <c r="A41" s="496" t="s">
        <v>559</v>
      </c>
      <c r="B41" s="320">
        <v>1.97472888792308</v>
      </c>
      <c r="C41" s="320">
        <v>-0.78339525117105502</v>
      </c>
      <c r="D41" s="320">
        <v>-1.3260840737302699E-2</v>
      </c>
      <c r="E41" s="320">
        <v>1.3623881022861</v>
      </c>
      <c r="F41" s="320">
        <v>0.316670103396471</v>
      </c>
      <c r="G41" s="320">
        <v>0.98611111111111105</v>
      </c>
      <c r="H41" s="320">
        <v>0.92803595435164299</v>
      </c>
      <c r="I41" s="320">
        <v>-1.7852474799319101E-2</v>
      </c>
      <c r="J41" s="320">
        <v>-0.88583708984170295</v>
      </c>
      <c r="K41" s="320">
        <v>-0.53073246637768101</v>
      </c>
      <c r="L41" s="320">
        <v>7.2716431368414196E-3</v>
      </c>
      <c r="M41" s="320">
        <v>2.7667607957610199</v>
      </c>
      <c r="N41" s="320">
        <v>6.4987814784727899E-2</v>
      </c>
      <c r="O41" s="320">
        <v>-0.40376850605652798</v>
      </c>
      <c r="P41" s="320">
        <v>0</v>
      </c>
      <c r="Q41" s="320">
        <v>-0.11803002752323399</v>
      </c>
      <c r="R41" s="320">
        <v>3.9819370022380598</v>
      </c>
      <c r="S41" s="496" t="s">
        <v>559</v>
      </c>
      <c r="T41" s="541">
        <v>4.84635691657867</v>
      </c>
      <c r="U41" s="541">
        <v>0</v>
      </c>
      <c r="V41" s="541">
        <v>5.3985963649451102E-2</v>
      </c>
      <c r="W41" s="541">
        <v>0.124930594114381</v>
      </c>
      <c r="X41" s="541">
        <v>6.8633237704355504E-2</v>
      </c>
      <c r="Y41" s="541">
        <v>-3.56919223544145</v>
      </c>
      <c r="Z41" s="541">
        <v>-5.3255225669018797E-3</v>
      </c>
      <c r="AA41" s="541">
        <v>7.2906704367471997</v>
      </c>
      <c r="AB41" s="541">
        <v>0.83447065704815704</v>
      </c>
      <c r="AC41" s="541">
        <v>2.20525290296152</v>
      </c>
      <c r="AD41" s="541">
        <v>2.9792939073439599E-2</v>
      </c>
      <c r="AE41" s="541">
        <v>1.23831341712587E-2</v>
      </c>
      <c r="AF41" s="541">
        <v>-5.3278688524590203</v>
      </c>
      <c r="AG41" s="541">
        <v>0.559116323469249</v>
      </c>
      <c r="AH41" s="541">
        <v>-0.44883303411131098</v>
      </c>
      <c r="AI41" s="541">
        <v>-6.8065179215616896E-3</v>
      </c>
      <c r="AJ41" s="541">
        <v>1.68960969781185</v>
      </c>
    </row>
    <row r="42" spans="1:36" s="53" customFormat="1" ht="12" thickBot="1">
      <c r="A42" s="1913" t="s">
        <v>560</v>
      </c>
      <c r="B42" s="1915">
        <v>1.9792015406183701</v>
      </c>
      <c r="C42" s="1915">
        <v>0.66666666666666696</v>
      </c>
      <c r="D42" s="1915">
        <v>1.3262599469495999E-2</v>
      </c>
      <c r="E42" s="1915">
        <v>0.82707037290085905</v>
      </c>
      <c r="F42" s="1915">
        <v>9.7304947809164405E-2</v>
      </c>
      <c r="G42" s="1915">
        <v>0.41529783673216403</v>
      </c>
      <c r="H42" s="1915">
        <v>0.49444830721470501</v>
      </c>
      <c r="I42" s="1915">
        <v>2.3596336828142099E-2</v>
      </c>
      <c r="J42" s="1915">
        <v>1.04843782763682E-2</v>
      </c>
      <c r="K42" s="1915">
        <v>1.38892801803071</v>
      </c>
      <c r="L42" s="1915">
        <v>4.4012803724719898E-2</v>
      </c>
      <c r="M42" s="1915">
        <v>-1.5493705682066701</v>
      </c>
      <c r="N42" s="1915">
        <v>0.19534429431873701</v>
      </c>
      <c r="O42" s="1915">
        <v>1.5027322404371599</v>
      </c>
      <c r="P42" s="1915">
        <v>0</v>
      </c>
      <c r="Q42" s="1915">
        <v>1.2328618863938401</v>
      </c>
      <c r="R42" s="1915">
        <v>0.63823586857980596</v>
      </c>
      <c r="S42" s="1913" t="s">
        <v>560</v>
      </c>
      <c r="T42" s="1914">
        <v>1.01656586344096</v>
      </c>
      <c r="U42" s="1914">
        <v>0</v>
      </c>
      <c r="V42" s="1914">
        <v>4.5008551624808699E-2</v>
      </c>
      <c r="W42" s="1914">
        <v>-1.80958107837242</v>
      </c>
      <c r="X42" s="1914">
        <v>-7.4068993896166196E-2</v>
      </c>
      <c r="Y42" s="1914">
        <v>-7.3128264654672099</v>
      </c>
      <c r="Z42" s="1914">
        <v>1.9974698714960999E-2</v>
      </c>
      <c r="AA42" s="1914">
        <v>4.9181996655275197</v>
      </c>
      <c r="AB42" s="1914">
        <v>0.57257147339111303</v>
      </c>
      <c r="AC42" s="1914">
        <v>-0.94730271029495905</v>
      </c>
      <c r="AD42" s="1914">
        <v>2.4885496183206102</v>
      </c>
      <c r="AE42" s="1914">
        <v>-0.222400691913264</v>
      </c>
      <c r="AF42" s="1914">
        <v>0</v>
      </c>
      <c r="AG42" s="1914">
        <v>0.383299110198494</v>
      </c>
      <c r="AH42" s="1914">
        <v>0.76888285843509696</v>
      </c>
      <c r="AI42" s="1914">
        <v>4.0840775430189503E-3</v>
      </c>
      <c r="AJ42" s="1914">
        <v>0.40054891024239297</v>
      </c>
    </row>
    <row r="43" spans="1:36" s="53" customFormat="1" ht="11.25" customHeight="1">
      <c r="A43" s="496"/>
      <c r="B43" s="320"/>
      <c r="C43" s="320"/>
      <c r="D43" s="320"/>
      <c r="E43" s="320"/>
      <c r="F43" s="320"/>
      <c r="G43" s="320"/>
      <c r="H43" s="320"/>
      <c r="I43" s="320"/>
      <c r="J43" s="320"/>
      <c r="K43" s="320"/>
      <c r="L43" s="320"/>
      <c r="M43" s="320"/>
      <c r="N43" s="320"/>
      <c r="O43" s="320"/>
      <c r="P43" s="320"/>
      <c r="Q43" s="320"/>
      <c r="R43" s="320"/>
      <c r="S43" s="496"/>
      <c r="T43" s="541"/>
      <c r="U43" s="541"/>
      <c r="V43" s="541"/>
      <c r="W43" s="541"/>
      <c r="X43" s="541"/>
      <c r="Y43" s="541"/>
      <c r="Z43" s="541"/>
      <c r="AA43" s="541"/>
      <c r="AB43" s="541"/>
      <c r="AC43" s="541"/>
      <c r="AD43" s="541"/>
      <c r="AE43" s="541"/>
      <c r="AF43" s="541"/>
      <c r="AG43" s="541"/>
      <c r="AH43" s="541"/>
      <c r="AI43" s="541"/>
      <c r="AJ43" s="541"/>
    </row>
    <row r="44" spans="1:36" s="53" customFormat="1">
      <c r="A44" s="542" t="s">
        <v>591</v>
      </c>
      <c r="B44" s="2575" t="s">
        <v>1294</v>
      </c>
      <c r="C44" s="2575"/>
      <c r="D44" s="2575"/>
      <c r="E44" s="2575"/>
      <c r="F44" s="2575"/>
      <c r="G44" s="2575"/>
      <c r="H44" s="190"/>
      <c r="I44" s="847" t="s">
        <v>261</v>
      </c>
      <c r="J44" s="1693" t="s">
        <v>1217</v>
      </c>
      <c r="K44" s="29"/>
      <c r="L44" s="29"/>
      <c r="M44" s="12"/>
      <c r="N44" s="12"/>
      <c r="O44" s="12"/>
      <c r="P44" s="12"/>
      <c r="Q44" s="12"/>
      <c r="R44" s="12"/>
      <c r="S44" s="847" t="s">
        <v>261</v>
      </c>
      <c r="T44" s="1693" t="s">
        <v>1217</v>
      </c>
      <c r="U44" s="29"/>
      <c r="V44" s="29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</row>
    <row r="46" spans="1:36">
      <c r="A46" s="1327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</row>
    <row r="47" spans="1:36">
      <c r="A47" s="53"/>
      <c r="B47" s="1327"/>
      <c r="C47" s="1327"/>
      <c r="D47" s="1327"/>
      <c r="E47" s="1327"/>
      <c r="F47" s="1327"/>
      <c r="G47" s="1327"/>
      <c r="H47" s="1327"/>
      <c r="I47" s="1327"/>
      <c r="J47" s="1327"/>
      <c r="K47" s="1327"/>
      <c r="L47" s="1327"/>
      <c r="M47" s="1327"/>
      <c r="N47" s="1327"/>
      <c r="O47" s="1327"/>
      <c r="P47" s="1327"/>
      <c r="Q47" s="1327"/>
      <c r="R47" s="1327"/>
      <c r="S47" s="1327"/>
      <c r="T47" s="1327"/>
      <c r="U47" s="1327"/>
      <c r="V47" s="1327"/>
      <c r="W47" s="1327"/>
      <c r="X47" s="1327"/>
      <c r="Y47" s="53"/>
      <c r="Z47" s="1327"/>
      <c r="AA47" s="1327"/>
      <c r="AB47" s="1327"/>
      <c r="AC47" s="53"/>
      <c r="AD47" s="1327"/>
      <c r="AE47" s="53"/>
      <c r="AF47" s="1327"/>
      <c r="AG47" s="1327"/>
      <c r="AH47" s="1327"/>
      <c r="AI47" s="1327"/>
      <c r="AJ47" s="53"/>
    </row>
    <row r="48" spans="1:36" s="1684" customFormat="1" ht="12.75">
      <c r="J48" s="547"/>
      <c r="K48" s="547"/>
      <c r="L48" s="547"/>
      <c r="M48" s="547"/>
      <c r="N48" s="547"/>
      <c r="O48" s="547"/>
      <c r="P48" s="547"/>
      <c r="Q48" s="547"/>
      <c r="R48" s="547"/>
      <c r="S48" s="547"/>
      <c r="T48" s="547"/>
      <c r="U48" s="547"/>
      <c r="V48" s="547"/>
      <c r="W48" s="547"/>
      <c r="X48" s="547"/>
      <c r="Y48" s="547"/>
      <c r="Z48" s="547"/>
      <c r="AA48" s="547"/>
      <c r="AB48" s="547"/>
      <c r="AC48" s="547"/>
      <c r="AD48" s="547"/>
      <c r="AE48" s="547"/>
      <c r="AF48" s="547"/>
      <c r="AG48" s="547"/>
      <c r="AH48" s="547"/>
      <c r="AI48" s="547"/>
    </row>
    <row r="49" spans="1:36" s="1684" customFormat="1" ht="12.75">
      <c r="J49" s="547"/>
      <c r="K49" s="547"/>
      <c r="L49" s="547"/>
      <c r="M49" s="547"/>
      <c r="N49" s="547"/>
      <c r="O49" s="547"/>
      <c r="P49" s="547"/>
      <c r="Q49" s="547"/>
      <c r="R49" s="547"/>
      <c r="S49" s="547"/>
      <c r="T49" s="547"/>
      <c r="U49" s="547"/>
      <c r="V49" s="547"/>
      <c r="X49" s="547"/>
      <c r="Y49" s="547"/>
      <c r="Z49" s="547"/>
    </row>
    <row r="50" spans="1:36" s="1684" customFormat="1" ht="12.75"/>
    <row r="51" spans="1:36" ht="12.75">
      <c r="A51" s="1684"/>
      <c r="B51" s="1684"/>
      <c r="C51" s="1684"/>
      <c r="D51" s="1684"/>
      <c r="E51" s="1684"/>
      <c r="F51" s="1684"/>
      <c r="G51" s="1684"/>
      <c r="H51" s="1684"/>
      <c r="I51" s="1684"/>
      <c r="J51" s="1684"/>
      <c r="K51" s="1684"/>
      <c r="L51" s="1684"/>
      <c r="M51" s="1684"/>
      <c r="N51" s="1684"/>
      <c r="O51" s="1684"/>
      <c r="P51" s="1684"/>
      <c r="Q51" s="1684"/>
      <c r="R51" s="1684"/>
      <c r="S51" s="1684"/>
      <c r="T51" s="1684"/>
      <c r="U51" s="1684"/>
      <c r="V51" s="1684"/>
      <c r="W51" s="1684"/>
      <c r="X51" s="1684"/>
      <c r="Y51" s="1684"/>
      <c r="Z51" s="1684"/>
      <c r="AA51" s="1684"/>
      <c r="AB51" s="1684"/>
      <c r="AC51" s="1684"/>
      <c r="AD51" s="1684"/>
      <c r="AE51" s="1684"/>
      <c r="AF51" s="1684"/>
      <c r="AG51" s="1684"/>
      <c r="AH51" s="1684"/>
      <c r="AI51" s="1684"/>
      <c r="AJ51" s="1684"/>
    </row>
  </sheetData>
  <customSheetViews>
    <customSheetView guid="{A374FC54-96E3-45F0-9C12-8450400C12DF}" scale="130" hiddenRows="1">
      <pane xSplit="1" ySplit="3" topLeftCell="B38" activePane="bottomRight" state="frozen"/>
      <selection pane="bottomRight" activeCell="G52" sqref="G52"/>
      <pageMargins left="0.62992125984252001" right="0.511811023622047" top="0.511811023622047" bottom="0.511811023622047" header="0" footer="0.143700787"/>
      <pageSetup paperSize="132" firstPageNumber="96" orientation="portrait" useFirstPageNumber="1" r:id="rId1"/>
      <headerFooter>
        <oddFooter>&amp;C&amp;"Times New Roman,Regular"&amp;8&amp;P</oddFooter>
      </headerFooter>
    </customSheetView>
  </customSheetViews>
  <mergeCells count="9">
    <mergeCell ref="B44:G44"/>
    <mergeCell ref="AI2:AJ2"/>
    <mergeCell ref="AH1:AJ1"/>
    <mergeCell ref="A1:H1"/>
    <mergeCell ref="I1:N1"/>
    <mergeCell ref="P1:R1"/>
    <mergeCell ref="Q2:R2"/>
    <mergeCell ref="AB1:AF1"/>
    <mergeCell ref="S1:AA1"/>
  </mergeCells>
  <phoneticPr fontId="44" type="noConversion"/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sheetPr codeName="Sheet35"/>
  <dimension ref="A1:X76"/>
  <sheetViews>
    <sheetView zoomScale="150" zoomScaleNormal="150" workbookViewId="0">
      <pane xSplit="1" ySplit="4" topLeftCell="B26" activePane="bottomRight" state="frozen"/>
      <selection activeCell="X47" sqref="X47:X50"/>
      <selection pane="topRight" activeCell="X47" sqref="X47:X50"/>
      <selection pane="bottomLeft" activeCell="X47" sqref="X47:X50"/>
      <selection pane="bottomRight" activeCell="V31" sqref="V31"/>
    </sheetView>
  </sheetViews>
  <sheetFormatPr defaultColWidth="9.140625" defaultRowHeight="11.25"/>
  <cols>
    <col min="1" max="1" width="7.85546875" style="15" customWidth="1"/>
    <col min="2" max="2" width="8.5703125" style="8" customWidth="1"/>
    <col min="3" max="3" width="7.7109375" style="8" customWidth="1"/>
    <col min="4" max="4" width="7" style="8" customWidth="1"/>
    <col min="5" max="5" width="7.42578125" style="8" customWidth="1"/>
    <col min="6" max="6" width="5.85546875" style="8" customWidth="1"/>
    <col min="7" max="7" width="8.5703125" style="8" customWidth="1"/>
    <col min="8" max="8" width="9.28515625" style="8" customWidth="1"/>
    <col min="9" max="9" width="7.42578125" style="8" customWidth="1"/>
    <col min="10" max="10" width="8.7109375" style="8" customWidth="1"/>
    <col min="11" max="11" width="6.85546875" style="8" customWidth="1"/>
    <col min="12" max="12" width="6.42578125" style="8" customWidth="1"/>
    <col min="13" max="13" width="8.5703125" style="8" customWidth="1"/>
    <col min="14" max="14" width="7" style="8" customWidth="1"/>
    <col min="15" max="15" width="7.140625" style="8" customWidth="1"/>
    <col min="16" max="16" width="6.5703125" style="8" customWidth="1"/>
    <col min="17" max="17" width="7.42578125" style="8" customWidth="1"/>
    <col min="18" max="18" width="9" style="8" customWidth="1"/>
    <col min="19" max="19" width="6.140625" style="8" customWidth="1"/>
    <col min="20" max="21" width="6.7109375" style="8" customWidth="1"/>
    <col min="22" max="16384" width="9.140625" style="8"/>
  </cols>
  <sheetData>
    <row r="1" spans="1:22" s="21" customFormat="1" ht="20.45" customHeight="1">
      <c r="A1" s="2629" t="s">
        <v>592</v>
      </c>
      <c r="B1" s="2629"/>
      <c r="C1" s="2629"/>
      <c r="D1" s="2629"/>
      <c r="E1" s="2629"/>
      <c r="F1" s="2629"/>
      <c r="G1" s="2629"/>
      <c r="H1" s="2629"/>
      <c r="I1" s="2629"/>
      <c r="J1" s="2629"/>
      <c r="K1" s="2359" t="s">
        <v>312</v>
      </c>
      <c r="L1" s="2630"/>
      <c r="M1" s="2630"/>
      <c r="N1" s="2630"/>
      <c r="O1" s="2630"/>
      <c r="P1" s="2630"/>
      <c r="Q1" s="2630"/>
      <c r="R1" s="2630"/>
      <c r="S1" s="2366" t="s">
        <v>1081</v>
      </c>
      <c r="T1" s="2366"/>
      <c r="U1" s="2366"/>
    </row>
    <row r="2" spans="1:22" s="106" customFormat="1" ht="30" customHeight="1">
      <c r="A2" s="814" t="s">
        <v>581</v>
      </c>
      <c r="B2" s="814" t="s">
        <v>315</v>
      </c>
      <c r="C2" s="184" t="s">
        <v>772</v>
      </c>
      <c r="D2" s="814" t="s">
        <v>1057</v>
      </c>
      <c r="E2" s="2632" t="s">
        <v>986</v>
      </c>
      <c r="F2" s="2633"/>
      <c r="G2" s="814" t="s">
        <v>314</v>
      </c>
      <c r="H2" s="814" t="s">
        <v>990</v>
      </c>
      <c r="I2" s="821" t="s">
        <v>983</v>
      </c>
      <c r="J2" s="814" t="s">
        <v>989</v>
      </c>
      <c r="K2" s="814" t="s">
        <v>985</v>
      </c>
      <c r="L2" s="2635" t="s">
        <v>1199</v>
      </c>
      <c r="M2" s="2636"/>
      <c r="N2" s="2637"/>
      <c r="O2" s="2632" t="s">
        <v>1198</v>
      </c>
      <c r="P2" s="2633"/>
      <c r="Q2" s="814" t="s">
        <v>748</v>
      </c>
      <c r="R2" s="814" t="s">
        <v>242</v>
      </c>
      <c r="S2" s="2631" t="s">
        <v>984</v>
      </c>
      <c r="T2" s="2631"/>
      <c r="U2" s="2631"/>
      <c r="V2" s="122"/>
    </row>
    <row r="3" spans="1:22" s="564" customFormat="1" ht="35.1" customHeight="1">
      <c r="A3" s="561" t="s">
        <v>582</v>
      </c>
      <c r="B3" s="561" t="s">
        <v>583</v>
      </c>
      <c r="C3" s="561" t="s">
        <v>535</v>
      </c>
      <c r="D3" s="567" t="s">
        <v>1058</v>
      </c>
      <c r="E3" s="561" t="s">
        <v>593</v>
      </c>
      <c r="F3" s="561" t="s">
        <v>594</v>
      </c>
      <c r="G3" s="561" t="s">
        <v>331</v>
      </c>
      <c r="H3" s="561" t="s">
        <v>595</v>
      </c>
      <c r="I3" s="568" t="s">
        <v>536</v>
      </c>
      <c r="J3" s="562" t="s">
        <v>605</v>
      </c>
      <c r="K3" s="562" t="s">
        <v>606</v>
      </c>
      <c r="L3" s="562" t="s">
        <v>607</v>
      </c>
      <c r="M3" s="562" t="s">
        <v>1197</v>
      </c>
      <c r="N3" s="562" t="s">
        <v>537</v>
      </c>
      <c r="O3" s="562" t="s">
        <v>596</v>
      </c>
      <c r="P3" s="562" t="s">
        <v>513</v>
      </c>
      <c r="Q3" s="562" t="s">
        <v>41</v>
      </c>
      <c r="R3" s="562" t="s">
        <v>597</v>
      </c>
      <c r="S3" s="562" t="s">
        <v>608</v>
      </c>
      <c r="T3" s="562" t="s">
        <v>609</v>
      </c>
      <c r="U3" s="562" t="s">
        <v>610</v>
      </c>
      <c r="V3" s="563"/>
    </row>
    <row r="4" spans="1:22" s="106" customFormat="1" ht="11.1" customHeight="1">
      <c r="A4" s="123" t="s">
        <v>481</v>
      </c>
      <c r="B4" s="123">
        <v>1</v>
      </c>
      <c r="C4" s="123">
        <v>2</v>
      </c>
      <c r="D4" s="123">
        <v>3</v>
      </c>
      <c r="E4" s="123">
        <v>4</v>
      </c>
      <c r="F4" s="123">
        <v>5</v>
      </c>
      <c r="G4" s="123">
        <v>6</v>
      </c>
      <c r="H4" s="123">
        <v>7</v>
      </c>
      <c r="I4" s="123">
        <v>8</v>
      </c>
      <c r="J4" s="123">
        <v>9</v>
      </c>
      <c r="K4" s="123">
        <v>10</v>
      </c>
      <c r="L4" s="123">
        <v>11</v>
      </c>
      <c r="M4" s="123">
        <v>12</v>
      </c>
      <c r="N4" s="123">
        <v>13</v>
      </c>
      <c r="O4" s="123">
        <v>14</v>
      </c>
      <c r="P4" s="123">
        <v>15</v>
      </c>
      <c r="Q4" s="123">
        <v>16</v>
      </c>
      <c r="R4" s="123">
        <v>17</v>
      </c>
      <c r="S4" s="123">
        <v>18</v>
      </c>
      <c r="T4" s="123">
        <v>19</v>
      </c>
      <c r="U4" s="123">
        <v>20</v>
      </c>
      <c r="V4" s="124"/>
    </row>
    <row r="5" spans="1:22" s="153" customFormat="1" ht="11.45" customHeight="1">
      <c r="A5" s="810">
        <v>2002</v>
      </c>
      <c r="B5" s="13">
        <v>310.03500000000003</v>
      </c>
      <c r="C5" s="13">
        <v>27.06</v>
      </c>
      <c r="D5" s="13">
        <v>12.68</v>
      </c>
      <c r="E5" s="13">
        <v>23.734200000000001</v>
      </c>
      <c r="F5" s="13">
        <v>24.9983</v>
      </c>
      <c r="G5" s="13">
        <v>46.260800000000003</v>
      </c>
      <c r="H5" s="13">
        <v>133.06700000000001</v>
      </c>
      <c r="I5" s="13">
        <v>94.361699999999999</v>
      </c>
      <c r="J5" s="13">
        <v>191.827</v>
      </c>
      <c r="K5" s="13">
        <v>222.398</v>
      </c>
      <c r="L5" s="13">
        <v>152.78299999999999</v>
      </c>
      <c r="M5" s="13">
        <v>132.167</v>
      </c>
      <c r="N5" s="13">
        <v>121.22</v>
      </c>
      <c r="O5" s="13">
        <v>356.745</v>
      </c>
      <c r="P5" s="13">
        <v>359.661</v>
      </c>
      <c r="Q5" s="13">
        <v>183.917</v>
      </c>
      <c r="R5" s="13">
        <v>409.84199999999998</v>
      </c>
      <c r="S5" s="13">
        <v>24.978300000000001</v>
      </c>
      <c r="T5" s="13">
        <v>6.2366700000000002</v>
      </c>
      <c r="U5" s="13">
        <v>20.940799999999999</v>
      </c>
      <c r="V5" s="436"/>
    </row>
    <row r="6" spans="1:22" ht="11.45" customHeight="1">
      <c r="A6" s="271">
        <v>2003</v>
      </c>
      <c r="B6" s="279">
        <v>363.50900000000001</v>
      </c>
      <c r="C6" s="279">
        <v>27.9542</v>
      </c>
      <c r="D6" s="279">
        <v>13.82</v>
      </c>
      <c r="E6" s="279">
        <v>26.7333</v>
      </c>
      <c r="F6" s="279">
        <v>28.852499999999999</v>
      </c>
      <c r="G6" s="279">
        <v>63.4437</v>
      </c>
      <c r="H6" s="279">
        <v>149.333</v>
      </c>
      <c r="I6" s="279">
        <v>138.89599999999999</v>
      </c>
      <c r="J6" s="279">
        <v>199.46100000000001</v>
      </c>
      <c r="K6" s="279">
        <v>248.75399999999999</v>
      </c>
      <c r="L6" s="279">
        <v>165.548</v>
      </c>
      <c r="M6" s="279">
        <v>131.571</v>
      </c>
      <c r="N6" s="279">
        <v>152.44999999999999</v>
      </c>
      <c r="O6" s="279">
        <v>410.37299999999999</v>
      </c>
      <c r="P6" s="279">
        <v>425.53800000000001</v>
      </c>
      <c r="Q6" s="279">
        <v>214.65600000000001</v>
      </c>
      <c r="R6" s="279">
        <v>500.28300000000002</v>
      </c>
      <c r="S6" s="279">
        <v>27.1768</v>
      </c>
      <c r="T6" s="279">
        <v>6.9257099999999996</v>
      </c>
      <c r="U6" s="279">
        <v>21.4998</v>
      </c>
      <c r="V6" s="83"/>
    </row>
    <row r="7" spans="1:22" s="153" customFormat="1" ht="11.45" customHeight="1">
      <c r="A7" s="810">
        <v>2004</v>
      </c>
      <c r="B7" s="13">
        <v>409.21199999999999</v>
      </c>
      <c r="C7" s="13">
        <v>56.729900000000001</v>
      </c>
      <c r="D7" s="13">
        <v>16.39</v>
      </c>
      <c r="E7" s="13">
        <v>33.455800000000004</v>
      </c>
      <c r="F7" s="13">
        <v>38.297499999999999</v>
      </c>
      <c r="G7" s="13">
        <v>62.006</v>
      </c>
      <c r="H7" s="13">
        <v>186.31200000000001</v>
      </c>
      <c r="I7" s="13">
        <v>175.292</v>
      </c>
      <c r="J7" s="13">
        <v>245.78299999999999</v>
      </c>
      <c r="K7" s="13">
        <v>269.95499999999998</v>
      </c>
      <c r="L7" s="13">
        <v>167.05</v>
      </c>
      <c r="M7" s="13">
        <v>133.45599999999999</v>
      </c>
      <c r="N7" s="13">
        <v>139.5</v>
      </c>
      <c r="O7" s="13">
        <v>434.72300000000001</v>
      </c>
      <c r="P7" s="13">
        <v>448.73899999999998</v>
      </c>
      <c r="Q7" s="13">
        <v>257.20499999999998</v>
      </c>
      <c r="R7" s="13">
        <v>590.452</v>
      </c>
      <c r="S7" s="13">
        <v>30.459700000000002</v>
      </c>
      <c r="T7" s="13">
        <v>7.5450999999999997</v>
      </c>
      <c r="U7" s="13">
        <v>20.571100000000001</v>
      </c>
      <c r="V7" s="436"/>
    </row>
    <row r="8" spans="1:22" ht="11.45" customHeight="1">
      <c r="A8" s="271">
        <v>2005</v>
      </c>
      <c r="B8" s="279">
        <v>444.84300000000002</v>
      </c>
      <c r="C8" s="279">
        <v>51.022399999999998</v>
      </c>
      <c r="D8" s="279">
        <v>28.11</v>
      </c>
      <c r="E8" s="279">
        <v>49.201700000000002</v>
      </c>
      <c r="F8" s="279">
        <v>54.434199999999997</v>
      </c>
      <c r="G8" s="279">
        <v>55.168300000000002</v>
      </c>
      <c r="H8" s="279">
        <v>201.47900000000001</v>
      </c>
      <c r="I8" s="279">
        <v>219.01900000000001</v>
      </c>
      <c r="J8" s="279">
        <v>287.81099999999998</v>
      </c>
      <c r="K8" s="279">
        <v>308.45100000000002</v>
      </c>
      <c r="L8" s="279">
        <v>163.43100000000001</v>
      </c>
      <c r="M8" s="279">
        <v>129.886</v>
      </c>
      <c r="N8" s="279">
        <v>121.4</v>
      </c>
      <c r="O8" s="279">
        <v>367.68700000000001</v>
      </c>
      <c r="P8" s="279">
        <v>390.75200000000001</v>
      </c>
      <c r="Q8" s="279">
        <v>205.762</v>
      </c>
      <c r="R8" s="279">
        <v>495.74700000000001</v>
      </c>
      <c r="S8" s="279">
        <v>30.2624</v>
      </c>
      <c r="T8" s="279">
        <v>10.0702</v>
      </c>
      <c r="U8" s="279">
        <v>21.0684</v>
      </c>
      <c r="V8" s="83"/>
    </row>
    <row r="9" spans="1:22" s="153" customFormat="1" ht="11.45" customHeight="1">
      <c r="A9" s="810">
        <v>2006</v>
      </c>
      <c r="B9" s="13">
        <v>604.33600000000001</v>
      </c>
      <c r="C9" s="13">
        <v>52.595999999999997</v>
      </c>
      <c r="D9" s="13">
        <v>33.450000000000003</v>
      </c>
      <c r="E9" s="13">
        <v>61.431699999999999</v>
      </c>
      <c r="F9" s="13">
        <v>65.39</v>
      </c>
      <c r="G9" s="13">
        <v>58.052500000000002</v>
      </c>
      <c r="H9" s="13">
        <v>201.63300000000001</v>
      </c>
      <c r="I9" s="13">
        <v>222.95400000000001</v>
      </c>
      <c r="J9" s="13">
        <v>303.51499999999999</v>
      </c>
      <c r="K9" s="13">
        <v>345.83100000000002</v>
      </c>
      <c r="L9" s="13">
        <v>169.399</v>
      </c>
      <c r="M9" s="13">
        <v>168.566</v>
      </c>
      <c r="N9" s="13">
        <v>153.30000000000001</v>
      </c>
      <c r="O9" s="13">
        <v>416.81400000000002</v>
      </c>
      <c r="P9" s="13">
        <v>425.46100000000001</v>
      </c>
      <c r="Q9" s="13">
        <v>193.97499999999999</v>
      </c>
      <c r="R9" s="13">
        <v>551.49599999999998</v>
      </c>
      <c r="S9" s="13">
        <v>30.639700000000001</v>
      </c>
      <c r="T9" s="13">
        <v>14.788500000000001</v>
      </c>
      <c r="U9" s="13">
        <v>22.119499999999999</v>
      </c>
      <c r="V9" s="436"/>
    </row>
    <row r="10" spans="1:22" ht="11.45" customHeight="1">
      <c r="A10" s="271">
        <v>2007</v>
      </c>
      <c r="B10" s="279">
        <v>696.72</v>
      </c>
      <c r="C10" s="279">
        <v>70.428299999999993</v>
      </c>
      <c r="D10" s="279">
        <v>36.630000000000003</v>
      </c>
      <c r="E10" s="279">
        <v>68.368300000000005</v>
      </c>
      <c r="F10" s="279">
        <v>72.712500000000006</v>
      </c>
      <c r="G10" s="279">
        <v>63.283700000000003</v>
      </c>
      <c r="H10" s="279">
        <v>339.05399999999997</v>
      </c>
      <c r="I10" s="279">
        <v>309.39999999999998</v>
      </c>
      <c r="J10" s="279">
        <v>332.39299999999997</v>
      </c>
      <c r="K10" s="279">
        <v>375.70800000000003</v>
      </c>
      <c r="L10" s="279">
        <v>243.411</v>
      </c>
      <c r="M10" s="279">
        <v>226.88499999999999</v>
      </c>
      <c r="N10" s="279">
        <v>209.6</v>
      </c>
      <c r="O10" s="279">
        <v>719.12199999999996</v>
      </c>
      <c r="P10" s="279">
        <v>694.65099999999995</v>
      </c>
      <c r="Q10" s="279">
        <v>263.673</v>
      </c>
      <c r="R10" s="279">
        <v>799.74199999999996</v>
      </c>
      <c r="S10" s="279">
        <v>33.284399999999998</v>
      </c>
      <c r="T10" s="279">
        <v>9.9566400000000002</v>
      </c>
      <c r="U10" s="279">
        <v>20.763200000000001</v>
      </c>
      <c r="V10" s="83"/>
    </row>
    <row r="11" spans="1:22" s="153" customFormat="1" ht="11.45" customHeight="1">
      <c r="A11" s="810">
        <v>2008</v>
      </c>
      <c r="B11" s="13">
        <v>871.70699999999999</v>
      </c>
      <c r="C11" s="13">
        <v>136.18299999999999</v>
      </c>
      <c r="D11" s="13">
        <v>61.565199999999997</v>
      </c>
      <c r="E11" s="13">
        <v>93.776700000000005</v>
      </c>
      <c r="F11" s="13">
        <v>97.66</v>
      </c>
      <c r="G11" s="13">
        <v>71.399900000000002</v>
      </c>
      <c r="H11" s="13">
        <v>879.38099999999997</v>
      </c>
      <c r="I11" s="13">
        <v>492.72500000000002</v>
      </c>
      <c r="J11" s="13">
        <v>700.2</v>
      </c>
      <c r="K11" s="13">
        <v>597.11800000000005</v>
      </c>
      <c r="L11" s="13">
        <v>383.31099999999998</v>
      </c>
      <c r="M11" s="13">
        <v>286.952</v>
      </c>
      <c r="N11" s="13">
        <v>289.39999999999998</v>
      </c>
      <c r="O11" s="13">
        <v>862.91800000000001</v>
      </c>
      <c r="P11" s="13">
        <v>924.9</v>
      </c>
      <c r="Q11" s="13">
        <v>367.93799999999999</v>
      </c>
      <c r="R11" s="13">
        <v>1133.79</v>
      </c>
      <c r="S11" s="13">
        <v>30.816099999999999</v>
      </c>
      <c r="T11" s="13">
        <v>12.452199999999999</v>
      </c>
      <c r="U11" s="13">
        <v>21.323399999999999</v>
      </c>
      <c r="V11" s="436"/>
    </row>
    <row r="12" spans="1:22" s="16" customFormat="1" ht="11.45" customHeight="1">
      <c r="A12" s="808">
        <v>2009</v>
      </c>
      <c r="B12" s="278">
        <v>972.96600000000001</v>
      </c>
      <c r="C12" s="278">
        <v>76.975899999999996</v>
      </c>
      <c r="D12" s="278">
        <v>79.993899999999996</v>
      </c>
      <c r="E12" s="278">
        <v>61.754899999999999</v>
      </c>
      <c r="F12" s="278">
        <v>61.860599999999998</v>
      </c>
      <c r="G12" s="278">
        <v>62.752000000000002</v>
      </c>
      <c r="H12" s="278">
        <v>257.41699999999997</v>
      </c>
      <c r="I12" s="278">
        <v>249.57400000000001</v>
      </c>
      <c r="J12" s="278">
        <v>589.37599999999998</v>
      </c>
      <c r="K12" s="278">
        <v>582.69000000000005</v>
      </c>
      <c r="L12" s="278">
        <v>246.96899999999999</v>
      </c>
      <c r="M12" s="278">
        <v>190.11199999999999</v>
      </c>
      <c r="N12" s="278">
        <v>200.2</v>
      </c>
      <c r="O12" s="278">
        <v>644.06799999999998</v>
      </c>
      <c r="P12" s="278">
        <v>634.09199999999998</v>
      </c>
      <c r="Q12" s="278">
        <v>359.27</v>
      </c>
      <c r="R12" s="278">
        <v>787.02</v>
      </c>
      <c r="S12" s="278">
        <v>26.014600000000002</v>
      </c>
      <c r="T12" s="278">
        <v>18.150400000000001</v>
      </c>
      <c r="U12" s="278">
        <v>24.335699999999999</v>
      </c>
      <c r="V12" s="203"/>
    </row>
    <row r="13" spans="1:22" s="153" customFormat="1" ht="11.45" customHeight="1">
      <c r="A13" s="810">
        <v>2010</v>
      </c>
      <c r="B13" s="26">
        <v>1224.6600000000001</v>
      </c>
      <c r="C13" s="26">
        <v>106.035</v>
      </c>
      <c r="D13" s="26">
        <v>146.72</v>
      </c>
      <c r="E13" s="26">
        <v>78.057900000000004</v>
      </c>
      <c r="F13" s="26">
        <v>79.631500000000003</v>
      </c>
      <c r="G13" s="26">
        <v>103.545</v>
      </c>
      <c r="H13" s="26">
        <v>381.89</v>
      </c>
      <c r="I13" s="26">
        <v>288.59199999999998</v>
      </c>
      <c r="J13" s="26">
        <v>520.55600000000004</v>
      </c>
      <c r="K13" s="26">
        <v>593.779</v>
      </c>
      <c r="L13" s="26">
        <v>241.82900000000001</v>
      </c>
      <c r="M13" s="26">
        <v>194.5</v>
      </c>
      <c r="N13" s="26">
        <v>233.5</v>
      </c>
      <c r="O13" s="26">
        <v>859.94200000000001</v>
      </c>
      <c r="P13" s="26">
        <v>819.53099999999995</v>
      </c>
      <c r="Q13" s="26">
        <v>331.31700000000001</v>
      </c>
      <c r="R13" s="26">
        <v>924.82799999999997</v>
      </c>
      <c r="S13" s="26">
        <v>25.712800000000001</v>
      </c>
      <c r="T13" s="26">
        <v>20.890899999999998</v>
      </c>
      <c r="U13" s="26">
        <v>31.051200000000001</v>
      </c>
      <c r="V13" s="224"/>
    </row>
    <row r="14" spans="1:22" s="153" customFormat="1" ht="11.45" customHeight="1">
      <c r="A14" s="271">
        <v>2011</v>
      </c>
      <c r="B14" s="261">
        <v>1569.21</v>
      </c>
      <c r="C14" s="261">
        <v>130.12299999999999</v>
      </c>
      <c r="D14" s="261">
        <v>167.79</v>
      </c>
      <c r="E14" s="261">
        <v>106.027</v>
      </c>
      <c r="F14" s="261">
        <v>110.952</v>
      </c>
      <c r="G14" s="261">
        <v>154.608</v>
      </c>
      <c r="H14" s="261">
        <v>538.26</v>
      </c>
      <c r="I14" s="261">
        <v>420.96</v>
      </c>
      <c r="J14" s="261">
        <v>551.71100000000001</v>
      </c>
      <c r="K14" s="261">
        <v>593.49199999999996</v>
      </c>
      <c r="L14" s="261">
        <v>317.43599999999998</v>
      </c>
      <c r="M14" s="261">
        <v>279.98899999999998</v>
      </c>
      <c r="N14" s="261">
        <v>304.8</v>
      </c>
      <c r="O14" s="261">
        <v>1076.5</v>
      </c>
      <c r="P14" s="261">
        <v>1068.3699999999999</v>
      </c>
      <c r="Q14" s="261">
        <v>378.86099999999999</v>
      </c>
      <c r="R14" s="261">
        <v>1215.82</v>
      </c>
      <c r="S14" s="261">
        <v>26.665199999999999</v>
      </c>
      <c r="T14" s="261">
        <v>26.235600000000002</v>
      </c>
      <c r="U14" s="261">
        <v>37.572499999999998</v>
      </c>
      <c r="V14" s="224"/>
    </row>
    <row r="15" spans="1:22" s="153" customFormat="1" ht="11.45" customHeight="1">
      <c r="A15" s="810">
        <v>2012</v>
      </c>
      <c r="B15" s="26">
        <v>1669.52</v>
      </c>
      <c r="C15" s="26">
        <v>103.247</v>
      </c>
      <c r="D15" s="26">
        <v>128.52600000000001</v>
      </c>
      <c r="E15" s="26">
        <v>108.919</v>
      </c>
      <c r="F15" s="26">
        <v>111.96</v>
      </c>
      <c r="G15" s="26">
        <v>89.241</v>
      </c>
      <c r="H15" s="26">
        <v>462</v>
      </c>
      <c r="I15" s="26">
        <v>405.40199999999999</v>
      </c>
      <c r="J15" s="26">
        <v>580.23599999999999</v>
      </c>
      <c r="K15" s="26">
        <v>683.029</v>
      </c>
      <c r="L15" s="26">
        <v>287.19799999999998</v>
      </c>
      <c r="M15" s="26">
        <v>276.12200000000001</v>
      </c>
      <c r="N15" s="26">
        <v>248.5</v>
      </c>
      <c r="O15" s="26">
        <v>939.83399999999995</v>
      </c>
      <c r="P15" s="26">
        <v>960.327</v>
      </c>
      <c r="Q15" s="26">
        <v>473.28399999999999</v>
      </c>
      <c r="R15" s="26">
        <v>1151.75</v>
      </c>
      <c r="S15" s="26">
        <v>26.360900000000001</v>
      </c>
      <c r="T15" s="26">
        <v>21.374500000000001</v>
      </c>
      <c r="U15" s="26">
        <v>28.895399999999999</v>
      </c>
      <c r="V15" s="224"/>
    </row>
    <row r="16" spans="1:22" s="152" customFormat="1" ht="11.45" customHeight="1">
      <c r="A16" s="271">
        <v>2013</v>
      </c>
      <c r="B16" s="261">
        <v>1411.46</v>
      </c>
      <c r="C16" s="261">
        <v>90.6023</v>
      </c>
      <c r="D16" s="261">
        <v>135.36099999999999</v>
      </c>
      <c r="E16" s="261">
        <v>105.43</v>
      </c>
      <c r="F16" s="261">
        <v>108.84399999999999</v>
      </c>
      <c r="G16" s="261">
        <v>90.400599999999997</v>
      </c>
      <c r="H16" s="261">
        <v>382.06299999999999</v>
      </c>
      <c r="I16" s="261">
        <v>340.12299999999999</v>
      </c>
      <c r="J16" s="261">
        <v>518.81200000000001</v>
      </c>
      <c r="K16" s="261">
        <v>658.726</v>
      </c>
      <c r="L16" s="261">
        <v>326.16699999999997</v>
      </c>
      <c r="M16" s="261">
        <v>265.75099999999998</v>
      </c>
      <c r="N16" s="261">
        <v>314</v>
      </c>
      <c r="O16" s="261">
        <v>764.197</v>
      </c>
      <c r="P16" s="261">
        <v>743.37900000000002</v>
      </c>
      <c r="Q16" s="261">
        <v>477.29899999999998</v>
      </c>
      <c r="R16" s="261">
        <v>1011.11</v>
      </c>
      <c r="S16" s="261">
        <v>26.011800000000001</v>
      </c>
      <c r="T16" s="261">
        <v>17.708500000000001</v>
      </c>
      <c r="U16" s="261">
        <v>21.214500000000001</v>
      </c>
      <c r="V16" s="224"/>
    </row>
    <row r="17" spans="1:24" s="178" customFormat="1" ht="11.45" customHeight="1">
      <c r="A17" s="811">
        <v>2014</v>
      </c>
      <c r="B17" s="140">
        <v>1265.58</v>
      </c>
      <c r="C17" s="140">
        <v>75.139300000000006</v>
      </c>
      <c r="D17" s="140">
        <v>96.841499999999996</v>
      </c>
      <c r="E17" s="140">
        <v>96.664100000000005</v>
      </c>
      <c r="F17" s="140">
        <v>98.943299999999994</v>
      </c>
      <c r="G17" s="140">
        <v>83.096699999999998</v>
      </c>
      <c r="H17" s="140">
        <v>388.34399999999999</v>
      </c>
      <c r="I17" s="140">
        <v>316.20999999999998</v>
      </c>
      <c r="J17" s="140" t="s">
        <v>292</v>
      </c>
      <c r="K17" s="140">
        <v>490.76400000000001</v>
      </c>
      <c r="L17" s="140">
        <v>291.87299999999999</v>
      </c>
      <c r="M17" s="140">
        <v>242.49600000000001</v>
      </c>
      <c r="N17" s="140">
        <v>324.02499999999998</v>
      </c>
      <c r="O17" s="140">
        <v>739.40800000000002</v>
      </c>
      <c r="P17" s="140">
        <v>743.99199999999996</v>
      </c>
      <c r="Q17" s="140">
        <v>466.96600000000001</v>
      </c>
      <c r="R17" s="140">
        <v>812.71</v>
      </c>
      <c r="S17" s="140">
        <v>27.394400000000001</v>
      </c>
      <c r="T17" s="140">
        <v>17.1264</v>
      </c>
      <c r="U17" s="140">
        <v>24.865400000000001</v>
      </c>
      <c r="V17" s="478"/>
    </row>
    <row r="18" spans="1:24" s="152" customFormat="1" ht="11.45" customHeight="1">
      <c r="A18" s="715">
        <v>2015</v>
      </c>
      <c r="B18" s="264">
        <f>AVERAGE(B19:B30)</f>
        <v>1160.6633333333334</v>
      </c>
      <c r="C18" s="264">
        <f t="shared" ref="C18:U18" si="0">AVERAGE(C19:C30)</f>
        <v>61.618599999999994</v>
      </c>
      <c r="D18" s="264">
        <f t="shared" si="0"/>
        <v>55.209266666666657</v>
      </c>
      <c r="E18" s="264">
        <f t="shared" si="0"/>
        <v>51.232049999999994</v>
      </c>
      <c r="F18" s="264">
        <f t="shared" si="0"/>
        <v>52.399408333333348</v>
      </c>
      <c r="G18" s="264">
        <f t="shared" si="0"/>
        <v>70.417191666666668</v>
      </c>
      <c r="H18" s="264">
        <f t="shared" si="0"/>
        <v>385</v>
      </c>
      <c r="I18" s="264">
        <f t="shared" si="0"/>
        <v>272.91941666666668</v>
      </c>
      <c r="J18" s="264" t="s">
        <v>292</v>
      </c>
      <c r="K18" s="264">
        <f t="shared" si="0"/>
        <v>469.92883333333333</v>
      </c>
      <c r="L18" s="264" t="s">
        <v>292</v>
      </c>
      <c r="M18" s="264">
        <f t="shared" si="0"/>
        <v>185.60733333333334</v>
      </c>
      <c r="N18" s="264">
        <f t="shared" si="0"/>
        <v>236.21666666666667</v>
      </c>
      <c r="O18" s="264">
        <f t="shared" si="0"/>
        <v>565.09</v>
      </c>
      <c r="P18" s="264">
        <f>AVERAGE(P19:P27)</f>
        <v>593.50144444444459</v>
      </c>
      <c r="Q18" s="264">
        <f t="shared" si="0"/>
        <v>352.72174999999993</v>
      </c>
      <c r="R18" s="264">
        <f t="shared" si="0"/>
        <v>672.16466666666656</v>
      </c>
      <c r="S18" s="264">
        <f t="shared" si="0"/>
        <v>25.423941666666668</v>
      </c>
      <c r="T18" s="264">
        <f t="shared" si="0"/>
        <v>13.238658333333335</v>
      </c>
      <c r="U18" s="264">
        <f t="shared" si="0"/>
        <v>24.850825</v>
      </c>
      <c r="V18" s="224"/>
    </row>
    <row r="19" spans="1:24" s="152" customFormat="1" ht="11.45" customHeight="1">
      <c r="A19" s="807" t="s">
        <v>563</v>
      </c>
      <c r="B19" s="231">
        <v>1250.75</v>
      </c>
      <c r="C19" s="231">
        <v>66.535700000000006</v>
      </c>
      <c r="D19" s="231">
        <v>67.386399999999995</v>
      </c>
      <c r="E19" s="231">
        <v>46.335000000000001</v>
      </c>
      <c r="F19" s="231">
        <v>48.416800000000002</v>
      </c>
      <c r="G19" s="231">
        <v>67.349999999999994</v>
      </c>
      <c r="H19" s="231">
        <v>400</v>
      </c>
      <c r="I19" s="231">
        <v>319.2</v>
      </c>
      <c r="J19" s="231" t="s">
        <v>292</v>
      </c>
      <c r="K19" s="231">
        <v>546.59199999999998</v>
      </c>
      <c r="L19" s="231" t="s">
        <v>292</v>
      </c>
      <c r="M19" s="231">
        <v>210.608</v>
      </c>
      <c r="N19" s="231">
        <v>261.8</v>
      </c>
      <c r="O19" s="231">
        <v>641.59699999999998</v>
      </c>
      <c r="P19" s="231">
        <v>617.11199999999997</v>
      </c>
      <c r="Q19" s="231">
        <v>379.041</v>
      </c>
      <c r="R19" s="231">
        <v>707.88099999999997</v>
      </c>
      <c r="S19" s="231">
        <v>25.170200000000001</v>
      </c>
      <c r="T19" s="231">
        <v>15.0625</v>
      </c>
      <c r="U19" s="231">
        <v>25.24</v>
      </c>
      <c r="V19" s="224"/>
      <c r="X19" s="224"/>
    </row>
    <row r="20" spans="1:24" s="152" customFormat="1" ht="11.45" customHeight="1">
      <c r="A20" s="808" t="s">
        <v>564</v>
      </c>
      <c r="B20" s="256">
        <v>1227.08</v>
      </c>
      <c r="C20" s="256">
        <v>65.785700000000006</v>
      </c>
      <c r="D20" s="256">
        <v>62.69</v>
      </c>
      <c r="E20" s="256">
        <v>56.15</v>
      </c>
      <c r="F20" s="256">
        <v>57.930500000000002</v>
      </c>
      <c r="G20" s="256">
        <v>69.842500000000001</v>
      </c>
      <c r="H20" s="256">
        <v>400</v>
      </c>
      <c r="I20" s="256">
        <v>297</v>
      </c>
      <c r="J20" s="256" t="s">
        <v>292</v>
      </c>
      <c r="K20" s="256">
        <v>501.76499999999999</v>
      </c>
      <c r="L20" s="256" t="s">
        <v>292</v>
      </c>
      <c r="M20" s="256">
        <v>201.714</v>
      </c>
      <c r="N20" s="256">
        <v>253</v>
      </c>
      <c r="O20" s="256">
        <v>634.37800000000004</v>
      </c>
      <c r="P20" s="256">
        <v>628.54300000000001</v>
      </c>
      <c r="Q20" s="256">
        <v>374.25200000000001</v>
      </c>
      <c r="R20" s="256">
        <v>697.93600000000004</v>
      </c>
      <c r="S20" s="256">
        <v>25.485399999999998</v>
      </c>
      <c r="T20" s="256">
        <v>14.5121</v>
      </c>
      <c r="U20" s="256">
        <v>24.62</v>
      </c>
      <c r="V20" s="224"/>
      <c r="X20" s="224"/>
    </row>
    <row r="21" spans="1:24" s="152" customFormat="1" ht="11.45" customHeight="1">
      <c r="A21" s="807" t="s">
        <v>556</v>
      </c>
      <c r="B21" s="231">
        <v>1178.6300000000001</v>
      </c>
      <c r="C21" s="231">
        <v>64.408900000000003</v>
      </c>
      <c r="D21" s="231">
        <v>56.940899999999999</v>
      </c>
      <c r="E21" s="231">
        <v>54.909100000000002</v>
      </c>
      <c r="F21" s="231">
        <v>55.791400000000003</v>
      </c>
      <c r="G21" s="231">
        <v>69.3523</v>
      </c>
      <c r="H21" s="231">
        <v>400</v>
      </c>
      <c r="I21" s="231">
        <v>271</v>
      </c>
      <c r="J21" s="231" t="s">
        <v>292</v>
      </c>
      <c r="K21" s="231">
        <v>503.84899999999999</v>
      </c>
      <c r="L21" s="231" t="s">
        <v>292</v>
      </c>
      <c r="M21" s="231">
        <v>202.679</v>
      </c>
      <c r="N21" s="231">
        <v>250.4</v>
      </c>
      <c r="O21" s="231">
        <v>607.65499999999997</v>
      </c>
      <c r="P21" s="231">
        <v>615.98599999999999</v>
      </c>
      <c r="Q21" s="231">
        <v>364.86</v>
      </c>
      <c r="R21" s="231">
        <v>683.43200000000002</v>
      </c>
      <c r="S21" s="231">
        <v>24.9069</v>
      </c>
      <c r="T21" s="231">
        <v>12.8409</v>
      </c>
      <c r="U21" s="231">
        <v>24.4</v>
      </c>
      <c r="V21" s="224"/>
      <c r="X21" s="224"/>
    </row>
    <row r="22" spans="1:24" s="152" customFormat="1" ht="11.45" customHeight="1">
      <c r="A22" s="808" t="s">
        <v>565</v>
      </c>
      <c r="B22" s="256">
        <v>1198.93</v>
      </c>
      <c r="C22" s="256">
        <v>61.943899999999999</v>
      </c>
      <c r="D22" s="256">
        <v>51.15</v>
      </c>
      <c r="E22" s="256">
        <v>58.665500000000002</v>
      </c>
      <c r="F22" s="256">
        <v>59.389499999999998</v>
      </c>
      <c r="G22" s="256">
        <v>71.702500000000001</v>
      </c>
      <c r="H22" s="256">
        <v>380</v>
      </c>
      <c r="I22" s="256">
        <v>259</v>
      </c>
      <c r="J22" s="256" t="s">
        <v>292</v>
      </c>
      <c r="K22" s="256">
        <v>504.22399999999999</v>
      </c>
      <c r="L22" s="256" t="s">
        <v>292</v>
      </c>
      <c r="M22" s="256">
        <v>195.89599999999999</v>
      </c>
      <c r="N22" s="256">
        <v>234.3</v>
      </c>
      <c r="O22" s="256">
        <v>591.78800000000001</v>
      </c>
      <c r="P22" s="256">
        <v>604.04200000000003</v>
      </c>
      <c r="Q22" s="256">
        <v>349.71100000000001</v>
      </c>
      <c r="R22" s="256">
        <v>691.673</v>
      </c>
      <c r="S22" s="256">
        <v>24.853300000000001</v>
      </c>
      <c r="T22" s="256">
        <v>12.911</v>
      </c>
      <c r="U22" s="256">
        <v>24.39</v>
      </c>
      <c r="V22" s="224"/>
      <c r="X22" s="224"/>
    </row>
    <row r="23" spans="1:24" s="152" customFormat="1" ht="11.45" customHeight="1">
      <c r="A23" s="807" t="s">
        <v>566</v>
      </c>
      <c r="B23" s="231">
        <v>1198.6300000000001</v>
      </c>
      <c r="C23" s="231">
        <v>64.711500000000001</v>
      </c>
      <c r="D23" s="231">
        <v>60.2333</v>
      </c>
      <c r="E23" s="231">
        <v>63.674799999999998</v>
      </c>
      <c r="F23" s="231">
        <v>64.561400000000006</v>
      </c>
      <c r="G23" s="231">
        <v>72.863200000000006</v>
      </c>
      <c r="H23" s="231">
        <v>380</v>
      </c>
      <c r="I23" s="231">
        <v>280</v>
      </c>
      <c r="J23" s="231" t="s">
        <v>292</v>
      </c>
      <c r="K23" s="231">
        <v>444.74299999999999</v>
      </c>
      <c r="L23" s="231" t="s">
        <v>292</v>
      </c>
      <c r="M23" s="231">
        <v>193.15199999999999</v>
      </c>
      <c r="N23" s="231">
        <v>234.5</v>
      </c>
      <c r="O23" s="231">
        <v>601.39700000000005</v>
      </c>
      <c r="P23" s="231">
        <v>595.471</v>
      </c>
      <c r="Q23" s="231">
        <v>340.471</v>
      </c>
      <c r="R23" s="231">
        <v>716.49</v>
      </c>
      <c r="S23" s="231">
        <v>25.732500000000002</v>
      </c>
      <c r="T23" s="231">
        <v>12.7035</v>
      </c>
      <c r="U23" s="231">
        <v>24.72</v>
      </c>
      <c r="V23" s="224"/>
      <c r="X23" s="224"/>
    </row>
    <row r="24" spans="1:24" s="152" customFormat="1" ht="11.45" customHeight="1">
      <c r="A24" s="808" t="s">
        <v>557</v>
      </c>
      <c r="B24" s="256">
        <v>1181.5</v>
      </c>
      <c r="C24" s="256">
        <v>63.043799999999997</v>
      </c>
      <c r="D24" s="256">
        <v>62.2864</v>
      </c>
      <c r="E24" s="256">
        <v>61.758600000000001</v>
      </c>
      <c r="F24" s="256">
        <v>62.3459</v>
      </c>
      <c r="G24" s="256">
        <v>72.3523</v>
      </c>
      <c r="H24" s="256">
        <v>380</v>
      </c>
      <c r="I24" s="256">
        <v>292</v>
      </c>
      <c r="J24" s="256" t="s">
        <v>292</v>
      </c>
      <c r="K24" s="256">
        <v>466.17599999999999</v>
      </c>
      <c r="L24" s="256" t="s">
        <v>292</v>
      </c>
      <c r="M24" s="256">
        <v>199.82300000000001</v>
      </c>
      <c r="N24" s="256">
        <v>233.4</v>
      </c>
      <c r="O24" s="256">
        <v>606.404</v>
      </c>
      <c r="P24" s="256">
        <v>593.16099999999994</v>
      </c>
      <c r="Q24" s="256">
        <v>353.90199999999999</v>
      </c>
      <c r="R24" s="256">
        <v>738.03700000000003</v>
      </c>
      <c r="S24" s="256">
        <v>25.865200000000002</v>
      </c>
      <c r="T24" s="256">
        <v>12.1136</v>
      </c>
      <c r="U24" s="256">
        <v>24.76</v>
      </c>
      <c r="V24" s="224"/>
      <c r="X24" s="224"/>
    </row>
    <row r="25" spans="1:24" s="152" customFormat="1" ht="11.45" customHeight="1">
      <c r="A25" s="807" t="s">
        <v>559</v>
      </c>
      <c r="B25" s="231">
        <v>1128.31</v>
      </c>
      <c r="C25" s="231">
        <v>63.353999999999999</v>
      </c>
      <c r="D25" s="231">
        <v>51.504300000000001</v>
      </c>
      <c r="E25" s="231">
        <v>56.266100000000002</v>
      </c>
      <c r="F25" s="231">
        <v>55.865699999999997</v>
      </c>
      <c r="G25" s="231">
        <v>72.347800000000007</v>
      </c>
      <c r="H25" s="231">
        <v>380</v>
      </c>
      <c r="I25" s="231">
        <v>273</v>
      </c>
      <c r="J25" s="231" t="s">
        <v>292</v>
      </c>
      <c r="K25" s="231">
        <v>460.57799999999997</v>
      </c>
      <c r="L25" s="231" t="s">
        <v>292</v>
      </c>
      <c r="M25" s="231">
        <v>199.197</v>
      </c>
      <c r="N25" s="231">
        <v>225.6</v>
      </c>
      <c r="O25" s="231">
        <v>575.68200000000002</v>
      </c>
      <c r="P25" s="231">
        <v>587.58799999999997</v>
      </c>
      <c r="Q25" s="231">
        <v>394.642</v>
      </c>
      <c r="R25" s="231">
        <v>695.78800000000001</v>
      </c>
      <c r="S25" s="231">
        <v>25.8688</v>
      </c>
      <c r="T25" s="231">
        <v>11.8786</v>
      </c>
      <c r="U25" s="231">
        <v>24.67</v>
      </c>
      <c r="V25" s="224"/>
      <c r="X25" s="224"/>
    </row>
    <row r="26" spans="1:24" s="152" customFormat="1" ht="11.45" customHeight="1">
      <c r="A26" s="808" t="s">
        <v>560</v>
      </c>
      <c r="B26" s="256">
        <v>1117.93</v>
      </c>
      <c r="C26" s="256">
        <v>62.7562</v>
      </c>
      <c r="D26" s="256">
        <v>55.381</v>
      </c>
      <c r="E26" s="256">
        <v>47.3033</v>
      </c>
      <c r="F26" s="256">
        <v>46.994300000000003</v>
      </c>
      <c r="G26" s="256">
        <v>71.822500000000005</v>
      </c>
      <c r="H26" s="256">
        <v>380</v>
      </c>
      <c r="I26" s="256">
        <v>273</v>
      </c>
      <c r="J26" s="256" t="s">
        <v>292</v>
      </c>
      <c r="K26" s="256">
        <v>451.36</v>
      </c>
      <c r="L26" s="256" t="s">
        <v>292</v>
      </c>
      <c r="M26" s="256">
        <v>173.46899999999999</v>
      </c>
      <c r="N26" s="256">
        <v>230.2</v>
      </c>
      <c r="O26" s="256">
        <v>484.678</v>
      </c>
      <c r="P26" s="256">
        <v>538.529</v>
      </c>
      <c r="Q26" s="256">
        <v>370.40800000000002</v>
      </c>
      <c r="R26" s="256">
        <v>628.74699999999996</v>
      </c>
      <c r="S26" s="256">
        <v>25.947700000000001</v>
      </c>
      <c r="T26" s="256">
        <v>10.674799999999999</v>
      </c>
      <c r="U26" s="256">
        <v>24.5</v>
      </c>
      <c r="V26" s="224"/>
      <c r="X26" s="224"/>
    </row>
    <row r="27" spans="1:24" s="152" customFormat="1" ht="11.45" customHeight="1">
      <c r="A27" s="807" t="s">
        <v>554</v>
      </c>
      <c r="B27" s="231">
        <v>1124.77</v>
      </c>
      <c r="C27" s="231">
        <v>58.655799999999999</v>
      </c>
      <c r="D27" s="231">
        <v>56.431800000000003</v>
      </c>
      <c r="E27" s="231">
        <v>46.144500000000001</v>
      </c>
      <c r="F27" s="231">
        <v>47.234499999999997</v>
      </c>
      <c r="G27" s="231">
        <v>68.736400000000003</v>
      </c>
      <c r="H27" s="231">
        <v>380</v>
      </c>
      <c r="I27" s="231">
        <v>259</v>
      </c>
      <c r="J27" s="231"/>
      <c r="K27" s="231">
        <v>458.15699999999998</v>
      </c>
      <c r="L27" s="231" t="s">
        <v>292</v>
      </c>
      <c r="M27" s="231">
        <v>163.827</v>
      </c>
      <c r="N27" s="231">
        <v>229.7</v>
      </c>
      <c r="O27" s="231">
        <v>483.48700000000002</v>
      </c>
      <c r="P27" s="231">
        <v>561.08100000000002</v>
      </c>
      <c r="Q27" s="231">
        <v>342.95499999999998</v>
      </c>
      <c r="R27" s="231">
        <v>590.25</v>
      </c>
      <c r="S27" s="231">
        <v>25.535799999999998</v>
      </c>
      <c r="T27" s="231">
        <v>12.1371</v>
      </c>
      <c r="U27" s="231">
        <v>24.434799999999999</v>
      </c>
      <c r="V27" s="224"/>
      <c r="X27" s="224"/>
    </row>
    <row r="28" spans="1:24" s="152" customFormat="1" ht="11.45" customHeight="1">
      <c r="A28" s="808" t="s">
        <v>561</v>
      </c>
      <c r="B28" s="256">
        <v>1159.25</v>
      </c>
      <c r="C28" s="256">
        <v>56.0503</v>
      </c>
      <c r="D28" s="256">
        <v>52.740900000000003</v>
      </c>
      <c r="E28" s="256">
        <v>46.5518</v>
      </c>
      <c r="F28" s="256">
        <v>48.124099999999999</v>
      </c>
      <c r="G28" s="256">
        <v>69.027299999999997</v>
      </c>
      <c r="H28" s="256">
        <v>380</v>
      </c>
      <c r="I28" s="256">
        <v>255</v>
      </c>
      <c r="J28" s="256" t="s">
        <v>292</v>
      </c>
      <c r="K28" s="256">
        <v>405.63600000000002</v>
      </c>
      <c r="L28" s="256" t="s">
        <v>292</v>
      </c>
      <c r="M28" s="256">
        <v>165.38800000000001</v>
      </c>
      <c r="N28" s="256">
        <v>226</v>
      </c>
      <c r="O28" s="256">
        <v>530.24699999999996</v>
      </c>
      <c r="P28" s="256" t="s">
        <v>292</v>
      </c>
      <c r="Q28" s="256">
        <v>338.214</v>
      </c>
      <c r="R28" s="256">
        <v>623.80700000000002</v>
      </c>
      <c r="S28" s="256">
        <v>25.5</v>
      </c>
      <c r="T28" s="256">
        <v>14.1418</v>
      </c>
      <c r="U28" s="256">
        <v>25.0382</v>
      </c>
      <c r="V28" s="224"/>
      <c r="X28" s="224"/>
    </row>
    <row r="29" spans="1:24" s="152" customFormat="1" ht="11.45" customHeight="1">
      <c r="A29" s="807" t="s">
        <v>562</v>
      </c>
      <c r="B29" s="231">
        <v>1086.44</v>
      </c>
      <c r="C29" s="231">
        <v>56.326500000000003</v>
      </c>
      <c r="D29" s="231">
        <v>46.161900000000003</v>
      </c>
      <c r="E29" s="231">
        <v>42.323300000000003</v>
      </c>
      <c r="F29" s="231">
        <v>44.417099999999998</v>
      </c>
      <c r="G29" s="231">
        <v>69.221400000000003</v>
      </c>
      <c r="H29" s="231">
        <v>380</v>
      </c>
      <c r="I29" s="231">
        <v>257</v>
      </c>
      <c r="J29" s="231" t="s">
        <v>292</v>
      </c>
      <c r="K29" s="231">
        <v>460.50099999999998</v>
      </c>
      <c r="L29" s="231" t="s">
        <v>292</v>
      </c>
      <c r="M29" s="231">
        <v>157.74199999999999</v>
      </c>
      <c r="N29" s="231">
        <v>229.7</v>
      </c>
      <c r="O29" s="231">
        <v>503.16399999999999</v>
      </c>
      <c r="P29" s="231" t="s">
        <v>292</v>
      </c>
      <c r="Q29" s="231">
        <v>320.34300000000002</v>
      </c>
      <c r="R29" s="231">
        <v>614.73599999999999</v>
      </c>
      <c r="S29" s="231">
        <v>25.2958</v>
      </c>
      <c r="T29" s="231">
        <v>14.888</v>
      </c>
      <c r="U29" s="231">
        <v>25.606000000000002</v>
      </c>
      <c r="V29" s="224"/>
      <c r="X29" s="224"/>
    </row>
    <row r="30" spans="1:24" s="152" customFormat="1" ht="11.45" customHeight="1">
      <c r="A30" s="808" t="s">
        <v>555</v>
      </c>
      <c r="B30" s="256">
        <v>1075.74</v>
      </c>
      <c r="C30" s="256">
        <v>55.850900000000003</v>
      </c>
      <c r="D30" s="256">
        <v>39.604300000000002</v>
      </c>
      <c r="E30" s="256">
        <v>34.702599999999997</v>
      </c>
      <c r="F30" s="256">
        <v>37.721699999999998</v>
      </c>
      <c r="G30" s="256">
        <v>70.388099999999994</v>
      </c>
      <c r="H30" s="256">
        <v>380</v>
      </c>
      <c r="I30" s="256">
        <v>239.833</v>
      </c>
      <c r="J30" s="256" t="s">
        <v>292</v>
      </c>
      <c r="K30" s="256">
        <v>435.565</v>
      </c>
      <c r="L30" s="256" t="s">
        <v>292</v>
      </c>
      <c r="M30" s="256">
        <v>163.79300000000001</v>
      </c>
      <c r="N30" s="256">
        <v>226</v>
      </c>
      <c r="O30" s="256">
        <v>520.60299999999995</v>
      </c>
      <c r="P30" s="256" t="s">
        <v>292</v>
      </c>
      <c r="Q30" s="256">
        <v>303.86200000000002</v>
      </c>
      <c r="R30" s="256">
        <v>677.19899999999996</v>
      </c>
      <c r="S30" s="256">
        <v>24.925699999999999</v>
      </c>
      <c r="T30" s="256">
        <v>15</v>
      </c>
      <c r="U30" s="256">
        <v>25.8309</v>
      </c>
      <c r="V30" s="224"/>
      <c r="X30" s="224"/>
    </row>
    <row r="31" spans="1:24" s="152" customFormat="1" ht="11.45" customHeight="1">
      <c r="A31" s="398">
        <v>2016</v>
      </c>
      <c r="B31" s="140">
        <f>AVERAGE(B32:B43)</f>
        <v>1249.0091666666669</v>
      </c>
      <c r="C31" s="140">
        <f t="shared" ref="C31:U31" si="1">AVERAGE(C32:C43)</f>
        <v>70.595974999999996</v>
      </c>
      <c r="D31" s="140">
        <f t="shared" si="1"/>
        <v>57.927608333333332</v>
      </c>
      <c r="E31" s="140">
        <f t="shared" si="1"/>
        <v>41.239341666666668</v>
      </c>
      <c r="F31" s="140">
        <f t="shared" si="1"/>
        <v>44.043283333333328</v>
      </c>
      <c r="G31" s="140">
        <f t="shared" si="1"/>
        <v>74.221424999999996</v>
      </c>
      <c r="H31" s="140">
        <f t="shared" si="1"/>
        <v>290.5</v>
      </c>
      <c r="I31" s="140">
        <f t="shared" si="1"/>
        <v>199.25</v>
      </c>
      <c r="J31" s="140" t="s">
        <v>292</v>
      </c>
      <c r="K31" s="140">
        <f t="shared" si="1"/>
        <v>447.19941666666676</v>
      </c>
      <c r="L31" s="140" t="s">
        <v>292</v>
      </c>
      <c r="M31" s="140">
        <f t="shared" si="1"/>
        <v>143.15049999999999</v>
      </c>
      <c r="N31" s="140" t="s">
        <v>292</v>
      </c>
      <c r="O31" s="140">
        <f t="shared" si="1"/>
        <v>639.91374999999994</v>
      </c>
      <c r="P31" s="140">
        <f t="shared" si="1"/>
        <v>678.02857142857158</v>
      </c>
      <c r="Q31" s="140">
        <f t="shared" si="1"/>
        <v>350.16058333333331</v>
      </c>
      <c r="R31" s="140">
        <f t="shared" si="1"/>
        <v>721.16600000000005</v>
      </c>
      <c r="S31" s="140">
        <f t="shared" si="1"/>
        <v>22.537283333333335</v>
      </c>
      <c r="T31" s="140">
        <f t="shared" si="1"/>
        <v>18.252850000000002</v>
      </c>
      <c r="U31" s="140">
        <f t="shared" si="1"/>
        <v>27.479150000000004</v>
      </c>
      <c r="V31" s="224"/>
    </row>
    <row r="32" spans="1:24" s="152" customFormat="1" ht="11.45" customHeight="1">
      <c r="A32" s="808" t="s">
        <v>563</v>
      </c>
      <c r="B32" s="256">
        <v>1097.9100000000001</v>
      </c>
      <c r="C32" s="256">
        <v>53.373899999999999</v>
      </c>
      <c r="D32" s="256">
        <v>41.252400000000002</v>
      </c>
      <c r="E32" s="256">
        <v>27.246700000000001</v>
      </c>
      <c r="F32" s="256">
        <v>30.8033</v>
      </c>
      <c r="G32" s="256">
        <v>68.75</v>
      </c>
      <c r="H32" s="256">
        <v>380</v>
      </c>
      <c r="I32" s="256">
        <v>214</v>
      </c>
      <c r="J32" s="256" t="s">
        <v>292</v>
      </c>
      <c r="K32" s="256">
        <v>419.29700000000003</v>
      </c>
      <c r="L32" s="256" t="s">
        <v>292</v>
      </c>
      <c r="M32" s="256">
        <v>164.55799999999999</v>
      </c>
      <c r="N32" s="256" t="s">
        <v>292</v>
      </c>
      <c r="O32" s="256">
        <v>531.61900000000003</v>
      </c>
      <c r="P32" s="256" t="s">
        <v>292</v>
      </c>
      <c r="Q32" s="256">
        <v>297.17700000000002</v>
      </c>
      <c r="R32" s="256">
        <v>659.90099999999995</v>
      </c>
      <c r="S32" s="256">
        <v>23.9497</v>
      </c>
      <c r="T32" s="256">
        <v>14.2911</v>
      </c>
      <c r="U32" s="256">
        <v>25.831600000000002</v>
      </c>
      <c r="V32" s="224"/>
      <c r="X32" s="224"/>
    </row>
    <row r="33" spans="1:24" s="152" customFormat="1" ht="12" customHeight="1">
      <c r="A33" s="807" t="s">
        <v>564</v>
      </c>
      <c r="B33" s="231">
        <v>1199.5</v>
      </c>
      <c r="C33" s="231">
        <v>54.329500000000003</v>
      </c>
      <c r="D33" s="231">
        <v>46.176200000000001</v>
      </c>
      <c r="E33" s="231">
        <v>29.614799999999999</v>
      </c>
      <c r="F33" s="231">
        <v>33.198099999999997</v>
      </c>
      <c r="G33" s="231">
        <v>66.571399999999997</v>
      </c>
      <c r="H33" s="231">
        <v>329</v>
      </c>
      <c r="I33" s="231">
        <v>209</v>
      </c>
      <c r="J33" s="231" t="s">
        <v>292</v>
      </c>
      <c r="K33" s="231">
        <v>448.315</v>
      </c>
      <c r="L33" s="231" t="s">
        <v>292</v>
      </c>
      <c r="M33" s="231">
        <v>159.25200000000001</v>
      </c>
      <c r="N33" s="231" t="s">
        <v>292</v>
      </c>
      <c r="O33" s="231">
        <v>595.90099999999995</v>
      </c>
      <c r="P33" s="231" t="s">
        <v>292</v>
      </c>
      <c r="Q33" s="231">
        <v>291.36799999999999</v>
      </c>
      <c r="R33" s="231">
        <v>686.904</v>
      </c>
      <c r="S33" s="231">
        <v>23.770800000000001</v>
      </c>
      <c r="T33" s="231">
        <v>13.2905</v>
      </c>
      <c r="U33" s="231">
        <v>25.4985</v>
      </c>
      <c r="V33" s="224"/>
      <c r="X33" s="224"/>
    </row>
    <row r="34" spans="1:24" s="152" customFormat="1" ht="11.45" customHeight="1">
      <c r="A34" s="808" t="s">
        <v>556</v>
      </c>
      <c r="B34" s="256">
        <v>1245.1400000000001</v>
      </c>
      <c r="C34" s="256">
        <v>55.917900000000003</v>
      </c>
      <c r="D34" s="256">
        <v>55.521700000000003</v>
      </c>
      <c r="E34" s="256">
        <v>35.173000000000002</v>
      </c>
      <c r="F34" s="256">
        <v>39.070900000000002</v>
      </c>
      <c r="G34" s="256">
        <v>65.457099999999997</v>
      </c>
      <c r="H34" s="256">
        <v>275</v>
      </c>
      <c r="I34" s="256">
        <v>203</v>
      </c>
      <c r="J34" s="256" t="s">
        <v>292</v>
      </c>
      <c r="K34" s="256">
        <v>434.28100000000001</v>
      </c>
      <c r="L34" s="256" t="s">
        <v>292</v>
      </c>
      <c r="M34" s="256">
        <v>164.03100000000001</v>
      </c>
      <c r="N34" s="256" t="s">
        <v>292</v>
      </c>
      <c r="O34" s="256">
        <v>633.06799999999998</v>
      </c>
      <c r="P34" s="256" t="s">
        <v>292</v>
      </c>
      <c r="Q34" s="256">
        <v>296.18099999999998</v>
      </c>
      <c r="R34" s="256">
        <v>713.85599999999999</v>
      </c>
      <c r="S34" s="256">
        <v>23.656700000000001</v>
      </c>
      <c r="T34" s="256">
        <v>15.435</v>
      </c>
      <c r="U34" s="256">
        <v>26.316800000000001</v>
      </c>
      <c r="V34" s="224"/>
      <c r="X34" s="224"/>
    </row>
    <row r="35" spans="1:24" s="152" customFormat="1" ht="11.45" customHeight="1">
      <c r="A35" s="807" t="s">
        <v>565</v>
      </c>
      <c r="B35" s="231">
        <v>1242.26</v>
      </c>
      <c r="C35" s="231">
        <v>54.830399999999997</v>
      </c>
      <c r="D35" s="231">
        <v>59.581000000000003</v>
      </c>
      <c r="E35" s="231">
        <v>39.037599999999998</v>
      </c>
      <c r="F35" s="231">
        <v>42.247100000000003</v>
      </c>
      <c r="G35" s="231">
        <v>69.278599999999997</v>
      </c>
      <c r="H35" s="231">
        <v>278</v>
      </c>
      <c r="I35" s="231">
        <v>204</v>
      </c>
      <c r="J35" s="231" t="s">
        <v>292</v>
      </c>
      <c r="K35" s="231">
        <v>441.2</v>
      </c>
      <c r="L35" s="231" t="s">
        <v>292</v>
      </c>
      <c r="M35" s="231">
        <v>163.36500000000001</v>
      </c>
      <c r="N35" s="231" t="s">
        <v>292</v>
      </c>
      <c r="O35" s="231">
        <v>681.077</v>
      </c>
      <c r="P35" s="231">
        <v>669.2</v>
      </c>
      <c r="Q35" s="231">
        <v>327.70100000000002</v>
      </c>
      <c r="R35" s="231">
        <v>748.53099999999995</v>
      </c>
      <c r="S35" s="231">
        <v>23.670200000000001</v>
      </c>
      <c r="T35" s="231">
        <v>15.217599999999999</v>
      </c>
      <c r="U35" s="231">
        <v>27.902899999999999</v>
      </c>
      <c r="V35" s="224"/>
      <c r="X35" s="224"/>
    </row>
    <row r="36" spans="1:24" s="152" customFormat="1" ht="11.45" customHeight="1">
      <c r="A36" s="808" t="s">
        <v>566</v>
      </c>
      <c r="B36" s="256">
        <v>1261</v>
      </c>
      <c r="C36" s="256">
        <v>55.2</v>
      </c>
      <c r="D36" s="256">
        <v>54.9</v>
      </c>
      <c r="E36" s="256">
        <v>44</v>
      </c>
      <c r="F36" s="256">
        <v>47.1</v>
      </c>
      <c r="G36" s="256">
        <v>70.3</v>
      </c>
      <c r="H36" s="256">
        <v>284</v>
      </c>
      <c r="I36" s="256">
        <v>200</v>
      </c>
      <c r="J36" s="256" t="s">
        <v>292</v>
      </c>
      <c r="K36" s="256">
        <v>448</v>
      </c>
      <c r="L36" s="256" t="s">
        <v>292</v>
      </c>
      <c r="M36" s="256">
        <v>157.5</v>
      </c>
      <c r="N36" s="256" t="s">
        <v>292</v>
      </c>
      <c r="O36" s="256">
        <v>644.6</v>
      </c>
      <c r="P36" s="256" t="s">
        <v>292</v>
      </c>
      <c r="Q36" s="256">
        <v>407.5</v>
      </c>
      <c r="R36" s="256">
        <v>707</v>
      </c>
      <c r="S36" s="256">
        <v>24.2</v>
      </c>
      <c r="T36" s="256">
        <v>16.7</v>
      </c>
      <c r="U36" s="256">
        <v>27.3</v>
      </c>
      <c r="V36" s="224"/>
    </row>
    <row r="37" spans="1:24" s="152" customFormat="1" ht="11.45" customHeight="1">
      <c r="A37" s="807" t="s">
        <v>557</v>
      </c>
      <c r="B37" s="231">
        <v>1276.4000000000001</v>
      </c>
      <c r="C37" s="231">
        <v>57</v>
      </c>
      <c r="D37" s="231">
        <v>51.4</v>
      </c>
      <c r="E37" s="231">
        <v>45.8</v>
      </c>
      <c r="F37" s="231">
        <v>48.5</v>
      </c>
      <c r="G37" s="231">
        <v>74.099999999999994</v>
      </c>
      <c r="H37" s="231">
        <v>285</v>
      </c>
      <c r="I37" s="231">
        <v>191</v>
      </c>
      <c r="J37" s="231" t="s">
        <v>292</v>
      </c>
      <c r="K37" s="231">
        <v>455.1</v>
      </c>
      <c r="L37" s="231" t="s">
        <v>292</v>
      </c>
      <c r="M37" s="231">
        <v>156.6</v>
      </c>
      <c r="N37" s="231" t="s">
        <v>292</v>
      </c>
      <c r="O37" s="231">
        <v>618.5</v>
      </c>
      <c r="P37" s="231" t="s">
        <v>292</v>
      </c>
      <c r="Q37" s="231">
        <v>443.4</v>
      </c>
      <c r="R37" s="231">
        <v>703.6</v>
      </c>
      <c r="S37" s="231">
        <v>23.6</v>
      </c>
      <c r="T37" s="231">
        <v>19.399999999999999</v>
      </c>
      <c r="U37" s="231">
        <v>27.4</v>
      </c>
      <c r="V37" s="224"/>
    </row>
    <row r="38" spans="1:24" s="152" customFormat="1" ht="11.45" customHeight="1">
      <c r="A38" s="808" t="s">
        <v>559</v>
      </c>
      <c r="B38" s="256">
        <v>1336.7</v>
      </c>
      <c r="C38" s="256">
        <v>66.7</v>
      </c>
      <c r="D38" s="256">
        <v>56.6</v>
      </c>
      <c r="E38" s="256">
        <v>42.7</v>
      </c>
      <c r="F38" s="256">
        <v>45.1</v>
      </c>
      <c r="G38" s="256">
        <v>81.099999999999994</v>
      </c>
      <c r="H38" s="256">
        <v>285</v>
      </c>
      <c r="I38" s="256">
        <v>177</v>
      </c>
      <c r="J38" s="256" t="s">
        <v>292</v>
      </c>
      <c r="K38" s="256">
        <v>506.3</v>
      </c>
      <c r="L38" s="256" t="s">
        <v>292</v>
      </c>
      <c r="M38" s="256">
        <v>133.6</v>
      </c>
      <c r="N38" s="256" t="s">
        <v>292</v>
      </c>
      <c r="O38" s="256">
        <v>584.20000000000005</v>
      </c>
      <c r="P38" s="256">
        <v>660.5</v>
      </c>
      <c r="Q38" s="256">
        <v>403.3</v>
      </c>
      <c r="R38" s="256">
        <v>669.9</v>
      </c>
      <c r="S38" s="256">
        <v>21.9</v>
      </c>
      <c r="T38" s="256">
        <v>19.7</v>
      </c>
      <c r="U38" s="256">
        <v>28.1</v>
      </c>
      <c r="V38" s="224"/>
    </row>
    <row r="39" spans="1:24" s="152" customFormat="1" ht="11.45" customHeight="1">
      <c r="A39" s="807" t="s">
        <v>560</v>
      </c>
      <c r="B39" s="231">
        <v>1340.2</v>
      </c>
      <c r="C39" s="231">
        <v>72.2</v>
      </c>
      <c r="D39" s="231">
        <v>60.5</v>
      </c>
      <c r="E39" s="231">
        <v>43.6</v>
      </c>
      <c r="F39" s="231">
        <v>46.1</v>
      </c>
      <c r="G39" s="231">
        <v>80.3</v>
      </c>
      <c r="H39" s="231">
        <v>283</v>
      </c>
      <c r="I39" s="231">
        <v>182</v>
      </c>
      <c r="J39" s="231" t="s">
        <v>292</v>
      </c>
      <c r="K39" s="231">
        <v>481.7</v>
      </c>
      <c r="L39" s="231" t="s">
        <v>292</v>
      </c>
      <c r="M39" s="231">
        <v>127.9</v>
      </c>
      <c r="N39" s="231" t="s">
        <v>292</v>
      </c>
      <c r="O39" s="231">
        <v>664.4</v>
      </c>
      <c r="P39" s="231">
        <v>644.20000000000005</v>
      </c>
      <c r="Q39" s="231">
        <v>364.5</v>
      </c>
      <c r="R39" s="231">
        <v>711.7</v>
      </c>
      <c r="S39" s="231">
        <v>21.8</v>
      </c>
      <c r="T39" s="231">
        <v>20.5</v>
      </c>
      <c r="U39" s="231">
        <v>27.2</v>
      </c>
      <c r="V39" s="224"/>
    </row>
    <row r="40" spans="1:24" s="152" customFormat="1" ht="11.45" customHeight="1">
      <c r="A40" s="808" t="s">
        <v>554</v>
      </c>
      <c r="B40" s="256">
        <v>1326.6</v>
      </c>
      <c r="C40" s="256">
        <v>78.099999999999994</v>
      </c>
      <c r="D40" s="256">
        <v>56.7</v>
      </c>
      <c r="E40" s="256">
        <v>43.8</v>
      </c>
      <c r="F40" s="256">
        <v>46.2</v>
      </c>
      <c r="G40" s="256">
        <v>77.900000000000006</v>
      </c>
      <c r="H40" s="256">
        <v>277</v>
      </c>
      <c r="I40" s="256">
        <v>191</v>
      </c>
      <c r="J40" s="256" t="s">
        <v>292</v>
      </c>
      <c r="K40" s="256">
        <v>446.9</v>
      </c>
      <c r="L40" s="256" t="s">
        <v>292</v>
      </c>
      <c r="M40" s="256">
        <v>123.2</v>
      </c>
      <c r="N40" s="256" t="s">
        <v>292</v>
      </c>
      <c r="O40" s="256">
        <v>692.4</v>
      </c>
      <c r="P40" s="256">
        <v>669.5</v>
      </c>
      <c r="Q40" s="256">
        <v>342.2</v>
      </c>
      <c r="R40" s="256">
        <v>722.6</v>
      </c>
      <c r="S40" s="256">
        <v>21.9</v>
      </c>
      <c r="T40" s="256">
        <v>21.9</v>
      </c>
      <c r="U40" s="256">
        <v>27.5</v>
      </c>
      <c r="V40" s="224"/>
    </row>
    <row r="41" spans="1:24" s="152" customFormat="1" ht="11.45" customHeight="1">
      <c r="A41" s="807" t="s">
        <v>561</v>
      </c>
      <c r="B41" s="231">
        <v>1266.5999999999999</v>
      </c>
      <c r="C41" s="231">
        <v>99.8</v>
      </c>
      <c r="D41" s="231">
        <v>59</v>
      </c>
      <c r="E41" s="231">
        <v>48.3</v>
      </c>
      <c r="F41" s="231">
        <v>49.7</v>
      </c>
      <c r="G41" s="231">
        <v>78.5</v>
      </c>
      <c r="H41" s="231">
        <v>273</v>
      </c>
      <c r="I41" s="231">
        <v>193</v>
      </c>
      <c r="J41" s="231" t="s">
        <v>292</v>
      </c>
      <c r="K41" s="231">
        <v>429.1</v>
      </c>
      <c r="L41" s="231" t="s">
        <v>292</v>
      </c>
      <c r="M41" s="231">
        <v>122.5</v>
      </c>
      <c r="N41" s="231" t="s">
        <v>292</v>
      </c>
      <c r="O41" s="231">
        <v>651.4</v>
      </c>
      <c r="P41" s="231">
        <v>705.9</v>
      </c>
      <c r="Q41" s="231">
        <v>337.1</v>
      </c>
      <c r="R41" s="231">
        <v>757.3</v>
      </c>
      <c r="S41" s="231">
        <v>20.5</v>
      </c>
      <c r="T41" s="231">
        <v>22.9</v>
      </c>
      <c r="U41" s="231">
        <v>28.6</v>
      </c>
      <c r="V41" s="224"/>
    </row>
    <row r="42" spans="1:24" s="152" customFormat="1" ht="10.5" customHeight="1">
      <c r="A42" s="808" t="s">
        <v>562</v>
      </c>
      <c r="B42" s="256">
        <v>1238.4000000000001</v>
      </c>
      <c r="C42" s="256">
        <v>107.2</v>
      </c>
      <c r="D42" s="256">
        <v>74.099999999999994</v>
      </c>
      <c r="E42" s="256">
        <v>43.8</v>
      </c>
      <c r="F42" s="256">
        <v>46.4</v>
      </c>
      <c r="G42" s="256">
        <v>78.900000000000006</v>
      </c>
      <c r="H42" s="256">
        <v>270</v>
      </c>
      <c r="I42" s="256">
        <v>211</v>
      </c>
      <c r="J42" s="256" t="s">
        <v>292</v>
      </c>
      <c r="K42" s="256">
        <v>440.6</v>
      </c>
      <c r="L42" s="256" t="s">
        <v>292</v>
      </c>
      <c r="M42" s="256">
        <v>122.5</v>
      </c>
      <c r="N42" s="256" t="s">
        <v>292</v>
      </c>
      <c r="O42" s="256">
        <v>670</v>
      </c>
      <c r="P42" s="256">
        <v>685.3</v>
      </c>
      <c r="Q42" s="256">
        <v>345.7</v>
      </c>
      <c r="R42" s="256">
        <v>772.4</v>
      </c>
      <c r="S42" s="256">
        <v>20.7</v>
      </c>
      <c r="T42" s="256">
        <v>20.9</v>
      </c>
      <c r="U42" s="256">
        <v>28.8</v>
      </c>
      <c r="V42" s="224"/>
    </row>
    <row r="43" spans="1:24" s="152" customFormat="1" ht="10.5" customHeight="1">
      <c r="A43" s="807" t="s">
        <v>555</v>
      </c>
      <c r="B43" s="231">
        <v>1157.4000000000001</v>
      </c>
      <c r="C43" s="231">
        <v>92.5</v>
      </c>
      <c r="D43" s="231">
        <v>79.400000000000006</v>
      </c>
      <c r="E43" s="231">
        <v>51.8</v>
      </c>
      <c r="F43" s="231">
        <v>54.1</v>
      </c>
      <c r="G43" s="231">
        <v>79.5</v>
      </c>
      <c r="H43" s="231">
        <v>267</v>
      </c>
      <c r="I43" s="231">
        <v>216</v>
      </c>
      <c r="J43" s="231" t="s">
        <v>292</v>
      </c>
      <c r="K43" s="231">
        <v>415.6</v>
      </c>
      <c r="L43" s="231" t="s">
        <v>292</v>
      </c>
      <c r="M43" s="231">
        <v>122.8</v>
      </c>
      <c r="N43" s="231" t="s">
        <v>292</v>
      </c>
      <c r="O43" s="231">
        <v>711.8</v>
      </c>
      <c r="P43" s="231">
        <v>711.6</v>
      </c>
      <c r="Q43" s="231">
        <v>345.8</v>
      </c>
      <c r="R43" s="231">
        <v>800.3</v>
      </c>
      <c r="S43" s="231">
        <v>20.8</v>
      </c>
      <c r="T43" s="231">
        <v>18.8</v>
      </c>
      <c r="U43" s="231">
        <v>29.3</v>
      </c>
      <c r="V43" s="224"/>
    </row>
    <row r="44" spans="1:24" s="152" customFormat="1" ht="10.5" customHeight="1">
      <c r="A44" s="715">
        <v>2017</v>
      </c>
      <c r="B44" s="256"/>
      <c r="C44" s="256"/>
      <c r="D44" s="256"/>
      <c r="E44" s="256"/>
      <c r="F44" s="256"/>
      <c r="G44" s="256"/>
      <c r="H44" s="256"/>
      <c r="I44" s="256"/>
      <c r="J44" s="256"/>
      <c r="K44" s="256"/>
      <c r="L44" s="256"/>
      <c r="M44" s="256"/>
      <c r="N44" s="256"/>
      <c r="O44" s="256"/>
      <c r="P44" s="256"/>
      <c r="Q44" s="256"/>
      <c r="R44" s="256"/>
      <c r="S44" s="256"/>
      <c r="T44" s="256"/>
      <c r="U44" s="256"/>
      <c r="V44" s="224"/>
    </row>
    <row r="45" spans="1:24" s="152" customFormat="1" ht="11.45" customHeight="1">
      <c r="A45" s="807" t="s">
        <v>563</v>
      </c>
      <c r="B45" s="231">
        <v>1192.0999999999999</v>
      </c>
      <c r="C45" s="231">
        <v>89.7</v>
      </c>
      <c r="D45" s="231">
        <v>80.8</v>
      </c>
      <c r="E45" s="231">
        <v>53.4</v>
      </c>
      <c r="F45" s="231">
        <v>54.9</v>
      </c>
      <c r="G45" s="231">
        <v>82.3</v>
      </c>
      <c r="H45" s="231">
        <v>269</v>
      </c>
      <c r="I45" s="231">
        <v>241</v>
      </c>
      <c r="J45" s="231" t="s">
        <v>292</v>
      </c>
      <c r="K45" s="231">
        <v>422.5</v>
      </c>
      <c r="L45" s="231" t="s">
        <v>292</v>
      </c>
      <c r="M45" s="231">
        <v>137.1</v>
      </c>
      <c r="N45" s="231" t="s">
        <v>292</v>
      </c>
      <c r="O45" s="231">
        <v>726.5</v>
      </c>
      <c r="P45" s="231">
        <v>746.6</v>
      </c>
      <c r="Q45" s="231">
        <v>364.7</v>
      </c>
      <c r="R45" s="231">
        <v>771.9</v>
      </c>
      <c r="S45" s="231">
        <v>20.5</v>
      </c>
      <c r="T45" s="231">
        <v>20.5</v>
      </c>
      <c r="U45" s="231">
        <v>29</v>
      </c>
      <c r="V45" s="224"/>
    </row>
    <row r="46" spans="1:24" s="152" customFormat="1" ht="11.45" customHeight="1">
      <c r="A46" s="808" t="s">
        <v>564</v>
      </c>
      <c r="B46" s="256">
        <v>1234.2</v>
      </c>
      <c r="C46" s="256">
        <v>86.2</v>
      </c>
      <c r="D46" s="256">
        <v>88.8</v>
      </c>
      <c r="E46" s="256">
        <v>54.2</v>
      </c>
      <c r="F46" s="256">
        <v>55.5</v>
      </c>
      <c r="G46" s="256">
        <v>85.2</v>
      </c>
      <c r="H46" s="256">
        <v>270</v>
      </c>
      <c r="I46" s="256">
        <v>247</v>
      </c>
      <c r="J46" s="256" t="s">
        <v>292</v>
      </c>
      <c r="K46" s="256">
        <v>430.1</v>
      </c>
      <c r="L46" s="256" t="s">
        <v>292</v>
      </c>
      <c r="M46" s="256">
        <v>147.30000000000001</v>
      </c>
      <c r="N46" s="256" t="s">
        <v>292</v>
      </c>
      <c r="O46" s="256">
        <v>706.8</v>
      </c>
      <c r="P46" s="256">
        <v>761.4</v>
      </c>
      <c r="Q46" s="256">
        <v>371.4</v>
      </c>
      <c r="R46" s="256">
        <v>742.9</v>
      </c>
      <c r="S46" s="256">
        <v>20.8</v>
      </c>
      <c r="T46" s="256">
        <v>20.3</v>
      </c>
      <c r="U46" s="256">
        <v>30.4</v>
      </c>
      <c r="V46" s="224"/>
    </row>
    <row r="47" spans="1:24" s="152" customFormat="1" ht="11.45" customHeight="1">
      <c r="A47" s="807" t="s">
        <v>556</v>
      </c>
      <c r="B47" s="231">
        <v>1231.4000000000001</v>
      </c>
      <c r="C47" s="231">
        <v>86.3</v>
      </c>
      <c r="D47" s="231">
        <v>87.2</v>
      </c>
      <c r="E47" s="231">
        <v>51.2</v>
      </c>
      <c r="F47" s="231">
        <v>52</v>
      </c>
      <c r="G47" s="231">
        <v>86.8</v>
      </c>
      <c r="H47" s="231">
        <v>278</v>
      </c>
      <c r="I47" s="231">
        <v>234</v>
      </c>
      <c r="J47" s="231" t="s">
        <v>292</v>
      </c>
      <c r="K47" s="231">
        <v>424.6</v>
      </c>
      <c r="L47" s="231" t="s">
        <v>292</v>
      </c>
      <c r="M47" s="231">
        <v>146.4</v>
      </c>
      <c r="N47" s="231" t="s">
        <v>292</v>
      </c>
      <c r="O47" s="231">
        <v>663.3</v>
      </c>
      <c r="P47" s="231" t="s">
        <v>292</v>
      </c>
      <c r="Q47" s="231">
        <v>356.9</v>
      </c>
      <c r="R47" s="231">
        <v>723.4</v>
      </c>
      <c r="S47" s="231">
        <v>20.5</v>
      </c>
      <c r="T47" s="231">
        <v>18.100000000000001</v>
      </c>
      <c r="U47" s="231">
        <v>29.8</v>
      </c>
      <c r="V47" s="224"/>
    </row>
    <row r="48" spans="1:24" s="152" customFormat="1" ht="11.45" customHeight="1">
      <c r="A48" s="808" t="s">
        <v>565</v>
      </c>
      <c r="B48" s="256">
        <v>1266.9000000000001</v>
      </c>
      <c r="C48" s="256">
        <v>90.7</v>
      </c>
      <c r="D48" s="256">
        <v>70.400000000000006</v>
      </c>
      <c r="E48" s="256">
        <v>52.4</v>
      </c>
      <c r="F48" s="256">
        <v>53.1</v>
      </c>
      <c r="G48" s="256">
        <v>87</v>
      </c>
      <c r="H48" s="256">
        <v>276</v>
      </c>
      <c r="I48" s="256">
        <v>205</v>
      </c>
      <c r="J48" s="256" t="s">
        <v>292</v>
      </c>
      <c r="K48" s="256">
        <v>410.3</v>
      </c>
      <c r="L48" s="256" t="s">
        <v>292</v>
      </c>
      <c r="M48" s="256">
        <v>138.4</v>
      </c>
      <c r="N48" s="256" t="s">
        <v>292</v>
      </c>
      <c r="O48" s="256">
        <v>623.20000000000005</v>
      </c>
      <c r="P48" s="256" t="s">
        <v>292</v>
      </c>
      <c r="Q48" s="256">
        <v>342.6</v>
      </c>
      <c r="R48" s="256">
        <v>695.3</v>
      </c>
      <c r="S48" s="256">
        <v>21</v>
      </c>
      <c r="T48" s="256">
        <v>16.399999999999999</v>
      </c>
      <c r="U48" s="256">
        <v>28.7</v>
      </c>
      <c r="V48" s="224"/>
    </row>
    <row r="49" spans="1:23" s="152" customFormat="1" ht="11.45" customHeight="1" thickBot="1">
      <c r="A49" s="418" t="s">
        <v>566</v>
      </c>
      <c r="B49" s="633">
        <v>1246</v>
      </c>
      <c r="C49" s="633" t="s">
        <v>292</v>
      </c>
      <c r="D49" s="633">
        <v>61.6</v>
      </c>
      <c r="E49" s="633">
        <v>50.3</v>
      </c>
      <c r="F49" s="633">
        <v>50.9</v>
      </c>
      <c r="G49" s="633">
        <v>88.6</v>
      </c>
      <c r="H49" s="633">
        <v>273</v>
      </c>
      <c r="I49" s="633">
        <v>180</v>
      </c>
      <c r="J49" s="633" t="s">
        <v>292</v>
      </c>
      <c r="K49" s="633">
        <v>444.7</v>
      </c>
      <c r="L49" s="633" t="s">
        <v>292</v>
      </c>
      <c r="M49" s="633">
        <v>146.5</v>
      </c>
      <c r="N49" s="633" t="s">
        <v>292</v>
      </c>
      <c r="O49" s="633">
        <v>655.5</v>
      </c>
      <c r="P49" s="633" t="s">
        <v>292</v>
      </c>
      <c r="Q49" s="633">
        <v>341</v>
      </c>
      <c r="R49" s="633">
        <v>714.1</v>
      </c>
      <c r="S49" s="633">
        <v>21.5</v>
      </c>
      <c r="T49" s="633">
        <v>15.7</v>
      </c>
      <c r="U49" s="633">
        <v>28.4</v>
      </c>
      <c r="V49" s="224"/>
    </row>
    <row r="50" spans="1:23" ht="11.25" customHeight="1">
      <c r="A50" s="10" t="s">
        <v>676</v>
      </c>
      <c r="B50" s="2627" t="s">
        <v>153</v>
      </c>
      <c r="C50" s="2627"/>
      <c r="D50" s="2627"/>
      <c r="E50" s="2627"/>
      <c r="F50" s="2627"/>
      <c r="G50" s="2627"/>
      <c r="H50" s="24"/>
      <c r="I50" s="24"/>
      <c r="J50" s="24"/>
      <c r="K50" s="10"/>
      <c r="L50" s="1085"/>
      <c r="M50" s="1085"/>
      <c r="N50" s="1085"/>
      <c r="O50" s="1085"/>
      <c r="P50" s="1085"/>
      <c r="Q50" s="1085"/>
      <c r="R50" s="815"/>
      <c r="S50" s="815"/>
      <c r="T50" s="12"/>
      <c r="U50" s="24"/>
    </row>
    <row r="51" spans="1:23" s="12" customFormat="1" ht="9" customHeight="1">
      <c r="B51" s="2634" t="s">
        <v>154</v>
      </c>
      <c r="C51" s="2634"/>
      <c r="D51" s="2634"/>
      <c r="E51" s="2634"/>
      <c r="F51" s="2634"/>
      <c r="G51" s="2634"/>
      <c r="H51" s="2634"/>
      <c r="I51" s="578"/>
      <c r="J51" s="578"/>
      <c r="K51" s="10" t="s">
        <v>653</v>
      </c>
      <c r="L51" s="2628" t="s">
        <v>1218</v>
      </c>
      <c r="M51" s="2628"/>
      <c r="N51" s="2628"/>
      <c r="O51" s="2628"/>
      <c r="P51" s="2628"/>
      <c r="Q51" s="2628"/>
      <c r="S51" s="815"/>
      <c r="T51" s="815"/>
    </row>
    <row r="52" spans="1:23" s="12" customFormat="1" ht="10.5" customHeight="1">
      <c r="B52" s="2627" t="s">
        <v>1159</v>
      </c>
      <c r="C52" s="2627"/>
      <c r="F52" s="83"/>
      <c r="G52" s="132"/>
      <c r="K52" s="12" t="s">
        <v>1354</v>
      </c>
    </row>
    <row r="53" spans="1:23" s="12" customFormat="1" ht="8.25" customHeight="1">
      <c r="A53" s="28"/>
      <c r="F53" s="83"/>
      <c r="G53" s="83"/>
      <c r="I53" s="565"/>
    </row>
    <row r="54" spans="1:23">
      <c r="C54" s="83"/>
      <c r="D54" s="83"/>
      <c r="E54" s="83"/>
      <c r="F54" s="83"/>
      <c r="G54" s="83"/>
      <c r="H54" s="83"/>
      <c r="I54" s="565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565"/>
      <c r="V54" s="565"/>
      <c r="W54" s="83"/>
    </row>
    <row r="55" spans="1:23">
      <c r="D55" s="83"/>
      <c r="F55" s="83"/>
      <c r="H55" s="83"/>
      <c r="I55" s="15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565"/>
      <c r="V55" s="565"/>
      <c r="W55" s="83"/>
    </row>
    <row r="56" spans="1:23">
      <c r="D56" s="83"/>
      <c r="F56" s="83"/>
      <c r="G56" s="15"/>
      <c r="H56" s="83"/>
      <c r="J56" s="83"/>
      <c r="L56" s="83"/>
      <c r="M56" s="83"/>
      <c r="N56" s="83"/>
      <c r="O56" s="83"/>
      <c r="P56" s="83"/>
      <c r="Q56" s="83"/>
      <c r="R56" s="83"/>
      <c r="S56" s="83"/>
      <c r="T56" s="83"/>
      <c r="U56" s="565"/>
      <c r="V56" s="565"/>
      <c r="W56" s="83"/>
    </row>
    <row r="57" spans="1:23" ht="10.5" customHeight="1">
      <c r="D57" s="83"/>
      <c r="F57" s="83"/>
      <c r="G57" s="15"/>
      <c r="H57" s="83"/>
      <c r="J57" s="83"/>
      <c r="L57" s="83"/>
      <c r="M57" s="83"/>
      <c r="N57" s="83"/>
      <c r="O57" s="83"/>
      <c r="P57" s="83"/>
      <c r="Q57" s="83"/>
      <c r="R57" s="83"/>
      <c r="S57" s="83"/>
      <c r="T57" s="83"/>
      <c r="U57" s="565"/>
      <c r="V57" s="565"/>
      <c r="W57" s="83"/>
    </row>
    <row r="58" spans="1:23">
      <c r="D58" s="83"/>
      <c r="F58" s="83"/>
      <c r="G58" s="15"/>
      <c r="H58" s="83"/>
      <c r="J58" s="83"/>
      <c r="L58" s="83"/>
      <c r="M58" s="83"/>
      <c r="N58" s="83"/>
      <c r="O58" s="83"/>
      <c r="P58" s="83"/>
      <c r="Q58" s="83"/>
      <c r="R58" s="83"/>
      <c r="S58" s="83"/>
      <c r="T58" s="83"/>
      <c r="U58" s="565"/>
      <c r="V58" s="565"/>
      <c r="W58" s="83"/>
    </row>
    <row r="59" spans="1:23">
      <c r="D59" s="83"/>
      <c r="F59" s="83"/>
      <c r="G59" s="15"/>
      <c r="H59" s="83"/>
      <c r="J59" s="83"/>
      <c r="L59" s="83"/>
      <c r="M59" s="83"/>
      <c r="N59" s="83"/>
      <c r="O59" s="83"/>
      <c r="P59" s="83"/>
      <c r="Q59" s="83"/>
      <c r="R59" s="83"/>
      <c r="S59" s="83"/>
      <c r="T59" s="83"/>
      <c r="U59" s="565"/>
      <c r="V59" s="565"/>
      <c r="W59" s="83"/>
    </row>
    <row r="60" spans="1:23">
      <c r="D60" s="83"/>
      <c r="F60" s="83"/>
      <c r="G60" s="15"/>
      <c r="H60" s="83"/>
      <c r="J60" s="83"/>
      <c r="L60" s="83"/>
      <c r="M60" s="83"/>
      <c r="N60" s="83"/>
      <c r="O60" s="83"/>
      <c r="P60" s="83"/>
      <c r="Q60" s="83"/>
      <c r="R60" s="83"/>
      <c r="S60" s="83"/>
      <c r="T60" s="83"/>
      <c r="U60" s="565"/>
      <c r="V60" s="565"/>
      <c r="W60" s="83"/>
    </row>
    <row r="61" spans="1:23">
      <c r="C61" s="83"/>
      <c r="D61" s="83"/>
      <c r="E61" s="83"/>
      <c r="F61" s="83"/>
      <c r="G61" s="83"/>
      <c r="H61" s="83"/>
      <c r="I61" s="565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565"/>
      <c r="V61" s="565"/>
      <c r="W61" s="83"/>
    </row>
    <row r="62" spans="1:23">
      <c r="C62" s="83"/>
      <c r="D62" s="83"/>
      <c r="E62" s="83"/>
      <c r="F62" s="83"/>
      <c r="G62" s="83"/>
      <c r="H62" s="83"/>
      <c r="I62" s="565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565"/>
      <c r="V62" s="565"/>
      <c r="W62" s="83"/>
    </row>
    <row r="63" spans="1:23">
      <c r="C63" s="83"/>
      <c r="D63" s="83"/>
      <c r="E63" s="83"/>
      <c r="F63" s="83"/>
      <c r="G63" s="83"/>
      <c r="H63" s="83"/>
      <c r="I63" s="565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565"/>
      <c r="V63" s="565"/>
      <c r="W63" s="83"/>
    </row>
    <row r="64" spans="1:23">
      <c r="C64" s="83"/>
      <c r="D64" s="83"/>
      <c r="E64" s="83"/>
      <c r="F64" s="83"/>
      <c r="G64" s="83"/>
      <c r="H64" s="83"/>
      <c r="I64" s="565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565"/>
      <c r="V64" s="565"/>
      <c r="W64" s="83"/>
    </row>
    <row r="65" spans="3:23"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565"/>
      <c r="V65" s="565"/>
      <c r="W65" s="83"/>
    </row>
    <row r="66" spans="3:23"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565"/>
      <c r="V66" s="12"/>
      <c r="W66" s="83"/>
    </row>
    <row r="67" spans="3:23">
      <c r="C67" s="83"/>
      <c r="D67" s="83"/>
      <c r="E67" s="83"/>
      <c r="F67" s="83"/>
      <c r="G67" s="83"/>
      <c r="H67" s="83"/>
      <c r="I67" s="566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565"/>
      <c r="V67" s="12"/>
      <c r="W67" s="83"/>
    </row>
    <row r="68" spans="3:23">
      <c r="C68" s="83"/>
      <c r="D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R68" s="83"/>
      <c r="S68" s="83"/>
      <c r="T68" s="83"/>
      <c r="U68" s="565"/>
      <c r="V68" s="12"/>
      <c r="W68" s="83"/>
    </row>
    <row r="69" spans="3:23">
      <c r="C69" s="83"/>
      <c r="D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R69" s="83"/>
      <c r="S69" s="83"/>
      <c r="T69" s="83"/>
      <c r="U69" s="565"/>
      <c r="V69" s="12"/>
      <c r="W69" s="83"/>
    </row>
    <row r="70" spans="3:23">
      <c r="D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S70" s="83"/>
      <c r="T70" s="83"/>
      <c r="U70" s="565"/>
      <c r="V70" s="12"/>
      <c r="W70" s="83"/>
    </row>
    <row r="71" spans="3:23">
      <c r="D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R71" s="83"/>
      <c r="S71" s="83"/>
      <c r="T71" s="83"/>
      <c r="U71" s="565"/>
      <c r="V71" s="12"/>
      <c r="W71" s="83"/>
    </row>
    <row r="72" spans="3:23"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565"/>
      <c r="V72" s="12"/>
      <c r="W72" s="83"/>
    </row>
    <row r="73" spans="3:23"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565"/>
      <c r="V73" s="12"/>
      <c r="W73" s="83"/>
    </row>
    <row r="74" spans="3:23"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565"/>
      <c r="V74" s="12"/>
      <c r="W74" s="83"/>
    </row>
    <row r="75" spans="3:23"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W75" s="83"/>
    </row>
    <row r="76" spans="3:23">
      <c r="J76" s="83"/>
      <c r="K76" s="83"/>
      <c r="M76" s="83"/>
      <c r="O76" s="83"/>
      <c r="P76" s="83"/>
      <c r="Q76" s="83"/>
      <c r="R76" s="83"/>
    </row>
  </sheetData>
  <customSheetViews>
    <customSheetView guid="{A374FC54-96E3-45F0-9C12-8450400C12DF}" scale="150">
      <pane xSplit="1" ySplit="4" topLeftCell="I44" activePane="bottomRight" state="frozen"/>
      <selection pane="bottomRight" activeCell="L57" sqref="L57"/>
      <pageMargins left="0.62992125984252001" right="0.511811023622047" top="0.511811023622047" bottom="0.511811023622047" header="0" footer="0.39370078740157499"/>
      <pageSetup paperSize="132" firstPageNumber="100" orientation="portrait" useFirstPageNumber="1" r:id="rId1"/>
      <headerFooter alignWithMargins="0">
        <oddFooter>&amp;C&amp;"Times New Roman,Regular"&amp;8&amp;P</oddFooter>
      </headerFooter>
    </customSheetView>
  </customSheetViews>
  <mergeCells count="11">
    <mergeCell ref="B52:C52"/>
    <mergeCell ref="L51:Q51"/>
    <mergeCell ref="A1:J1"/>
    <mergeCell ref="K1:R1"/>
    <mergeCell ref="S2:U2"/>
    <mergeCell ref="E2:F2"/>
    <mergeCell ref="S1:U1"/>
    <mergeCell ref="B50:G50"/>
    <mergeCell ref="B51:H51"/>
    <mergeCell ref="O2:P2"/>
    <mergeCell ref="L2:N2"/>
  </mergeCells>
  <phoneticPr fontId="0" type="noConversion"/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sheetPr codeName="Sheet36"/>
  <dimension ref="A1:R72"/>
  <sheetViews>
    <sheetView zoomScale="150" zoomScaleNormal="150" workbookViewId="0">
      <pane xSplit="1" ySplit="5" topLeftCell="B36" activePane="bottomRight" state="frozen"/>
      <selection activeCell="X47" sqref="X47:X50"/>
      <selection pane="topRight" activeCell="X47" sqref="X47:X50"/>
      <selection pane="bottomLeft" activeCell="X47" sqref="X47:X50"/>
      <selection pane="bottomRight" activeCell="P44" sqref="P44"/>
    </sheetView>
  </sheetViews>
  <sheetFormatPr defaultColWidth="9.140625" defaultRowHeight="11.25"/>
  <cols>
    <col min="1" max="1" width="9.28515625" style="3" customWidth="1"/>
    <col min="2" max="2" width="9.140625" style="1"/>
    <col min="3" max="3" width="7.5703125" style="1" customWidth="1"/>
    <col min="4" max="4" width="9.28515625" style="1" customWidth="1"/>
    <col min="5" max="5" width="9.7109375" style="1" customWidth="1"/>
    <col min="6" max="6" width="9.28515625" style="1" customWidth="1"/>
    <col min="7" max="7" width="8.5703125" style="1" customWidth="1"/>
    <col min="8" max="8" width="8.42578125" style="1" customWidth="1"/>
    <col min="9" max="9" width="7.42578125" style="1" customWidth="1"/>
    <col min="10" max="10" width="10.85546875" style="1" customWidth="1"/>
    <col min="11" max="11" width="11.7109375" style="1" customWidth="1"/>
    <col min="12" max="12" width="11.5703125" style="1" customWidth="1"/>
    <col min="13" max="13" width="11.7109375" style="1" customWidth="1"/>
    <col min="14" max="14" width="11.28515625" style="1" customWidth="1"/>
    <col min="15" max="15" width="11.140625" style="1" customWidth="1"/>
    <col min="16" max="16" width="10.85546875" style="3" customWidth="1"/>
    <col min="17" max="16384" width="9.140625" style="1"/>
  </cols>
  <sheetData>
    <row r="1" spans="1:18" s="75" customFormat="1" ht="12.75" customHeight="1">
      <c r="A1" s="2598" t="s">
        <v>230</v>
      </c>
      <c r="B1" s="2598"/>
      <c r="C1" s="2598"/>
      <c r="D1" s="2598"/>
      <c r="E1" s="2598"/>
      <c r="F1" s="2598"/>
      <c r="G1" s="2598"/>
      <c r="H1" s="2598"/>
      <c r="I1" s="2598"/>
      <c r="J1" s="2646" t="s">
        <v>1259</v>
      </c>
      <c r="K1" s="2646"/>
      <c r="L1" s="2646"/>
      <c r="M1" s="2646"/>
      <c r="N1" s="2646"/>
      <c r="O1" s="2641" t="s">
        <v>1511</v>
      </c>
      <c r="P1" s="2641"/>
    </row>
    <row r="2" spans="1:18" s="19" customFormat="1" ht="9.75" customHeight="1">
      <c r="O2" s="2647" t="s">
        <v>24</v>
      </c>
      <c r="P2" s="2647"/>
    </row>
    <row r="3" spans="1:18" s="74" customFormat="1" ht="13.5" customHeight="1">
      <c r="A3" s="2592" t="s">
        <v>481</v>
      </c>
      <c r="B3" s="2480" t="s">
        <v>229</v>
      </c>
      <c r="C3" s="2643"/>
      <c r="D3" s="2643"/>
      <c r="E3" s="2643"/>
      <c r="F3" s="2643"/>
      <c r="G3" s="2643"/>
      <c r="H3" s="2643"/>
      <c r="I3" s="2643"/>
      <c r="J3" s="2643"/>
      <c r="K3" s="2526"/>
      <c r="L3" s="2480" t="s">
        <v>578</v>
      </c>
      <c r="M3" s="2643"/>
      <c r="N3" s="2643"/>
      <c r="O3" s="2644"/>
      <c r="P3" s="2645" t="s">
        <v>481</v>
      </c>
    </row>
    <row r="4" spans="1:18" s="19" customFormat="1" ht="12.75" customHeight="1">
      <c r="A4" s="2592"/>
      <c r="B4" s="2642" t="s">
        <v>746</v>
      </c>
      <c r="C4" s="2648" t="s">
        <v>281</v>
      </c>
      <c r="D4" s="2337" t="s">
        <v>920</v>
      </c>
      <c r="E4" s="2337" t="s">
        <v>747</v>
      </c>
      <c r="F4" s="2392" t="s">
        <v>538</v>
      </c>
      <c r="G4" s="2392"/>
      <c r="H4" s="2638" t="s">
        <v>540</v>
      </c>
      <c r="I4" s="2639"/>
      <c r="J4" s="2640" t="s">
        <v>922</v>
      </c>
      <c r="K4" s="2337" t="s">
        <v>923</v>
      </c>
      <c r="L4" s="2640" t="s">
        <v>921</v>
      </c>
      <c r="M4" s="2640" t="s">
        <v>924</v>
      </c>
      <c r="N4" s="2640" t="s">
        <v>579</v>
      </c>
      <c r="O4" s="2640" t="s">
        <v>541</v>
      </c>
      <c r="P4" s="2364"/>
    </row>
    <row r="5" spans="1:18" s="19" customFormat="1" ht="11.25" customHeight="1">
      <c r="A5" s="2592"/>
      <c r="B5" s="2642"/>
      <c r="C5" s="2649"/>
      <c r="D5" s="2339"/>
      <c r="E5" s="2339"/>
      <c r="F5" s="1508" t="s">
        <v>479</v>
      </c>
      <c r="G5" s="1508" t="s">
        <v>539</v>
      </c>
      <c r="H5" s="1508" t="s">
        <v>479</v>
      </c>
      <c r="I5" s="1508" t="s">
        <v>539</v>
      </c>
      <c r="J5" s="2180"/>
      <c r="K5" s="2339"/>
      <c r="L5" s="2180"/>
      <c r="M5" s="2180"/>
      <c r="N5" s="2180"/>
      <c r="O5" s="2180"/>
      <c r="P5" s="2365"/>
    </row>
    <row r="6" spans="1:18" s="9" customFormat="1" ht="11.1" customHeight="1">
      <c r="A6" s="962" t="s">
        <v>701</v>
      </c>
      <c r="B6" s="26">
        <v>13153.5</v>
      </c>
      <c r="C6" s="26">
        <v>38.950000000000003</v>
      </c>
      <c r="D6" s="26">
        <v>660.36</v>
      </c>
      <c r="E6" s="26">
        <v>28652.63</v>
      </c>
      <c r="F6" s="26">
        <v>21984.81</v>
      </c>
      <c r="G6" s="26">
        <v>13792.62</v>
      </c>
      <c r="H6" s="26">
        <v>11923.97</v>
      </c>
      <c r="I6" s="26">
        <v>4367.71</v>
      </c>
      <c r="J6" s="26">
        <v>484.44</v>
      </c>
      <c r="K6" s="26">
        <v>95058.99</v>
      </c>
      <c r="L6" s="26">
        <v>407.8</v>
      </c>
      <c r="M6" s="26">
        <v>64.63</v>
      </c>
      <c r="N6" s="26">
        <v>217.14</v>
      </c>
      <c r="O6" s="26">
        <v>2018.8599999999997</v>
      </c>
      <c r="P6" s="220" t="s">
        <v>701</v>
      </c>
      <c r="R6" s="150"/>
    </row>
    <row r="7" spans="1:18" s="9" customFormat="1" ht="11.1" customHeight="1">
      <c r="A7" s="271" t="s">
        <v>809</v>
      </c>
      <c r="B7" s="261">
        <v>13322.45</v>
      </c>
      <c r="C7" s="261">
        <v>33.47</v>
      </c>
      <c r="D7" s="261">
        <v>772.53</v>
      </c>
      <c r="E7" s="261">
        <v>37120.65</v>
      </c>
      <c r="F7" s="261">
        <v>26367.260000000002</v>
      </c>
      <c r="G7" s="261">
        <v>14846.48</v>
      </c>
      <c r="H7" s="261">
        <v>11985.29</v>
      </c>
      <c r="I7" s="261">
        <v>4205.01</v>
      </c>
      <c r="J7" s="261">
        <v>498.59</v>
      </c>
      <c r="K7" s="261">
        <v>109151.73</v>
      </c>
      <c r="L7" s="261">
        <v>293.5</v>
      </c>
      <c r="M7" s="261">
        <v>75.7</v>
      </c>
      <c r="N7" s="261">
        <v>166.19</v>
      </c>
      <c r="O7" s="261">
        <v>2015.1900000000003</v>
      </c>
      <c r="P7" s="272" t="s">
        <v>809</v>
      </c>
      <c r="R7" s="150"/>
    </row>
    <row r="8" spans="1:18" s="230" customFormat="1" ht="11.1" customHeight="1">
      <c r="A8" s="1509" t="s">
        <v>982</v>
      </c>
      <c r="B8" s="26">
        <v>13650.83</v>
      </c>
      <c r="C8" s="26">
        <v>41.980000000000004</v>
      </c>
      <c r="D8" s="26">
        <v>822.39</v>
      </c>
      <c r="E8" s="26">
        <v>43207.27</v>
      </c>
      <c r="F8" s="26">
        <v>29252.109999999997</v>
      </c>
      <c r="G8" s="26">
        <v>15325.119999999999</v>
      </c>
      <c r="H8" s="26">
        <v>13647.190000000002</v>
      </c>
      <c r="I8" s="26">
        <v>4335.7699999999995</v>
      </c>
      <c r="J8" s="26">
        <v>643.71</v>
      </c>
      <c r="K8" s="26">
        <v>120819.84999999998</v>
      </c>
      <c r="L8" s="26">
        <v>424.8</v>
      </c>
      <c r="M8" s="26">
        <v>71.41</v>
      </c>
      <c r="N8" s="26">
        <v>219.57</v>
      </c>
      <c r="O8" s="26">
        <v>2214.5200000000004</v>
      </c>
      <c r="P8" s="233" t="s">
        <v>982</v>
      </c>
      <c r="R8" s="231"/>
    </row>
    <row r="9" spans="1:18" s="230" customFormat="1" ht="11.1" customHeight="1">
      <c r="A9" s="1510" t="s">
        <v>1033</v>
      </c>
      <c r="B9" s="256">
        <v>15349.850000000002</v>
      </c>
      <c r="C9" s="256">
        <v>40.630000000000003</v>
      </c>
      <c r="D9" s="256">
        <v>960.37999999999988</v>
      </c>
      <c r="E9" s="256">
        <v>47477.399999999994</v>
      </c>
      <c r="F9" s="256">
        <v>32290.130000000005</v>
      </c>
      <c r="G9" s="256">
        <v>17690.469999999998</v>
      </c>
      <c r="H9" s="256">
        <v>15758.310000000001</v>
      </c>
      <c r="I9" s="256">
        <v>5252.42</v>
      </c>
      <c r="J9" s="256">
        <v>881.11</v>
      </c>
      <c r="K9" s="256">
        <v>135700.70000000001</v>
      </c>
      <c r="L9" s="261">
        <v>362.66</v>
      </c>
      <c r="M9" s="261">
        <v>86.53</v>
      </c>
      <c r="N9" s="261">
        <v>253.13</v>
      </c>
      <c r="O9" s="261">
        <v>2139.31</v>
      </c>
      <c r="P9" s="282" t="s">
        <v>1033</v>
      </c>
      <c r="R9" s="231"/>
    </row>
    <row r="10" spans="1:18" s="230" customFormat="1" ht="11.1" customHeight="1">
      <c r="A10" s="1509" t="s">
        <v>1154</v>
      </c>
      <c r="B10" s="231">
        <v>18016.580000000002</v>
      </c>
      <c r="C10" s="231">
        <v>32.749999999999993</v>
      </c>
      <c r="D10" s="231">
        <v>1582.0299999999997</v>
      </c>
      <c r="E10" s="231">
        <v>53235.45</v>
      </c>
      <c r="F10" s="231">
        <v>34862.82</v>
      </c>
      <c r="G10" s="231">
        <v>20583.86</v>
      </c>
      <c r="H10" s="231">
        <v>19630.96</v>
      </c>
      <c r="I10" s="231">
        <v>6560.2000000000007</v>
      </c>
      <c r="J10" s="231">
        <v>1014.0699999999999</v>
      </c>
      <c r="K10" s="231">
        <v>155518.71999999997</v>
      </c>
      <c r="L10" s="26">
        <v>432.78999999999996</v>
      </c>
      <c r="M10" s="26">
        <v>95.44</v>
      </c>
      <c r="N10" s="26">
        <v>195.29999999999998</v>
      </c>
      <c r="O10" s="26">
        <v>2279.71</v>
      </c>
      <c r="P10" s="233" t="s">
        <v>1154</v>
      </c>
      <c r="Q10" s="231"/>
    </row>
    <row r="11" spans="1:18" s="230" customFormat="1" ht="11.1" customHeight="1">
      <c r="A11" s="1510" t="s">
        <v>1178</v>
      </c>
      <c r="B11" s="256">
        <v>21069.19</v>
      </c>
      <c r="C11" s="256">
        <v>22.699999999999996</v>
      </c>
      <c r="D11" s="256">
        <v>1790.5100000000002</v>
      </c>
      <c r="E11" s="256">
        <v>52754.93</v>
      </c>
      <c r="F11" s="256">
        <v>38287.759999999995</v>
      </c>
      <c r="G11" s="256">
        <v>25561.09</v>
      </c>
      <c r="H11" s="256">
        <v>23481.699999999997</v>
      </c>
      <c r="I11" s="256">
        <v>7628.89</v>
      </c>
      <c r="J11" s="256">
        <v>1059.67</v>
      </c>
      <c r="K11" s="256">
        <v>171656.43999999997</v>
      </c>
      <c r="L11" s="261">
        <v>1684.0539999999999</v>
      </c>
      <c r="M11" s="261">
        <v>100.30000000000001</v>
      </c>
      <c r="N11" s="261">
        <v>374.15</v>
      </c>
      <c r="O11" s="261">
        <v>2470.79</v>
      </c>
      <c r="P11" s="282" t="s">
        <v>1178</v>
      </c>
      <c r="Q11" s="231"/>
    </row>
    <row r="12" spans="1:18" s="230" customFormat="1" ht="11.1" customHeight="1">
      <c r="A12" s="1509" t="s">
        <v>1298</v>
      </c>
      <c r="B12" s="231">
        <v>24502.12</v>
      </c>
      <c r="C12" s="231">
        <v>35.769999999999996</v>
      </c>
      <c r="D12" s="231">
        <v>2080.3399999999997</v>
      </c>
      <c r="E12" s="231">
        <v>64548.260000000009</v>
      </c>
      <c r="F12" s="231">
        <v>47171.799999999996</v>
      </c>
      <c r="G12" s="231">
        <v>29367.759999999998</v>
      </c>
      <c r="H12" s="231">
        <v>29639.15</v>
      </c>
      <c r="I12" s="231">
        <v>7912.2300000000005</v>
      </c>
      <c r="J12" s="231">
        <v>1149.8200000000002</v>
      </c>
      <c r="K12" s="231">
        <v>206407.25</v>
      </c>
      <c r="L12" s="26">
        <v>550.11999999999989</v>
      </c>
      <c r="M12" s="26">
        <v>100.05</v>
      </c>
      <c r="N12" s="26">
        <v>404.92</v>
      </c>
      <c r="O12" s="26">
        <v>2756.99</v>
      </c>
      <c r="P12" s="233" t="s">
        <v>1298</v>
      </c>
      <c r="Q12" s="231"/>
    </row>
    <row r="13" spans="1:18" s="230" customFormat="1" ht="11.1" customHeight="1">
      <c r="A13" s="1510" t="s">
        <v>1407</v>
      </c>
      <c r="B13" s="256">
        <v>24277.399999999998</v>
      </c>
      <c r="C13" s="256">
        <v>42.169999999999995</v>
      </c>
      <c r="D13" s="256">
        <v>2373.3299999999995</v>
      </c>
      <c r="E13" s="256">
        <v>71795.500000000015</v>
      </c>
      <c r="F13" s="256">
        <v>56323.020000000004</v>
      </c>
      <c r="G13" s="256">
        <v>31398.55</v>
      </c>
      <c r="H13" s="256">
        <v>28891.02</v>
      </c>
      <c r="I13" s="256">
        <v>7664.0400000000009</v>
      </c>
      <c r="J13" s="256">
        <v>1127.3900000000001</v>
      </c>
      <c r="K13" s="256">
        <v>223892.42</v>
      </c>
      <c r="L13" s="261">
        <v>892.1400000000001</v>
      </c>
      <c r="M13" s="261">
        <v>100.23</v>
      </c>
      <c r="N13" s="261">
        <v>443.39</v>
      </c>
      <c r="O13" s="261">
        <v>3032.62</v>
      </c>
      <c r="P13" s="282" t="s">
        <v>1407</v>
      </c>
      <c r="Q13" s="231"/>
    </row>
    <row r="14" spans="1:18" s="152" customFormat="1" ht="11.1" customHeight="1">
      <c r="A14" s="1509" t="s">
        <v>1487</v>
      </c>
      <c r="B14" s="1163">
        <v>23559.5</v>
      </c>
      <c r="C14" s="1163">
        <v>1.0300000000000002</v>
      </c>
      <c r="D14" s="1163">
        <v>2279.4000000000005</v>
      </c>
      <c r="E14" s="1163">
        <v>70501.5</v>
      </c>
      <c r="F14" s="1163">
        <v>56080.7</v>
      </c>
      <c r="G14" s="1163">
        <v>30016.640000000007</v>
      </c>
      <c r="H14" s="1163">
        <v>25471.140000000003</v>
      </c>
      <c r="I14" s="1163">
        <v>6975.1500000000005</v>
      </c>
      <c r="J14" s="1163">
        <v>1566.73</v>
      </c>
      <c r="K14" s="1163">
        <v>216451.78999999995</v>
      </c>
      <c r="L14" s="26">
        <v>649.49299999999994</v>
      </c>
      <c r="M14" s="26">
        <v>240.14999999999998</v>
      </c>
      <c r="N14" s="26">
        <v>454.72999999999996</v>
      </c>
      <c r="O14" s="26">
        <v>2095.779</v>
      </c>
      <c r="P14" s="233" t="s">
        <v>1487</v>
      </c>
    </row>
    <row r="15" spans="1:18" s="152" customFormat="1" ht="11.1" customHeight="1">
      <c r="A15" s="1510" t="s">
        <v>1539</v>
      </c>
      <c r="B15" s="256">
        <v>30455.91</v>
      </c>
      <c r="C15" s="256">
        <v>0.6</v>
      </c>
      <c r="D15" s="256">
        <v>2418.1799999999998</v>
      </c>
      <c r="E15" s="256">
        <v>86693.939999999988</v>
      </c>
      <c r="F15" s="256">
        <v>63786.770000000004</v>
      </c>
      <c r="G15" s="256">
        <v>38271.78</v>
      </c>
      <c r="H15" s="256">
        <v>30047.73</v>
      </c>
      <c r="I15" s="256">
        <v>8422.1200000000008</v>
      </c>
      <c r="J15" s="256">
        <v>1592.17</v>
      </c>
      <c r="K15" s="256">
        <v>261689.19999999995</v>
      </c>
      <c r="L15" s="256">
        <v>840.56999999999994</v>
      </c>
      <c r="M15" s="256">
        <v>87.8</v>
      </c>
      <c r="N15" s="256">
        <v>318.12</v>
      </c>
      <c r="O15" s="256">
        <v>9056.1600000000017</v>
      </c>
      <c r="P15" s="282" t="s">
        <v>1539</v>
      </c>
    </row>
    <row r="16" spans="1:18" s="152" customFormat="1" ht="11.1" customHeight="1">
      <c r="A16" s="1507" t="s">
        <v>1810</v>
      </c>
      <c r="B16" s="231">
        <v>35276.579999999994</v>
      </c>
      <c r="C16" s="231">
        <v>0.67</v>
      </c>
      <c r="D16" s="231">
        <v>3102.86</v>
      </c>
      <c r="E16" s="231">
        <v>102908.16</v>
      </c>
      <c r="F16" s="231">
        <v>72606.449999999983</v>
      </c>
      <c r="G16" s="231">
        <v>44328.739999999991</v>
      </c>
      <c r="H16" s="231">
        <v>31234.449999999997</v>
      </c>
      <c r="I16" s="231">
        <v>9817.81</v>
      </c>
      <c r="J16" s="231">
        <v>2358.12</v>
      </c>
      <c r="K16" s="231">
        <v>301633.83999999997</v>
      </c>
      <c r="L16" s="231">
        <v>860.08999999999992</v>
      </c>
      <c r="M16" s="231">
        <v>124.69</v>
      </c>
      <c r="N16" s="231">
        <v>230.06</v>
      </c>
      <c r="O16" s="231">
        <v>10402.980000000001</v>
      </c>
      <c r="P16" s="336" t="s">
        <v>1810</v>
      </c>
    </row>
    <row r="17" spans="1:16" s="152" customFormat="1" ht="11.1" customHeight="1">
      <c r="A17" s="1052" t="s">
        <v>2056</v>
      </c>
      <c r="B17" s="295">
        <v>37004.269999999997</v>
      </c>
      <c r="C17" s="295">
        <v>2.8599999999999985</v>
      </c>
      <c r="D17" s="295">
        <v>9855.0999999999985</v>
      </c>
      <c r="E17" s="295">
        <v>111791.82</v>
      </c>
      <c r="F17" s="295">
        <v>80994.319999999992</v>
      </c>
      <c r="G17" s="295">
        <v>45426.239999999998</v>
      </c>
      <c r="H17" s="295">
        <v>32980.19</v>
      </c>
      <c r="I17" s="295">
        <v>10298.98</v>
      </c>
      <c r="J17" s="295">
        <v>3148.3879999999999</v>
      </c>
      <c r="K17" s="295">
        <v>331502.16800000001</v>
      </c>
      <c r="L17" s="295">
        <v>1020.7299999999999</v>
      </c>
      <c r="M17" s="295">
        <v>142.55000000000001</v>
      </c>
      <c r="N17" s="295">
        <v>201.49</v>
      </c>
      <c r="O17" s="295">
        <v>15288.83</v>
      </c>
      <c r="P17" s="268" t="s">
        <v>2056</v>
      </c>
    </row>
    <row r="18" spans="1:16" s="152" customFormat="1" ht="11.1" customHeight="1">
      <c r="A18" s="100" t="s">
        <v>2188</v>
      </c>
      <c r="B18" s="302">
        <f>SUM(B19:B30)</f>
        <v>39603.270000000004</v>
      </c>
      <c r="C18" s="302">
        <f t="shared" ref="C18:K18" si="0">SUM(C19:C30)</f>
        <v>7.0000000000000007E-2</v>
      </c>
      <c r="D18" s="302">
        <f t="shared" si="0"/>
        <v>4305.6100000000006</v>
      </c>
      <c r="E18" s="302">
        <f t="shared" si="0"/>
        <v>125795.88</v>
      </c>
      <c r="F18" s="302">
        <f t="shared" si="0"/>
        <v>97064.340000000011</v>
      </c>
      <c r="G18" s="302">
        <f t="shared" si="0"/>
        <v>49520.630000000012</v>
      </c>
      <c r="H18" s="302">
        <f t="shared" si="0"/>
        <v>40123.919999999998</v>
      </c>
      <c r="I18" s="302">
        <f t="shared" si="0"/>
        <v>11425.590000000002</v>
      </c>
      <c r="J18" s="302">
        <f t="shared" si="0"/>
        <v>4192.3500000000004</v>
      </c>
      <c r="K18" s="302">
        <f t="shared" si="0"/>
        <v>372031.66000000003</v>
      </c>
      <c r="L18" s="302">
        <f>SUM(L19:L30)</f>
        <v>1134.81</v>
      </c>
      <c r="M18" s="302">
        <f t="shared" ref="M18" si="1">SUM(M19:M30)</f>
        <v>134.16</v>
      </c>
      <c r="N18" s="302">
        <f>SUM(N19:N30)</f>
        <v>111.3</v>
      </c>
      <c r="O18" s="302">
        <f>SUM(O19:O30)</f>
        <v>15004.31</v>
      </c>
      <c r="P18" s="421" t="s">
        <v>2188</v>
      </c>
    </row>
    <row r="19" spans="1:16" s="152" customFormat="1" ht="11.1" customHeight="1">
      <c r="A19" s="526" t="s">
        <v>559</v>
      </c>
      <c r="B19" s="256">
        <v>2987.04</v>
      </c>
      <c r="C19" s="256">
        <v>0.01</v>
      </c>
      <c r="D19" s="256">
        <v>157.72999999999999</v>
      </c>
      <c r="E19" s="256">
        <v>5559.12</v>
      </c>
      <c r="F19" s="256">
        <v>6616.48</v>
      </c>
      <c r="G19" s="256">
        <v>3805.48</v>
      </c>
      <c r="H19" s="256">
        <v>1652.78</v>
      </c>
      <c r="I19" s="256">
        <v>828.74</v>
      </c>
      <c r="J19" s="256">
        <f>109.63+105+0.35</f>
        <v>214.98</v>
      </c>
      <c r="K19" s="256">
        <f>SUM(B19:J19)</f>
        <v>21822.36</v>
      </c>
      <c r="L19" s="256">
        <v>74.92</v>
      </c>
      <c r="M19" s="256">
        <v>5.93</v>
      </c>
      <c r="N19" s="256">
        <v>7.22</v>
      </c>
      <c r="O19" s="256">
        <v>1059.07</v>
      </c>
      <c r="P19" s="266" t="s">
        <v>559</v>
      </c>
    </row>
    <row r="20" spans="1:16" s="152" customFormat="1" ht="11.1" customHeight="1">
      <c r="A20" s="219" t="s">
        <v>560</v>
      </c>
      <c r="B20" s="231">
        <v>3342.74</v>
      </c>
      <c r="C20" s="231">
        <v>0.01</v>
      </c>
      <c r="D20" s="231">
        <v>143.32</v>
      </c>
      <c r="E20" s="231">
        <v>6905.66</v>
      </c>
      <c r="F20" s="231">
        <v>6237.29</v>
      </c>
      <c r="G20" s="231">
        <v>4197.1499999999996</v>
      </c>
      <c r="H20" s="231">
        <v>3220.48</v>
      </c>
      <c r="I20" s="231">
        <v>913</v>
      </c>
      <c r="J20" s="231">
        <f>0.27+129.3+149.19</f>
        <v>278.76</v>
      </c>
      <c r="K20" s="231">
        <f>SUM(B20:J20)</f>
        <v>25238.409999999996</v>
      </c>
      <c r="L20" s="231">
        <v>92.12</v>
      </c>
      <c r="M20" s="231">
        <v>7.94</v>
      </c>
      <c r="N20" s="231">
        <v>7.15</v>
      </c>
      <c r="O20" s="231">
        <v>1401.42</v>
      </c>
      <c r="P20" s="191" t="s">
        <v>560</v>
      </c>
    </row>
    <row r="21" spans="1:16" s="152" customFormat="1" ht="11.1" customHeight="1">
      <c r="A21" s="526" t="s">
        <v>554</v>
      </c>
      <c r="B21" s="256">
        <v>3045.82</v>
      </c>
      <c r="C21" s="256">
        <v>0</v>
      </c>
      <c r="D21" s="256">
        <v>161.5</v>
      </c>
      <c r="E21" s="256">
        <v>10267.969999999999</v>
      </c>
      <c r="F21" s="256">
        <v>6441.03</v>
      </c>
      <c r="G21" s="256">
        <v>3972.51</v>
      </c>
      <c r="H21" s="256">
        <v>3453.83</v>
      </c>
      <c r="I21" s="256">
        <v>778.83</v>
      </c>
      <c r="J21" s="256">
        <f>0.17+125.6+179.67</f>
        <v>305.44</v>
      </c>
      <c r="K21" s="256">
        <f>SUM(B21:J21)</f>
        <v>28426.930000000004</v>
      </c>
      <c r="L21" s="256">
        <v>78.34</v>
      </c>
      <c r="M21" s="256">
        <v>7.67</v>
      </c>
      <c r="N21" s="256">
        <v>7.54</v>
      </c>
      <c r="O21" s="256">
        <v>1158.97</v>
      </c>
      <c r="P21" s="266" t="s">
        <v>554</v>
      </c>
    </row>
    <row r="22" spans="1:16" s="152" customFormat="1" ht="11.1" customHeight="1">
      <c r="A22" s="219" t="s">
        <v>561</v>
      </c>
      <c r="B22" s="231">
        <v>3291.55</v>
      </c>
      <c r="C22" s="231">
        <v>0.02</v>
      </c>
      <c r="D22" s="231">
        <v>153.91</v>
      </c>
      <c r="E22" s="231">
        <v>7939.61</v>
      </c>
      <c r="F22" s="231">
        <v>6794.19</v>
      </c>
      <c r="G22" s="231">
        <v>4295.1899999999996</v>
      </c>
      <c r="H22" s="231">
        <v>3045.22</v>
      </c>
      <c r="I22" s="231">
        <v>942.34</v>
      </c>
      <c r="J22" s="231">
        <f>2.27+170.74+212.3</f>
        <v>385.31000000000006</v>
      </c>
      <c r="K22" s="231">
        <f>SUM(B22:J22)</f>
        <v>26847.34</v>
      </c>
      <c r="L22" s="231">
        <v>84.55</v>
      </c>
      <c r="M22" s="231">
        <v>8.3000000000000007</v>
      </c>
      <c r="N22" s="231">
        <v>8.59</v>
      </c>
      <c r="O22" s="231">
        <v>1137.2</v>
      </c>
      <c r="P22" s="191" t="s">
        <v>561</v>
      </c>
    </row>
    <row r="23" spans="1:16" s="152" customFormat="1" ht="11.1" customHeight="1">
      <c r="A23" s="526" t="s">
        <v>562</v>
      </c>
      <c r="B23" s="256">
        <v>3354.53</v>
      </c>
      <c r="C23" s="256">
        <v>0</v>
      </c>
      <c r="D23" s="256">
        <v>148.82</v>
      </c>
      <c r="E23" s="256">
        <v>7897.73</v>
      </c>
      <c r="F23" s="256">
        <v>8151.29</v>
      </c>
      <c r="G23" s="256">
        <v>4398.3500000000004</v>
      </c>
      <c r="H23" s="256">
        <v>3082.13</v>
      </c>
      <c r="I23" s="256">
        <v>1018.2</v>
      </c>
      <c r="J23" s="256">
        <f>0+92.92+207.87</f>
        <v>300.79000000000002</v>
      </c>
      <c r="K23" s="256">
        <f>SUM(B23:J23)</f>
        <v>28351.840000000004</v>
      </c>
      <c r="L23" s="256">
        <v>82.22</v>
      </c>
      <c r="M23" s="256">
        <v>11.14</v>
      </c>
      <c r="N23" s="256">
        <v>7.67</v>
      </c>
      <c r="O23" s="256">
        <v>1379.5</v>
      </c>
      <c r="P23" s="266" t="s">
        <v>562</v>
      </c>
    </row>
    <row r="24" spans="1:16" s="152" customFormat="1" ht="11.1" customHeight="1">
      <c r="A24" s="219" t="s">
        <v>555</v>
      </c>
      <c r="B24" s="231">
        <v>2975.63</v>
      </c>
      <c r="C24" s="231">
        <v>0</v>
      </c>
      <c r="D24" s="231">
        <v>141.52000000000001</v>
      </c>
      <c r="E24" s="231">
        <v>10376.280000000001</v>
      </c>
      <c r="F24" s="231">
        <v>6677.34</v>
      </c>
      <c r="G24" s="231">
        <v>3782.91</v>
      </c>
      <c r="H24" s="231">
        <v>2698.7</v>
      </c>
      <c r="I24" s="231">
        <v>868.95</v>
      </c>
      <c r="J24" s="231">
        <f>0.03+106.67+175.2</f>
        <v>281.89999999999998</v>
      </c>
      <c r="K24" s="231">
        <f>B24+C24+D24+E24+F24+G24+H24+I24+J24</f>
        <v>27803.230000000003</v>
      </c>
      <c r="L24" s="231">
        <v>80.08</v>
      </c>
      <c r="M24" s="231">
        <v>11.47</v>
      </c>
      <c r="N24" s="231">
        <v>6.96</v>
      </c>
      <c r="O24" s="231">
        <v>1310.52</v>
      </c>
      <c r="P24" s="191" t="s">
        <v>555</v>
      </c>
    </row>
    <row r="25" spans="1:16" s="152" customFormat="1" ht="11.1" customHeight="1">
      <c r="A25" s="526" t="s">
        <v>563</v>
      </c>
      <c r="B25" s="256">
        <v>3525.79</v>
      </c>
      <c r="C25" s="256">
        <v>0.01</v>
      </c>
      <c r="D25" s="256">
        <v>2235.58</v>
      </c>
      <c r="E25" s="256">
        <v>10828.56</v>
      </c>
      <c r="F25" s="256">
        <v>7376.37</v>
      </c>
      <c r="G25" s="256">
        <v>4197.1400000000003</v>
      </c>
      <c r="H25" s="256">
        <v>3582.81</v>
      </c>
      <c r="I25" s="256">
        <v>1117.52</v>
      </c>
      <c r="J25" s="256">
        <f>1.61+158.45+191.26</f>
        <v>351.32</v>
      </c>
      <c r="K25" s="256">
        <f>B25+C25+D25+E25+F25+G25+H25+I25+J25</f>
        <v>33215.1</v>
      </c>
      <c r="L25" s="256">
        <v>89.21</v>
      </c>
      <c r="M25" s="256">
        <v>11.74</v>
      </c>
      <c r="N25" s="256">
        <v>8.51</v>
      </c>
      <c r="O25" s="256">
        <v>1268.06</v>
      </c>
      <c r="P25" s="266" t="s">
        <v>563</v>
      </c>
    </row>
    <row r="26" spans="1:16" s="152" customFormat="1" ht="11.1" customHeight="1">
      <c r="A26" s="1238" t="s">
        <v>564</v>
      </c>
      <c r="B26" s="1163">
        <v>3128.78</v>
      </c>
      <c r="C26" s="1163">
        <v>0.01</v>
      </c>
      <c r="D26" s="1163">
        <v>452.71</v>
      </c>
      <c r="E26" s="1163">
        <v>8215.3799999999992</v>
      </c>
      <c r="F26" s="1163">
        <v>6596.68</v>
      </c>
      <c r="G26" s="1163">
        <v>3593.22</v>
      </c>
      <c r="H26" s="1163">
        <v>3340.35</v>
      </c>
      <c r="I26" s="1163">
        <v>942.77</v>
      </c>
      <c r="J26" s="1163">
        <f>1.64+279.98+199.91</f>
        <v>481.53</v>
      </c>
      <c r="K26" s="1163">
        <f>B26+C26+D26+E26+F26+G26+H26+I26+J26</f>
        <v>26751.429999999997</v>
      </c>
      <c r="L26" s="1163">
        <v>80.7</v>
      </c>
      <c r="M26" s="1163">
        <v>14.47</v>
      </c>
      <c r="N26" s="1163">
        <v>8.02</v>
      </c>
      <c r="O26" s="1163">
        <v>1320.59</v>
      </c>
      <c r="P26" s="1239" t="s">
        <v>564</v>
      </c>
    </row>
    <row r="27" spans="1:16" s="152" customFormat="1" ht="11.1" customHeight="1">
      <c r="A27" s="526" t="s">
        <v>556</v>
      </c>
      <c r="B27" s="256">
        <v>3563.57</v>
      </c>
      <c r="C27" s="256">
        <v>0</v>
      </c>
      <c r="D27" s="256">
        <v>220.11</v>
      </c>
      <c r="E27" s="256">
        <v>11762.7</v>
      </c>
      <c r="F27" s="256">
        <v>6798.42</v>
      </c>
      <c r="G27" s="256">
        <v>3983.03</v>
      </c>
      <c r="H27" s="256">
        <v>3665.46</v>
      </c>
      <c r="I27" s="256">
        <v>1142.3699999999999</v>
      </c>
      <c r="J27" s="256">
        <f>1.55+272.81+210.73</f>
        <v>485.09000000000003</v>
      </c>
      <c r="K27" s="256">
        <f>B27+C27+D27+E27+F27+G27+H27+I27+J27</f>
        <v>31620.75</v>
      </c>
      <c r="L27" s="256">
        <v>73.67</v>
      </c>
      <c r="M27" s="256">
        <v>14.52</v>
      </c>
      <c r="N27" s="256">
        <v>17.62</v>
      </c>
      <c r="O27" s="256">
        <v>1390.98</v>
      </c>
      <c r="P27" s="266" t="s">
        <v>556</v>
      </c>
    </row>
    <row r="28" spans="1:16" s="152" customFormat="1" ht="11.1" customHeight="1">
      <c r="A28" s="1238" t="s">
        <v>565</v>
      </c>
      <c r="B28" s="1163">
        <v>3324.82</v>
      </c>
      <c r="C28" s="1163">
        <v>0</v>
      </c>
      <c r="D28" s="1163">
        <v>188.86</v>
      </c>
      <c r="E28" s="1163">
        <v>8444.0300000000007</v>
      </c>
      <c r="F28" s="1163">
        <v>7681.02</v>
      </c>
      <c r="G28" s="1163">
        <v>4057.8</v>
      </c>
      <c r="H28" s="1163">
        <v>3638.39</v>
      </c>
      <c r="I28" s="1163">
        <v>876.93</v>
      </c>
      <c r="J28" s="1163">
        <f>0.76+196.99+240.78</f>
        <v>438.53</v>
      </c>
      <c r="K28" s="1163">
        <f t="shared" ref="K28:K50" si="2">B28+C28+D28+E28+F28+G28+H28+I28+J28</f>
        <v>28650.38</v>
      </c>
      <c r="L28" s="1163">
        <v>69.81</v>
      </c>
      <c r="M28" s="1163">
        <v>13.19</v>
      </c>
      <c r="N28" s="1163">
        <v>6.16</v>
      </c>
      <c r="O28" s="1163">
        <v>1009.42</v>
      </c>
      <c r="P28" s="1239" t="s">
        <v>565</v>
      </c>
    </row>
    <row r="29" spans="1:16" s="152" customFormat="1" ht="11.1" customHeight="1">
      <c r="A29" s="526" t="s">
        <v>566</v>
      </c>
      <c r="B29" s="256">
        <v>3597.27</v>
      </c>
      <c r="C29" s="256">
        <v>0.01</v>
      </c>
      <c r="D29" s="256">
        <v>116.41</v>
      </c>
      <c r="E29" s="256">
        <v>11733.69</v>
      </c>
      <c r="F29" s="256">
        <v>7860.1</v>
      </c>
      <c r="G29" s="256">
        <v>4382.3</v>
      </c>
      <c r="H29" s="256">
        <v>5850.07</v>
      </c>
      <c r="I29" s="256">
        <v>1058.6600000000001</v>
      </c>
      <c r="J29" s="256">
        <f>128.56+99.41+175.5</f>
        <v>403.47</v>
      </c>
      <c r="K29" s="256">
        <f t="shared" si="2"/>
        <v>35001.98000000001</v>
      </c>
      <c r="L29" s="256">
        <v>95.64</v>
      </c>
      <c r="M29" s="256">
        <v>9.98</v>
      </c>
      <c r="N29" s="256">
        <v>13.99</v>
      </c>
      <c r="O29" s="256">
        <v>1308.57</v>
      </c>
      <c r="P29" s="266" t="s">
        <v>566</v>
      </c>
    </row>
    <row r="30" spans="1:16" s="152" customFormat="1" ht="11.1" customHeight="1">
      <c r="A30" s="219" t="s">
        <v>557</v>
      </c>
      <c r="B30" s="231">
        <v>3465.73</v>
      </c>
      <c r="C30" s="231">
        <v>0</v>
      </c>
      <c r="D30" s="231">
        <v>185.14</v>
      </c>
      <c r="E30" s="231">
        <v>25865.15</v>
      </c>
      <c r="F30" s="231">
        <v>19834.13</v>
      </c>
      <c r="G30" s="231">
        <v>4855.55</v>
      </c>
      <c r="H30" s="231">
        <v>2893.7</v>
      </c>
      <c r="I30" s="231">
        <v>937.28</v>
      </c>
      <c r="J30" s="231">
        <f>0.01+82.67+182.55</f>
        <v>265.23</v>
      </c>
      <c r="K30" s="231">
        <f t="shared" si="2"/>
        <v>58301.91</v>
      </c>
      <c r="L30" s="231">
        <v>233.55</v>
      </c>
      <c r="M30" s="231">
        <v>17.809999999999999</v>
      </c>
      <c r="N30" s="231">
        <v>11.87</v>
      </c>
      <c r="O30" s="231">
        <v>1260.01</v>
      </c>
      <c r="P30" s="191" t="s">
        <v>557</v>
      </c>
    </row>
    <row r="31" spans="1:16" s="152" customFormat="1" ht="11.1" customHeight="1">
      <c r="A31" s="1052" t="s">
        <v>2439</v>
      </c>
      <c r="B31" s="295">
        <f>SUM(B32:B43)</f>
        <v>38077.460000000006</v>
      </c>
      <c r="C31" s="295">
        <f t="shared" ref="C31:J31" si="3">SUM(C32:C43)</f>
        <v>3</v>
      </c>
      <c r="D31" s="295">
        <f t="shared" si="3"/>
        <v>5370.9299999999994</v>
      </c>
      <c r="E31" s="295">
        <f t="shared" si="3"/>
        <v>126980.18000000001</v>
      </c>
      <c r="F31" s="295">
        <f t="shared" si="3"/>
        <v>86509.1</v>
      </c>
      <c r="G31" s="295">
        <f t="shared" si="3"/>
        <v>51003.740000000005</v>
      </c>
      <c r="H31" s="295">
        <f t="shared" si="3"/>
        <v>45540.33</v>
      </c>
      <c r="I31" s="295">
        <f t="shared" si="3"/>
        <v>11112.179999999998</v>
      </c>
      <c r="J31" s="295">
        <f t="shared" si="3"/>
        <v>6279.5</v>
      </c>
      <c r="K31" s="295">
        <f>SUM(K32:K43)</f>
        <v>370876.42</v>
      </c>
      <c r="L31" s="295">
        <f>SUM(L32:L43)</f>
        <v>1154.57</v>
      </c>
      <c r="M31" s="295">
        <f t="shared" ref="M31" si="4">SUM(M32:M43)</f>
        <v>109.294</v>
      </c>
      <c r="N31" s="295">
        <f>SUM(N32:N43)</f>
        <v>142.114</v>
      </c>
      <c r="O31" s="295">
        <f>SUM(O32:O43)</f>
        <v>12841.525000000001</v>
      </c>
      <c r="P31" s="268" t="s">
        <v>2439</v>
      </c>
    </row>
    <row r="32" spans="1:16" s="152" customFormat="1" ht="11.1" customHeight="1">
      <c r="A32" s="219" t="s">
        <v>559</v>
      </c>
      <c r="B32" s="231">
        <v>3182</v>
      </c>
      <c r="C32" s="231">
        <v>0</v>
      </c>
      <c r="D32" s="231">
        <v>149.49</v>
      </c>
      <c r="E32" s="231">
        <v>5027.3</v>
      </c>
      <c r="F32" s="231">
        <v>6463.57</v>
      </c>
      <c r="G32" s="231">
        <v>4151.45</v>
      </c>
      <c r="H32" s="231">
        <v>1618.2</v>
      </c>
      <c r="I32" s="231">
        <v>837.04</v>
      </c>
      <c r="J32" s="231">
        <f>1.64+338+147.39</f>
        <v>487.03</v>
      </c>
      <c r="K32" s="231">
        <f t="shared" si="2"/>
        <v>21916.080000000002</v>
      </c>
      <c r="L32" s="231">
        <v>69.930000000000007</v>
      </c>
      <c r="M32" s="231">
        <v>5.6070000000000002</v>
      </c>
      <c r="N32" s="231">
        <v>7.0549999999999997</v>
      </c>
      <c r="O32" s="231">
        <v>1161</v>
      </c>
      <c r="P32" s="191" t="s">
        <v>559</v>
      </c>
    </row>
    <row r="33" spans="1:18" s="152" customFormat="1" ht="11.1" customHeight="1">
      <c r="A33" s="526" t="s">
        <v>560</v>
      </c>
      <c r="B33" s="256">
        <v>2999.57</v>
      </c>
      <c r="C33" s="256">
        <v>0</v>
      </c>
      <c r="D33" s="256">
        <v>137.88</v>
      </c>
      <c r="E33" s="256">
        <v>6644.85</v>
      </c>
      <c r="F33" s="256">
        <v>5372.67</v>
      </c>
      <c r="G33" s="256">
        <v>4251.45</v>
      </c>
      <c r="H33" s="256">
        <v>2433</v>
      </c>
      <c r="I33" s="256">
        <v>756.47</v>
      </c>
      <c r="J33" s="256">
        <f>1.47+338.13+153.88</f>
        <v>493.48</v>
      </c>
      <c r="K33" s="256">
        <f t="shared" si="2"/>
        <v>23089.370000000003</v>
      </c>
      <c r="L33" s="256">
        <v>62.46</v>
      </c>
      <c r="M33" s="256">
        <v>8.2799999999999994</v>
      </c>
      <c r="N33" s="256">
        <v>5.4909999999999997</v>
      </c>
      <c r="O33" s="256">
        <v>995.33</v>
      </c>
      <c r="P33" s="266" t="s">
        <v>560</v>
      </c>
    </row>
    <row r="34" spans="1:18" s="152" customFormat="1" ht="11.1" customHeight="1">
      <c r="A34" s="219" t="s">
        <v>554</v>
      </c>
      <c r="B34" s="231">
        <v>3219.87</v>
      </c>
      <c r="C34" s="231">
        <v>0</v>
      </c>
      <c r="D34" s="231">
        <v>145.88</v>
      </c>
      <c r="E34" s="231">
        <v>11908.81</v>
      </c>
      <c r="F34" s="231">
        <v>6178.67</v>
      </c>
      <c r="G34" s="231">
        <v>4333.7700000000004</v>
      </c>
      <c r="H34" s="231">
        <v>3330.31</v>
      </c>
      <c r="I34" s="231">
        <v>903.85</v>
      </c>
      <c r="J34" s="231">
        <f>1.45+328.13+198.88</f>
        <v>528.46</v>
      </c>
      <c r="K34" s="231">
        <f t="shared" si="2"/>
        <v>30549.62</v>
      </c>
      <c r="L34" s="231">
        <v>85.18</v>
      </c>
      <c r="M34" s="231">
        <v>7.9690000000000003</v>
      </c>
      <c r="N34" s="231">
        <v>25.361000000000001</v>
      </c>
      <c r="O34" s="231">
        <v>1340.74</v>
      </c>
      <c r="P34" s="191" t="s">
        <v>554</v>
      </c>
      <c r="R34" s="224"/>
    </row>
    <row r="35" spans="1:18" s="152" customFormat="1" ht="11.1" customHeight="1">
      <c r="A35" s="526" t="s">
        <v>561</v>
      </c>
      <c r="B35" s="256">
        <v>3355.89</v>
      </c>
      <c r="C35" s="256">
        <v>0</v>
      </c>
      <c r="D35" s="256">
        <v>202.27</v>
      </c>
      <c r="E35" s="256">
        <v>8338.8700000000008</v>
      </c>
      <c r="F35" s="256">
        <v>6709.11</v>
      </c>
      <c r="G35" s="256">
        <v>4324.8</v>
      </c>
      <c r="H35" s="256">
        <v>3421</v>
      </c>
      <c r="I35" s="256">
        <v>927.8</v>
      </c>
      <c r="J35" s="256">
        <f>1.62+394.78+178.25</f>
        <v>574.65</v>
      </c>
      <c r="K35" s="256">
        <f t="shared" si="2"/>
        <v>27854.39</v>
      </c>
      <c r="L35" s="256">
        <v>86.7</v>
      </c>
      <c r="M35" s="256">
        <v>6.6929999999999996</v>
      </c>
      <c r="N35" s="256">
        <v>9.3740000000000006</v>
      </c>
      <c r="O35" s="256">
        <v>1311.27</v>
      </c>
      <c r="P35" s="266" t="s">
        <v>561</v>
      </c>
    </row>
    <row r="36" spans="1:18" s="152" customFormat="1" ht="11.1" customHeight="1">
      <c r="A36" s="219" t="s">
        <v>562</v>
      </c>
      <c r="B36" s="231">
        <v>2801.44</v>
      </c>
      <c r="C36" s="231">
        <v>0</v>
      </c>
      <c r="D36" s="231">
        <v>357</v>
      </c>
      <c r="E36" s="231">
        <v>8198.93</v>
      </c>
      <c r="F36" s="231">
        <v>6425.42</v>
      </c>
      <c r="G36" s="231">
        <v>3722.4</v>
      </c>
      <c r="H36" s="231">
        <v>3050</v>
      </c>
      <c r="I36" s="231">
        <v>945.45</v>
      </c>
      <c r="J36" s="231">
        <f>1+343+125.6</f>
        <v>469.6</v>
      </c>
      <c r="K36" s="231">
        <f t="shared" si="2"/>
        <v>25970.240000000002</v>
      </c>
      <c r="L36" s="231">
        <v>70.599999999999994</v>
      </c>
      <c r="M36" s="231">
        <v>8.7609999999999992</v>
      </c>
      <c r="N36" s="231">
        <v>11.776</v>
      </c>
      <c r="O36" s="231">
        <v>1192.6199999999999</v>
      </c>
      <c r="P36" s="191" t="s">
        <v>562</v>
      </c>
    </row>
    <row r="37" spans="1:18" s="152" customFormat="1" ht="11.1" customHeight="1">
      <c r="A37" s="526" t="s">
        <v>555</v>
      </c>
      <c r="B37" s="256">
        <v>3248.23</v>
      </c>
      <c r="C37" s="256">
        <v>3</v>
      </c>
      <c r="D37" s="256">
        <v>303</v>
      </c>
      <c r="E37" s="256">
        <v>12802.69</v>
      </c>
      <c r="F37" s="256">
        <v>7078.25</v>
      </c>
      <c r="G37" s="256">
        <v>4543</v>
      </c>
      <c r="H37" s="256">
        <v>3459</v>
      </c>
      <c r="I37" s="256">
        <v>982</v>
      </c>
      <c r="J37" s="256">
        <f>2+173.41+234.63</f>
        <v>410.03999999999996</v>
      </c>
      <c r="K37" s="256">
        <f t="shared" si="2"/>
        <v>32829.21</v>
      </c>
      <c r="L37" s="256">
        <v>11.9</v>
      </c>
      <c r="M37" s="256">
        <v>10.862</v>
      </c>
      <c r="N37" s="256">
        <v>11.019</v>
      </c>
      <c r="O37" s="256">
        <v>1285.6600000000001</v>
      </c>
      <c r="P37" s="266" t="s">
        <v>555</v>
      </c>
    </row>
    <row r="38" spans="1:18" s="152" customFormat="1" ht="11.1" customHeight="1">
      <c r="A38" s="219" t="s">
        <v>563</v>
      </c>
      <c r="B38" s="231">
        <v>3316.15</v>
      </c>
      <c r="C38" s="231">
        <v>0</v>
      </c>
      <c r="D38" s="231">
        <v>2568.4499999999998</v>
      </c>
      <c r="E38" s="231">
        <v>12090.06</v>
      </c>
      <c r="F38" s="231">
        <v>7435.29</v>
      </c>
      <c r="G38" s="231">
        <v>4385.42</v>
      </c>
      <c r="H38" s="231">
        <v>4177.4799999999996</v>
      </c>
      <c r="I38" s="231">
        <v>992.57</v>
      </c>
      <c r="J38" s="231">
        <f>1.67+711.42+202.57</f>
        <v>915.65999999999985</v>
      </c>
      <c r="K38" s="231">
        <f t="shared" si="2"/>
        <v>35881.08</v>
      </c>
      <c r="L38" s="231">
        <v>78.400000000000006</v>
      </c>
      <c r="M38" s="231">
        <v>12.86</v>
      </c>
      <c r="N38" s="231">
        <v>16.649000000000001</v>
      </c>
      <c r="O38" s="231">
        <v>1337.42</v>
      </c>
      <c r="P38" s="191" t="s">
        <v>563</v>
      </c>
    </row>
    <row r="39" spans="1:18" s="152" customFormat="1" ht="11.1" customHeight="1">
      <c r="A39" s="526" t="s">
        <v>564</v>
      </c>
      <c r="B39" s="256">
        <v>3025.68</v>
      </c>
      <c r="C39" s="256">
        <v>0</v>
      </c>
      <c r="D39" s="256">
        <v>735.25</v>
      </c>
      <c r="E39" s="256">
        <v>9097.85</v>
      </c>
      <c r="F39" s="256">
        <v>6609.69</v>
      </c>
      <c r="G39" s="256">
        <v>3756.55</v>
      </c>
      <c r="H39" s="256">
        <v>3450.7</v>
      </c>
      <c r="I39" s="256">
        <v>1122</v>
      </c>
      <c r="J39" s="256">
        <f>1.1+269.25+187.46</f>
        <v>457.81000000000006</v>
      </c>
      <c r="K39" s="256">
        <f t="shared" si="2"/>
        <v>28255.530000000002</v>
      </c>
      <c r="L39" s="256">
        <v>77.900000000000006</v>
      </c>
      <c r="M39" s="256">
        <v>10.831</v>
      </c>
      <c r="N39" s="256">
        <v>11.448</v>
      </c>
      <c r="O39" s="256">
        <v>1485.73</v>
      </c>
      <c r="P39" s="266" t="s">
        <v>564</v>
      </c>
    </row>
    <row r="40" spans="1:18" s="152" customFormat="1" ht="11.1" customHeight="1">
      <c r="A40" s="1182" t="s">
        <v>556</v>
      </c>
      <c r="B40" s="485">
        <v>3161.12</v>
      </c>
      <c r="C40" s="485">
        <v>0</v>
      </c>
      <c r="D40" s="485">
        <v>226</v>
      </c>
      <c r="E40" s="485">
        <v>12809</v>
      </c>
      <c r="F40" s="485">
        <v>7310.55</v>
      </c>
      <c r="G40" s="485">
        <v>4090.54</v>
      </c>
      <c r="H40" s="485">
        <v>3551</v>
      </c>
      <c r="I40" s="485">
        <v>1094.53</v>
      </c>
      <c r="J40" s="485">
        <f>1+216+189.67</f>
        <v>406.66999999999996</v>
      </c>
      <c r="K40" s="485">
        <f t="shared" si="2"/>
        <v>32649.409999999996</v>
      </c>
      <c r="L40" s="485">
        <v>75.099999999999994</v>
      </c>
      <c r="M40" s="485">
        <v>9.3030000000000008</v>
      </c>
      <c r="N40" s="485">
        <v>12.815</v>
      </c>
      <c r="O40" s="485">
        <v>1213.76</v>
      </c>
      <c r="P40" s="1333" t="s">
        <v>556</v>
      </c>
    </row>
    <row r="41" spans="1:18" s="152" customFormat="1" ht="11.1" customHeight="1">
      <c r="A41" s="1381" t="s">
        <v>565</v>
      </c>
      <c r="B41" s="785">
        <v>3411.45</v>
      </c>
      <c r="C41" s="785">
        <v>0</v>
      </c>
      <c r="D41" s="785">
        <v>188.19</v>
      </c>
      <c r="E41" s="785">
        <v>9521.7999999999993</v>
      </c>
      <c r="F41" s="785">
        <v>8544.65</v>
      </c>
      <c r="G41" s="785">
        <v>4627.57</v>
      </c>
      <c r="H41" s="785">
        <v>8979.68</v>
      </c>
      <c r="I41" s="785">
        <v>896.3</v>
      </c>
      <c r="J41" s="785">
        <f>1+259+174.5</f>
        <v>434.5</v>
      </c>
      <c r="K41" s="785">
        <f t="shared" si="2"/>
        <v>36604.14</v>
      </c>
      <c r="L41" s="785">
        <v>102.8</v>
      </c>
      <c r="M41" s="785">
        <v>9.3889999999999993</v>
      </c>
      <c r="N41" s="785">
        <v>8.0370000000000008</v>
      </c>
      <c r="O41" s="785">
        <v>1228.3699999999999</v>
      </c>
      <c r="P41" s="1382" t="s">
        <v>565</v>
      </c>
    </row>
    <row r="42" spans="1:18" s="152" customFormat="1" ht="11.1" customHeight="1">
      <c r="A42" s="1182" t="s">
        <v>566</v>
      </c>
      <c r="B42" s="485">
        <v>3563.65</v>
      </c>
      <c r="C42" s="485">
        <v>0</v>
      </c>
      <c r="D42" s="485">
        <v>160.52000000000001</v>
      </c>
      <c r="E42" s="485">
        <v>9179.02</v>
      </c>
      <c r="F42" s="485">
        <v>7161.23</v>
      </c>
      <c r="G42" s="485">
        <v>4948.58</v>
      </c>
      <c r="H42" s="485">
        <v>5603.96</v>
      </c>
      <c r="I42" s="485">
        <v>949</v>
      </c>
      <c r="J42" s="485">
        <f>1+449.1+168.73</f>
        <v>618.83000000000004</v>
      </c>
      <c r="K42" s="485">
        <f t="shared" si="2"/>
        <v>32184.79</v>
      </c>
      <c r="L42" s="485">
        <v>132</v>
      </c>
      <c r="M42" s="485">
        <v>9.7739999999999991</v>
      </c>
      <c r="N42" s="485">
        <v>10.795</v>
      </c>
      <c r="O42" s="485">
        <v>155.50399999999999</v>
      </c>
      <c r="P42" s="1333" t="s">
        <v>566</v>
      </c>
    </row>
    <row r="43" spans="1:18" s="152" customFormat="1" ht="11.1" customHeight="1">
      <c r="A43" s="1381" t="s">
        <v>557</v>
      </c>
      <c r="B43" s="785">
        <v>2792.41</v>
      </c>
      <c r="C43" s="785">
        <v>0</v>
      </c>
      <c r="D43" s="785">
        <v>197</v>
      </c>
      <c r="E43" s="785">
        <v>21361</v>
      </c>
      <c r="F43" s="785">
        <v>11220</v>
      </c>
      <c r="G43" s="785">
        <v>3868.21</v>
      </c>
      <c r="H43" s="785">
        <v>2466</v>
      </c>
      <c r="I43" s="785">
        <v>705.17</v>
      </c>
      <c r="J43" s="785">
        <f>0.77+330+152</f>
        <v>482.77</v>
      </c>
      <c r="K43" s="785">
        <f t="shared" si="2"/>
        <v>43092.56</v>
      </c>
      <c r="L43" s="785">
        <v>301.60000000000002</v>
      </c>
      <c r="M43" s="785">
        <v>8.9649999999999999</v>
      </c>
      <c r="N43" s="785">
        <v>12.294</v>
      </c>
      <c r="O43" s="785">
        <v>134.12100000000001</v>
      </c>
      <c r="P43" s="1382" t="s">
        <v>557</v>
      </c>
    </row>
    <row r="44" spans="1:18" s="152" customFormat="1" ht="12" customHeight="1">
      <c r="A44" s="100" t="s">
        <v>2663</v>
      </c>
      <c r="B44" s="302">
        <f>SUM(B45:B56)</f>
        <v>35383.760000000002</v>
      </c>
      <c r="C44" s="302">
        <f t="shared" ref="C44:J44" si="5">SUM(C45:C56)</f>
        <v>0</v>
      </c>
      <c r="D44" s="302">
        <f t="shared" si="5"/>
        <v>5201.76</v>
      </c>
      <c r="E44" s="302">
        <f t="shared" si="5"/>
        <v>142961.85</v>
      </c>
      <c r="F44" s="302">
        <f t="shared" si="5"/>
        <v>96251.45</v>
      </c>
      <c r="G44" s="302">
        <f t="shared" si="5"/>
        <v>60772</v>
      </c>
      <c r="H44" s="302">
        <f t="shared" si="5"/>
        <v>52326</v>
      </c>
      <c r="I44" s="302">
        <f t="shared" si="5"/>
        <v>11574.8</v>
      </c>
      <c r="J44" s="302">
        <f t="shared" si="5"/>
        <v>5802.5599999999995</v>
      </c>
      <c r="K44" s="302">
        <f>SUM(K45:K56)</f>
        <v>410274.18</v>
      </c>
      <c r="L44" s="485"/>
      <c r="M44" s="485"/>
      <c r="N44" s="485"/>
      <c r="O44" s="485"/>
      <c r="P44" s="421" t="s">
        <v>2663</v>
      </c>
    </row>
    <row r="45" spans="1:18" s="152" customFormat="1" ht="11.1" customHeight="1">
      <c r="A45" s="526" t="s">
        <v>559</v>
      </c>
      <c r="B45" s="785">
        <v>3518.76</v>
      </c>
      <c r="C45" s="785">
        <v>0</v>
      </c>
      <c r="D45" s="785">
        <v>161</v>
      </c>
      <c r="E45" s="785">
        <v>6132.54</v>
      </c>
      <c r="F45" s="785">
        <v>6930</v>
      </c>
      <c r="G45" s="785">
        <v>5263</v>
      </c>
      <c r="H45" s="785">
        <v>4027</v>
      </c>
      <c r="I45" s="785">
        <v>820.8</v>
      </c>
      <c r="J45" s="785">
        <f>235+168.43+0</f>
        <v>403.43</v>
      </c>
      <c r="K45" s="785">
        <f t="shared" si="2"/>
        <v>27256.53</v>
      </c>
      <c r="L45" s="785">
        <v>89.49</v>
      </c>
      <c r="M45" s="785">
        <v>6.3360000000000003</v>
      </c>
      <c r="N45" s="785">
        <v>9.9550000000000001</v>
      </c>
      <c r="O45" s="785">
        <v>141.001</v>
      </c>
      <c r="P45" s="266" t="s">
        <v>559</v>
      </c>
    </row>
    <row r="46" spans="1:18" s="152" customFormat="1" ht="11.1" customHeight="1">
      <c r="A46" s="219" t="s">
        <v>560</v>
      </c>
      <c r="B46" s="485">
        <v>2779</v>
      </c>
      <c r="C46" s="485">
        <v>0</v>
      </c>
      <c r="D46" s="485">
        <v>201</v>
      </c>
      <c r="E46" s="485">
        <v>8247</v>
      </c>
      <c r="F46" s="485">
        <v>6819</v>
      </c>
      <c r="G46" s="485">
        <v>3982</v>
      </c>
      <c r="H46" s="485">
        <v>3808</v>
      </c>
      <c r="I46" s="485">
        <v>886</v>
      </c>
      <c r="J46" s="485">
        <f>0+256+196</f>
        <v>452</v>
      </c>
      <c r="K46" s="485">
        <f t="shared" si="2"/>
        <v>27174</v>
      </c>
      <c r="L46" s="485">
        <v>90.13</v>
      </c>
      <c r="M46" s="485">
        <v>9.1479999999999997</v>
      </c>
      <c r="N46" s="485">
        <v>9.8550000000000004</v>
      </c>
      <c r="O46" s="485">
        <v>158.82599999999999</v>
      </c>
      <c r="P46" s="191" t="s">
        <v>560</v>
      </c>
    </row>
    <row r="47" spans="1:18" s="152" customFormat="1" ht="11.1" customHeight="1">
      <c r="A47" s="526" t="s">
        <v>554</v>
      </c>
      <c r="B47" s="785">
        <v>3490</v>
      </c>
      <c r="C47" s="785">
        <v>0</v>
      </c>
      <c r="D47" s="785">
        <v>199</v>
      </c>
      <c r="E47" s="785">
        <v>13367.76</v>
      </c>
      <c r="F47" s="785">
        <v>7575</v>
      </c>
      <c r="G47" s="785">
        <v>5624</v>
      </c>
      <c r="H47" s="785">
        <v>4332</v>
      </c>
      <c r="I47" s="785">
        <v>1167</v>
      </c>
      <c r="J47" s="785">
        <f>0+452.24+202</f>
        <v>654.24</v>
      </c>
      <c r="K47" s="785">
        <f t="shared" si="2"/>
        <v>36409</v>
      </c>
      <c r="L47" s="785">
        <v>85.7</v>
      </c>
      <c r="M47" s="785">
        <v>9.6180000000000003</v>
      </c>
      <c r="N47" s="785">
        <v>9.0530000000000008</v>
      </c>
      <c r="O47" s="785">
        <v>181.38499999999999</v>
      </c>
      <c r="P47" s="266" t="s">
        <v>554</v>
      </c>
    </row>
    <row r="48" spans="1:18" s="152" customFormat="1" ht="11.1" customHeight="1">
      <c r="A48" s="219" t="s">
        <v>561</v>
      </c>
      <c r="B48" s="485">
        <v>2455</v>
      </c>
      <c r="C48" s="485">
        <v>0</v>
      </c>
      <c r="D48" s="485">
        <v>213.76</v>
      </c>
      <c r="E48" s="485">
        <v>9164</v>
      </c>
      <c r="F48" s="485">
        <v>7109</v>
      </c>
      <c r="G48" s="485">
        <v>3835</v>
      </c>
      <c r="H48" s="485">
        <v>4112</v>
      </c>
      <c r="I48" s="485">
        <v>962</v>
      </c>
      <c r="J48" s="485">
        <f>0+449+214.89</f>
        <v>663.89</v>
      </c>
      <c r="K48" s="485">
        <f t="shared" si="2"/>
        <v>28514.65</v>
      </c>
      <c r="L48" s="485">
        <v>88.1</v>
      </c>
      <c r="M48" s="485">
        <v>10.666</v>
      </c>
      <c r="N48" s="485">
        <v>19.512</v>
      </c>
      <c r="O48" s="485">
        <v>142.40600000000001</v>
      </c>
      <c r="P48" s="191" t="s">
        <v>561</v>
      </c>
    </row>
    <row r="49" spans="1:16" ht="11.1" customHeight="1">
      <c r="A49" s="526" t="s">
        <v>562</v>
      </c>
      <c r="B49" s="785">
        <v>2678</v>
      </c>
      <c r="C49" s="785">
        <v>0</v>
      </c>
      <c r="D49" s="785">
        <v>211</v>
      </c>
      <c r="E49" s="785">
        <v>9989</v>
      </c>
      <c r="F49" s="785">
        <v>7153.45</v>
      </c>
      <c r="G49" s="785">
        <v>4562</v>
      </c>
      <c r="H49" s="785">
        <v>3785</v>
      </c>
      <c r="I49" s="785">
        <v>890</v>
      </c>
      <c r="J49" s="785">
        <f>0+203+213</f>
        <v>416</v>
      </c>
      <c r="K49" s="785">
        <f t="shared" si="2"/>
        <v>29684.45</v>
      </c>
      <c r="L49" s="785">
        <v>66.08</v>
      </c>
      <c r="M49" s="785">
        <v>11.515000000000001</v>
      </c>
      <c r="N49" s="785">
        <v>9.1560000000000006</v>
      </c>
      <c r="O49" s="785">
        <v>183.45699999999999</v>
      </c>
      <c r="P49" s="266" t="s">
        <v>562</v>
      </c>
    </row>
    <row r="50" spans="1:16" ht="11.1" customHeight="1">
      <c r="A50" s="1524" t="s">
        <v>555</v>
      </c>
      <c r="B50" s="485">
        <v>3137</v>
      </c>
      <c r="C50" s="485">
        <v>0</v>
      </c>
      <c r="D50" s="485">
        <v>208</v>
      </c>
      <c r="E50" s="485">
        <v>13775</v>
      </c>
      <c r="F50" s="485">
        <v>8066</v>
      </c>
      <c r="G50" s="485">
        <v>5873</v>
      </c>
      <c r="H50" s="485">
        <v>3738</v>
      </c>
      <c r="I50" s="485">
        <v>940</v>
      </c>
      <c r="J50" s="485">
        <f>0+249+210</f>
        <v>459</v>
      </c>
      <c r="K50" s="485">
        <f t="shared" si="2"/>
        <v>36196</v>
      </c>
      <c r="L50" s="485">
        <v>38.590000000000003</v>
      </c>
      <c r="M50" s="485">
        <v>11.677</v>
      </c>
      <c r="N50" s="485">
        <v>9.3469999999999995</v>
      </c>
      <c r="O50" s="485" t="s">
        <v>292</v>
      </c>
      <c r="P50" s="191" t="s">
        <v>555</v>
      </c>
    </row>
    <row r="51" spans="1:16" ht="11.1" customHeight="1">
      <c r="A51" s="1550" t="s">
        <v>563</v>
      </c>
      <c r="B51" s="785">
        <v>2694</v>
      </c>
      <c r="C51" s="785">
        <v>0</v>
      </c>
      <c r="D51" s="785">
        <v>2599</v>
      </c>
      <c r="E51" s="785">
        <v>12966</v>
      </c>
      <c r="F51" s="785">
        <v>7808</v>
      </c>
      <c r="G51" s="785">
        <v>4519</v>
      </c>
      <c r="H51" s="785">
        <v>4641</v>
      </c>
      <c r="I51" s="785">
        <v>975</v>
      </c>
      <c r="J51" s="785">
        <f>0+229+209</f>
        <v>438</v>
      </c>
      <c r="K51" s="785">
        <f t="shared" ref="K51:K56" si="6">B51+C51+D51+E51+F51+G51+H51+I51+J51</f>
        <v>36640</v>
      </c>
      <c r="L51" s="785" t="s">
        <v>292</v>
      </c>
      <c r="M51" s="785">
        <v>14.589</v>
      </c>
      <c r="N51" s="785">
        <v>10.696999999999999</v>
      </c>
      <c r="O51" s="785" t="s">
        <v>292</v>
      </c>
      <c r="P51" s="266" t="s">
        <v>563</v>
      </c>
    </row>
    <row r="52" spans="1:16" ht="11.1" customHeight="1">
      <c r="A52" s="1524" t="s">
        <v>564</v>
      </c>
      <c r="B52" s="485">
        <v>2597</v>
      </c>
      <c r="C52" s="485">
        <v>0</v>
      </c>
      <c r="D52" s="485">
        <v>478</v>
      </c>
      <c r="E52" s="485">
        <v>9858</v>
      </c>
      <c r="F52" s="485">
        <v>7304</v>
      </c>
      <c r="G52" s="485">
        <v>4826</v>
      </c>
      <c r="H52" s="485">
        <v>3545</v>
      </c>
      <c r="I52" s="485">
        <v>1098</v>
      </c>
      <c r="J52" s="485">
        <f>0+186+220</f>
        <v>406</v>
      </c>
      <c r="K52" s="485">
        <f t="shared" si="6"/>
        <v>30112</v>
      </c>
      <c r="L52" s="485" t="s">
        <v>292</v>
      </c>
      <c r="M52" s="485">
        <v>92.055000000000007</v>
      </c>
      <c r="N52" s="485">
        <v>14.9</v>
      </c>
      <c r="O52" s="485" t="s">
        <v>292</v>
      </c>
      <c r="P52" s="191" t="s">
        <v>564</v>
      </c>
    </row>
    <row r="53" spans="1:16" ht="11.1" customHeight="1">
      <c r="A53" s="1550" t="s">
        <v>556</v>
      </c>
      <c r="B53" s="785">
        <v>2454</v>
      </c>
      <c r="C53" s="785">
        <v>0</v>
      </c>
      <c r="D53" s="785">
        <v>207</v>
      </c>
      <c r="E53" s="785">
        <v>13170.55</v>
      </c>
      <c r="F53" s="785">
        <v>7672</v>
      </c>
      <c r="G53" s="785">
        <v>4341</v>
      </c>
      <c r="H53" s="785">
        <v>3595</v>
      </c>
      <c r="I53" s="785">
        <v>1048</v>
      </c>
      <c r="J53" s="785">
        <f>0+381+188</f>
        <v>569</v>
      </c>
      <c r="K53" s="785">
        <f t="shared" si="6"/>
        <v>33056.550000000003</v>
      </c>
      <c r="L53" s="785" t="s">
        <v>292</v>
      </c>
      <c r="M53" s="785">
        <v>10.843999999999999</v>
      </c>
      <c r="N53" s="785">
        <v>49.3</v>
      </c>
      <c r="O53" s="785" t="s">
        <v>292</v>
      </c>
      <c r="P53" s="266" t="s">
        <v>556</v>
      </c>
    </row>
    <row r="54" spans="1:16" s="1637" customFormat="1" ht="11.1" customHeight="1">
      <c r="A54" s="1524" t="s">
        <v>565</v>
      </c>
      <c r="B54" s="485">
        <v>3310</v>
      </c>
      <c r="C54" s="485">
        <v>0</v>
      </c>
      <c r="D54" s="485">
        <v>190</v>
      </c>
      <c r="E54" s="485">
        <v>10991</v>
      </c>
      <c r="F54" s="485">
        <v>9207</v>
      </c>
      <c r="G54" s="485">
        <v>5833</v>
      </c>
      <c r="H54" s="485">
        <v>7796</v>
      </c>
      <c r="I54" s="485">
        <v>1017</v>
      </c>
      <c r="J54" s="485">
        <f>0+210+127</f>
        <v>337</v>
      </c>
      <c r="K54" s="485">
        <f t="shared" si="6"/>
        <v>38681</v>
      </c>
      <c r="L54" s="485" t="s">
        <v>292</v>
      </c>
      <c r="M54" s="485">
        <v>9.9049999999999994</v>
      </c>
      <c r="N54" s="485">
        <v>11.1</v>
      </c>
      <c r="O54" s="485" t="s">
        <v>292</v>
      </c>
      <c r="P54" s="191" t="s">
        <v>565</v>
      </c>
    </row>
    <row r="55" spans="1:16" ht="11.1" customHeight="1">
      <c r="A55" s="1550" t="s">
        <v>566</v>
      </c>
      <c r="B55" s="785">
        <v>2522</v>
      </c>
      <c r="C55" s="785">
        <v>0</v>
      </c>
      <c r="D55" s="785">
        <v>194</v>
      </c>
      <c r="E55" s="785">
        <v>11042</v>
      </c>
      <c r="F55" s="785">
        <v>7822</v>
      </c>
      <c r="G55" s="785">
        <v>4849</v>
      </c>
      <c r="H55" s="785">
        <v>5096</v>
      </c>
      <c r="I55" s="785">
        <v>854</v>
      </c>
      <c r="J55" s="785">
        <f>0+243+144</f>
        <v>387</v>
      </c>
      <c r="K55" s="785">
        <f t="shared" si="6"/>
        <v>32766</v>
      </c>
      <c r="L55" s="785" t="s">
        <v>292</v>
      </c>
      <c r="M55" s="785" t="s">
        <v>292</v>
      </c>
      <c r="N55" s="785" t="s">
        <v>292</v>
      </c>
      <c r="O55" s="785" t="s">
        <v>292</v>
      </c>
      <c r="P55" s="266" t="s">
        <v>566</v>
      </c>
    </row>
    <row r="56" spans="1:16" ht="11.25" customHeight="1" thickBot="1">
      <c r="A56" s="1717" t="s">
        <v>557</v>
      </c>
      <c r="B56" s="1413">
        <v>3749</v>
      </c>
      <c r="C56" s="1413">
        <v>0</v>
      </c>
      <c r="D56" s="1413">
        <v>340</v>
      </c>
      <c r="E56" s="1413">
        <v>24259</v>
      </c>
      <c r="F56" s="1413">
        <v>12786</v>
      </c>
      <c r="G56" s="1413">
        <v>7265</v>
      </c>
      <c r="H56" s="1413">
        <v>3851</v>
      </c>
      <c r="I56" s="1413">
        <v>917</v>
      </c>
      <c r="J56" s="1413">
        <f>0+401+216</f>
        <v>617</v>
      </c>
      <c r="K56" s="1413">
        <f t="shared" si="6"/>
        <v>53784</v>
      </c>
      <c r="L56" s="1413" t="s">
        <v>292</v>
      </c>
      <c r="M56" s="1413" t="s">
        <v>292</v>
      </c>
      <c r="N56" s="1413" t="s">
        <v>292</v>
      </c>
      <c r="O56" s="1413" t="s">
        <v>292</v>
      </c>
      <c r="P56" s="1718" t="s">
        <v>557</v>
      </c>
    </row>
    <row r="57" spans="1:16">
      <c r="A57" s="112" t="s">
        <v>1993</v>
      </c>
      <c r="B57" s="85"/>
      <c r="C57" s="85"/>
      <c r="D57" s="85"/>
      <c r="E57" s="85"/>
      <c r="F57" s="581"/>
      <c r="G57" s="581"/>
      <c r="H57" s="9"/>
      <c r="I57" s="9"/>
      <c r="J57" s="8"/>
      <c r="K57" s="8"/>
      <c r="L57" s="8"/>
      <c r="M57" s="8"/>
      <c r="N57" s="8"/>
      <c r="O57" s="85"/>
      <c r="P57" s="85"/>
    </row>
    <row r="58" spans="1:16">
      <c r="A58" s="85" t="s">
        <v>1992</v>
      </c>
      <c r="B58" s="85"/>
      <c r="E58" s="29"/>
      <c r="F58" s="29"/>
      <c r="G58" s="8"/>
      <c r="H58" s="29"/>
      <c r="L58" s="8"/>
      <c r="O58" s="85"/>
      <c r="P58" s="85"/>
    </row>
    <row r="59" spans="1:16">
      <c r="B59" s="428"/>
      <c r="C59" s="428"/>
      <c r="D59" s="428"/>
      <c r="E59" s="428"/>
      <c r="F59" s="83"/>
      <c r="G59" s="428"/>
      <c r="H59" s="428"/>
      <c r="L59" s="428"/>
    </row>
    <row r="60" spans="1:16">
      <c r="F60" s="83"/>
      <c r="J60" s="428"/>
      <c r="K60" s="428"/>
      <c r="M60" s="428"/>
    </row>
    <row r="61" spans="1:16">
      <c r="F61" s="83"/>
      <c r="J61" s="428"/>
      <c r="L61" s="428"/>
      <c r="M61" s="428"/>
    </row>
    <row r="62" spans="1:16">
      <c r="B62" s="428"/>
      <c r="C62" s="428"/>
      <c r="D62" s="428"/>
      <c r="E62" s="428"/>
      <c r="F62" s="83"/>
      <c r="G62" s="428"/>
      <c r="H62" s="428"/>
      <c r="I62" s="428"/>
      <c r="J62" s="428"/>
      <c r="K62" s="231"/>
      <c r="L62" s="428"/>
      <c r="M62" s="428"/>
    </row>
    <row r="63" spans="1:16">
      <c r="B63" s="428"/>
      <c r="C63" s="428"/>
      <c r="D63" s="428"/>
      <c r="E63" s="428"/>
      <c r="F63" s="83"/>
      <c r="G63" s="428"/>
      <c r="H63" s="428"/>
      <c r="I63" s="428"/>
      <c r="J63" s="428"/>
      <c r="K63" s="231"/>
      <c r="L63" s="428"/>
      <c r="M63" s="428"/>
    </row>
    <row r="64" spans="1:16">
      <c r="F64" s="83"/>
      <c r="J64" s="428"/>
      <c r="K64" s="231"/>
      <c r="L64" s="428"/>
      <c r="M64" s="428"/>
    </row>
    <row r="65" spans="2:13">
      <c r="F65" s="83"/>
      <c r="J65" s="428"/>
      <c r="K65" s="231"/>
      <c r="L65" s="428"/>
      <c r="M65" s="428"/>
    </row>
    <row r="66" spans="2:13">
      <c r="F66" s="83"/>
      <c r="K66" s="231"/>
      <c r="L66" s="428"/>
      <c r="M66" s="428"/>
    </row>
    <row r="67" spans="2:13">
      <c r="B67" s="428"/>
      <c r="C67" s="428"/>
      <c r="D67" s="428"/>
      <c r="E67" s="428"/>
      <c r="F67" s="83"/>
      <c r="G67" s="428"/>
      <c r="H67" s="428"/>
      <c r="I67" s="428"/>
      <c r="J67" s="428"/>
      <c r="K67" s="231"/>
      <c r="L67" s="428"/>
    </row>
    <row r="68" spans="2:13">
      <c r="B68" s="428"/>
      <c r="C68" s="428"/>
      <c r="D68" s="428"/>
      <c r="E68" s="428"/>
      <c r="F68" s="428"/>
      <c r="G68" s="428"/>
      <c r="H68" s="428"/>
      <c r="I68" s="428"/>
      <c r="J68" s="428"/>
      <c r="K68" s="231"/>
      <c r="L68" s="428"/>
    </row>
    <row r="69" spans="2:13">
      <c r="B69" s="428"/>
      <c r="C69" s="428"/>
      <c r="D69" s="428"/>
      <c r="E69" s="428"/>
      <c r="F69" s="428"/>
      <c r="G69" s="428"/>
      <c r="H69" s="428"/>
      <c r="I69" s="428"/>
      <c r="J69" s="428"/>
      <c r="K69" s="231"/>
      <c r="L69" s="428"/>
    </row>
    <row r="70" spans="2:13">
      <c r="B70" s="428"/>
      <c r="C70" s="428"/>
      <c r="D70" s="428"/>
      <c r="E70" s="428"/>
      <c r="F70" s="428"/>
      <c r="G70" s="428"/>
      <c r="H70" s="428"/>
      <c r="I70" s="428"/>
      <c r="J70" s="428"/>
      <c r="K70" s="428"/>
      <c r="L70" s="428"/>
    </row>
    <row r="71" spans="2:13">
      <c r="B71" s="428"/>
      <c r="C71" s="428"/>
      <c r="D71" s="428"/>
      <c r="E71" s="428"/>
      <c r="F71" s="428"/>
      <c r="G71" s="428"/>
      <c r="H71" s="428"/>
      <c r="I71" s="428"/>
      <c r="J71" s="428"/>
      <c r="K71" s="428"/>
    </row>
    <row r="72" spans="2:13">
      <c r="B72" s="428"/>
      <c r="C72" s="428"/>
      <c r="D72" s="428"/>
      <c r="E72" s="428"/>
      <c r="F72" s="428"/>
      <c r="G72" s="428"/>
      <c r="H72" s="428"/>
      <c r="I72" s="428"/>
      <c r="J72" s="428"/>
    </row>
  </sheetData>
  <customSheetViews>
    <customSheetView guid="{A374FC54-96E3-45F0-9C12-8450400C12DF}" scale="150">
      <pane xSplit="1" ySplit="5" topLeftCell="G36" activePane="bottomRight" state="frozen"/>
      <selection pane="bottomRight" activeCell="J49" sqref="J49"/>
      <pageMargins left="0.59055118110236204" right="0.511811023622047" top="0.511811023622047" bottom="0.511811023622047" header="0" footer="0.35433070866141703"/>
      <pageSetup paperSize="132" firstPageNumber="102" orientation="portrait" useFirstPageNumber="1" r:id="rId1"/>
      <headerFooter alignWithMargins="0">
        <oddFooter>&amp;C&amp;"Times New Roman,Regular"&amp;8&amp;P</oddFooter>
      </headerFooter>
    </customSheetView>
  </customSheetViews>
  <mergeCells count="21">
    <mergeCell ref="A1:I1"/>
    <mergeCell ref="O1:P1"/>
    <mergeCell ref="A3:A5"/>
    <mergeCell ref="E4:E5"/>
    <mergeCell ref="B4:B5"/>
    <mergeCell ref="F4:G4"/>
    <mergeCell ref="L3:O3"/>
    <mergeCell ref="P3:P5"/>
    <mergeCell ref="J1:N1"/>
    <mergeCell ref="O2:P2"/>
    <mergeCell ref="J3:K3"/>
    <mergeCell ref="B3:I3"/>
    <mergeCell ref="N4:N5"/>
    <mergeCell ref="O4:O5"/>
    <mergeCell ref="J4:J5"/>
    <mergeCell ref="C4:C5"/>
    <mergeCell ref="H4:I4"/>
    <mergeCell ref="D4:D5"/>
    <mergeCell ref="L4:L5"/>
    <mergeCell ref="K4:K5"/>
    <mergeCell ref="M4:M5"/>
  </mergeCells>
  <phoneticPr fontId="0" type="noConversion"/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sheetPr codeName="Sheet37"/>
  <dimension ref="A1:V57"/>
  <sheetViews>
    <sheetView zoomScale="120" zoomScaleNormal="120" zoomScaleSheetLayoutView="90" workbookViewId="0">
      <pane ySplit="5" topLeftCell="A9" activePane="bottomLeft" state="frozen"/>
      <selection activeCell="X47" sqref="X47:X50"/>
      <selection pane="bottomLeft" activeCell="T26" sqref="T26"/>
    </sheetView>
  </sheetViews>
  <sheetFormatPr defaultColWidth="8.85546875" defaultRowHeight="15"/>
  <cols>
    <col min="1" max="1" width="8.140625" style="622" customWidth="1"/>
    <col min="2" max="2" width="8.42578125" style="622" customWidth="1"/>
    <col min="3" max="3" width="9.85546875" style="622" customWidth="1"/>
    <col min="4" max="4" width="7.5703125" style="622" customWidth="1"/>
    <col min="5" max="5" width="12.28515625" style="622" bestFit="1" customWidth="1"/>
    <col min="6" max="6" width="8" style="622" customWidth="1"/>
    <col min="7" max="7" width="7.42578125" style="622" customWidth="1"/>
    <col min="8" max="9" width="8.42578125" style="622" customWidth="1"/>
    <col min="10" max="10" width="9.7109375" style="622" customWidth="1"/>
    <col min="11" max="11" width="6.85546875" style="622" customWidth="1"/>
    <col min="12" max="12" width="9" style="622" customWidth="1"/>
    <col min="13" max="13" width="7.28515625" style="622" customWidth="1"/>
    <col min="14" max="14" width="7.85546875" style="622" customWidth="1"/>
    <col min="15" max="15" width="5.28515625" style="622" customWidth="1"/>
    <col min="16" max="16" width="7.85546875" style="622" customWidth="1"/>
    <col min="17" max="17" width="7" style="622" customWidth="1"/>
    <col min="18" max="18" width="9.28515625" style="622" customWidth="1"/>
    <col min="19" max="19" width="8" style="622" customWidth="1"/>
    <col min="20" max="16384" width="8.85546875" style="622"/>
  </cols>
  <sheetData>
    <row r="1" spans="1:19" s="620" customFormat="1" ht="15" customHeight="1">
      <c r="A1" s="619"/>
      <c r="E1" s="2661" t="s">
        <v>1842</v>
      </c>
      <c r="F1" s="2661"/>
      <c r="G1" s="2661"/>
      <c r="H1" s="2661"/>
      <c r="I1" s="2661"/>
      <c r="J1" s="2662" t="s">
        <v>1396</v>
      </c>
      <c r="K1" s="2662"/>
      <c r="L1" s="621"/>
      <c r="M1" s="621"/>
      <c r="R1" s="2653" t="s">
        <v>1510</v>
      </c>
      <c r="S1" s="2653"/>
    </row>
    <row r="2" spans="1:19" ht="10.5" customHeight="1">
      <c r="C2" s="623"/>
      <c r="R2" s="2654" t="s">
        <v>24</v>
      </c>
      <c r="S2" s="2654"/>
    </row>
    <row r="3" spans="1:19" ht="13.9" customHeight="1">
      <c r="A3" s="2650" t="s">
        <v>475</v>
      </c>
      <c r="B3" s="2655" t="s">
        <v>482</v>
      </c>
      <c r="C3" s="2655" t="s">
        <v>1389</v>
      </c>
      <c r="D3" s="2657" t="s">
        <v>1382</v>
      </c>
      <c r="E3" s="2657"/>
      <c r="F3" s="2657"/>
      <c r="G3" s="2652" t="s">
        <v>1369</v>
      </c>
      <c r="H3" s="2658" t="s">
        <v>1383</v>
      </c>
      <c r="I3" s="2659"/>
      <c r="J3" s="2659"/>
      <c r="K3" s="2659"/>
      <c r="L3" s="2660"/>
      <c r="M3" s="2651" t="s">
        <v>1405</v>
      </c>
      <c r="N3" s="2651" t="s">
        <v>1406</v>
      </c>
      <c r="O3" s="2652" t="s">
        <v>1370</v>
      </c>
      <c r="P3" s="2651" t="s">
        <v>1371</v>
      </c>
      <c r="Q3" s="2652" t="s">
        <v>1372</v>
      </c>
      <c r="R3" s="2652" t="s">
        <v>1373</v>
      </c>
      <c r="S3" s="2652" t="s">
        <v>1374</v>
      </c>
    </row>
    <row r="4" spans="1:19" ht="65.25" customHeight="1">
      <c r="A4" s="2650"/>
      <c r="B4" s="2656"/>
      <c r="C4" s="2656"/>
      <c r="D4" s="1702" t="s">
        <v>1390</v>
      </c>
      <c r="E4" s="1702" t="s">
        <v>1388</v>
      </c>
      <c r="F4" s="1702" t="s">
        <v>1386</v>
      </c>
      <c r="G4" s="2652"/>
      <c r="H4" s="1702" t="s">
        <v>120</v>
      </c>
      <c r="I4" s="1702" t="s">
        <v>1397</v>
      </c>
      <c r="J4" s="1702" t="s">
        <v>1404</v>
      </c>
      <c r="K4" s="1701" t="s">
        <v>1509</v>
      </c>
      <c r="L4" s="1702" t="s">
        <v>1387</v>
      </c>
      <c r="M4" s="2651"/>
      <c r="N4" s="2651"/>
      <c r="O4" s="2652"/>
      <c r="P4" s="2651"/>
      <c r="Q4" s="2652"/>
      <c r="R4" s="2652"/>
      <c r="S4" s="2652"/>
    </row>
    <row r="5" spans="1:19" ht="12" customHeight="1">
      <c r="A5" s="2650"/>
      <c r="B5" s="627">
        <v>1</v>
      </c>
      <c r="C5" s="627">
        <v>2</v>
      </c>
      <c r="D5" s="627">
        <v>3</v>
      </c>
      <c r="E5" s="627">
        <v>4</v>
      </c>
      <c r="F5" s="627">
        <v>5</v>
      </c>
      <c r="G5" s="627">
        <v>6</v>
      </c>
      <c r="H5" s="627">
        <v>7</v>
      </c>
      <c r="I5" s="627">
        <v>8</v>
      </c>
      <c r="J5" s="627">
        <v>9</v>
      </c>
      <c r="K5" s="627">
        <v>10</v>
      </c>
      <c r="L5" s="627">
        <v>11</v>
      </c>
      <c r="M5" s="627">
        <v>12</v>
      </c>
      <c r="N5" s="627">
        <v>13</v>
      </c>
      <c r="O5" s="627">
        <v>14</v>
      </c>
      <c r="P5" s="627">
        <v>15</v>
      </c>
      <c r="Q5" s="627">
        <v>16</v>
      </c>
      <c r="R5" s="627">
        <v>17</v>
      </c>
      <c r="S5" s="627">
        <v>18</v>
      </c>
    </row>
    <row r="6" spans="1:19" ht="11.1" customHeight="1">
      <c r="A6" s="996" t="s">
        <v>1298</v>
      </c>
      <c r="B6" s="995">
        <v>253510</v>
      </c>
      <c r="C6" s="995">
        <v>7347.2</v>
      </c>
      <c r="D6" s="995">
        <v>22375.9</v>
      </c>
      <c r="E6" s="995">
        <v>9706.7000000000007</v>
      </c>
      <c r="F6" s="995">
        <v>12669.2</v>
      </c>
      <c r="G6" s="995">
        <v>5756.5</v>
      </c>
      <c r="H6" s="995">
        <v>153411.20000000001</v>
      </c>
      <c r="I6" s="995">
        <v>78799.199999999997</v>
      </c>
      <c r="J6" s="995">
        <v>3.3</v>
      </c>
      <c r="K6" s="995">
        <v>0</v>
      </c>
      <c r="L6" s="995">
        <v>232213.7</v>
      </c>
      <c r="M6" s="995">
        <v>345.5</v>
      </c>
      <c r="N6" s="995">
        <v>0</v>
      </c>
      <c r="O6" s="995">
        <v>0</v>
      </c>
      <c r="P6" s="995">
        <v>0</v>
      </c>
      <c r="Q6" s="995">
        <v>0</v>
      </c>
      <c r="R6" s="995">
        <v>30308.5</v>
      </c>
      <c r="S6" s="995">
        <v>16415.2</v>
      </c>
    </row>
    <row r="7" spans="1:19" ht="11.1" customHeight="1">
      <c r="A7" s="1044" t="s">
        <v>1407</v>
      </c>
      <c r="B7" s="1045">
        <v>257195.6</v>
      </c>
      <c r="C7" s="1045">
        <v>7031.1</v>
      </c>
      <c r="D7" s="1045">
        <v>32153.4</v>
      </c>
      <c r="E7" s="1045">
        <v>10645.9</v>
      </c>
      <c r="F7" s="1045">
        <v>21507.5</v>
      </c>
      <c r="G7" s="1045">
        <v>5537.7</v>
      </c>
      <c r="H7" s="1045">
        <v>168858.3</v>
      </c>
      <c r="I7" s="1045">
        <v>75787.5</v>
      </c>
      <c r="J7" s="1045">
        <v>13.1</v>
      </c>
      <c r="K7" s="1045">
        <v>0</v>
      </c>
      <c r="L7" s="1045">
        <v>244658.9</v>
      </c>
      <c r="M7" s="1045">
        <v>411.8</v>
      </c>
      <c r="N7" s="1045">
        <v>0</v>
      </c>
      <c r="O7" s="1045">
        <v>0</v>
      </c>
      <c r="P7" s="1045">
        <v>0</v>
      </c>
      <c r="Q7" s="1045">
        <v>0</v>
      </c>
      <c r="R7" s="1045">
        <v>33548.6</v>
      </c>
      <c r="S7" s="1045">
        <v>12652.6</v>
      </c>
    </row>
    <row r="8" spans="1:19" s="739" customFormat="1" ht="11.1" customHeight="1">
      <c r="A8" s="996" t="s">
        <v>1487</v>
      </c>
      <c r="B8" s="874">
        <v>286040.90000000002</v>
      </c>
      <c r="C8" s="874">
        <v>15922.6</v>
      </c>
      <c r="D8" s="874">
        <v>47201.9</v>
      </c>
      <c r="E8" s="874">
        <v>14955.8</v>
      </c>
      <c r="F8" s="874">
        <v>32246.100000000002</v>
      </c>
      <c r="G8" s="874">
        <v>5752</v>
      </c>
      <c r="H8" s="874">
        <v>206552.2</v>
      </c>
      <c r="I8" s="874">
        <v>76360.399999999994</v>
      </c>
      <c r="J8" s="874">
        <v>28.9</v>
      </c>
      <c r="K8" s="874">
        <v>0</v>
      </c>
      <c r="L8" s="874">
        <v>282941.5</v>
      </c>
      <c r="M8" s="874">
        <v>1272.5</v>
      </c>
      <c r="N8" s="874">
        <v>0</v>
      </c>
      <c r="O8" s="874">
        <v>0</v>
      </c>
      <c r="P8" s="874">
        <v>0</v>
      </c>
      <c r="Q8" s="874">
        <v>0</v>
      </c>
      <c r="R8" s="874">
        <v>36493.599999999999</v>
      </c>
      <c r="S8" s="874">
        <v>19254</v>
      </c>
    </row>
    <row r="9" spans="1:19" s="739" customFormat="1" ht="11.1" customHeight="1">
      <c r="A9" s="737" t="s">
        <v>1539</v>
      </c>
      <c r="B9" s="873">
        <v>366917.3</v>
      </c>
      <c r="C9" s="873">
        <v>22091.200000000001</v>
      </c>
      <c r="D9" s="873">
        <v>33870.800000000003</v>
      </c>
      <c r="E9" s="873">
        <v>25244.5</v>
      </c>
      <c r="F9" s="873">
        <v>8626.3000000000029</v>
      </c>
      <c r="G9" s="873">
        <v>5935.6</v>
      </c>
      <c r="H9" s="873">
        <v>225322.2</v>
      </c>
      <c r="I9" s="873">
        <v>121126</v>
      </c>
      <c r="J9" s="873">
        <v>57.5</v>
      </c>
      <c r="K9" s="873">
        <v>0</v>
      </c>
      <c r="L9" s="873">
        <v>346505.7</v>
      </c>
      <c r="M9" s="873">
        <v>1529.9</v>
      </c>
      <c r="N9" s="873">
        <v>0</v>
      </c>
      <c r="O9" s="873">
        <v>0</v>
      </c>
      <c r="P9" s="873">
        <v>0</v>
      </c>
      <c r="Q9" s="873">
        <v>0</v>
      </c>
      <c r="R9" s="873">
        <v>43524.7</v>
      </c>
      <c r="S9" s="873">
        <v>12010.1</v>
      </c>
    </row>
    <row r="10" spans="1:19" s="739" customFormat="1" ht="11.1" customHeight="1">
      <c r="A10" s="738" t="s">
        <v>1810</v>
      </c>
      <c r="B10" s="874">
        <v>347746.8</v>
      </c>
      <c r="C10" s="874">
        <v>19369.2</v>
      </c>
      <c r="D10" s="874">
        <v>58719.3</v>
      </c>
      <c r="E10" s="874">
        <v>13785.7</v>
      </c>
      <c r="F10" s="874">
        <v>44933.600000000006</v>
      </c>
      <c r="G10" s="874">
        <v>6093.7</v>
      </c>
      <c r="H10" s="874">
        <v>254519.5</v>
      </c>
      <c r="I10" s="874">
        <v>90931.1</v>
      </c>
      <c r="J10" s="874">
        <v>48.2</v>
      </c>
      <c r="K10" s="874">
        <v>0</v>
      </c>
      <c r="L10" s="874">
        <v>345498.8</v>
      </c>
      <c r="M10" s="874">
        <v>1321.7</v>
      </c>
      <c r="N10" s="874">
        <v>0</v>
      </c>
      <c r="O10" s="874">
        <v>0</v>
      </c>
      <c r="P10" s="874">
        <v>0</v>
      </c>
      <c r="Q10" s="874">
        <v>0</v>
      </c>
      <c r="R10" s="874">
        <v>62830.400000000001</v>
      </c>
      <c r="S10" s="874">
        <v>8492.4</v>
      </c>
    </row>
    <row r="11" spans="1:19" s="739" customFormat="1" ht="11.1" customHeight="1">
      <c r="A11" s="1156" t="s">
        <v>2056</v>
      </c>
      <c r="B11" s="875">
        <v>287497.5</v>
      </c>
      <c r="C11" s="875">
        <v>66711.3</v>
      </c>
      <c r="D11" s="875">
        <v>156819.70000000001</v>
      </c>
      <c r="E11" s="875">
        <v>12866.8</v>
      </c>
      <c r="F11" s="875">
        <v>143952.90000000002</v>
      </c>
      <c r="G11" s="875">
        <v>6413.1</v>
      </c>
      <c r="H11" s="875">
        <v>310153.40000000002</v>
      </c>
      <c r="I11" s="875">
        <v>71488.899999999994</v>
      </c>
      <c r="J11" s="875">
        <v>148.5</v>
      </c>
      <c r="K11" s="875">
        <v>0</v>
      </c>
      <c r="L11" s="875">
        <v>381790.80000000005</v>
      </c>
      <c r="M11" s="875">
        <v>2173.5</v>
      </c>
      <c r="N11" s="875">
        <v>0</v>
      </c>
      <c r="O11" s="875">
        <v>0</v>
      </c>
      <c r="P11" s="875">
        <v>0</v>
      </c>
      <c r="Q11" s="875">
        <v>0</v>
      </c>
      <c r="R11" s="875">
        <v>102034.3</v>
      </c>
      <c r="S11" s="875">
        <v>18557.599999999999</v>
      </c>
    </row>
    <row r="12" spans="1:19" s="739" customFormat="1" ht="11.1" customHeight="1">
      <c r="A12" s="1357" t="s">
        <v>2188</v>
      </c>
      <c r="B12" s="872">
        <v>245780.7</v>
      </c>
      <c r="C12" s="872">
        <v>176941.7</v>
      </c>
      <c r="D12" s="872">
        <v>144599.29999999999</v>
      </c>
      <c r="E12" s="872">
        <v>10034.1</v>
      </c>
      <c r="F12" s="872">
        <v>134565.19999999998</v>
      </c>
      <c r="G12" s="872">
        <v>6717.3</v>
      </c>
      <c r="H12" s="872">
        <v>318403</v>
      </c>
      <c r="I12" s="872">
        <v>93283.3</v>
      </c>
      <c r="J12" s="872">
        <v>54.8</v>
      </c>
      <c r="K12" s="872">
        <v>0</v>
      </c>
      <c r="L12" s="872">
        <v>411741.1</v>
      </c>
      <c r="M12" s="872">
        <v>2090.1999999999998</v>
      </c>
      <c r="N12" s="872">
        <v>0</v>
      </c>
      <c r="O12" s="872">
        <v>0</v>
      </c>
      <c r="P12" s="872">
        <v>0</v>
      </c>
      <c r="Q12" s="872">
        <v>0</v>
      </c>
      <c r="R12" s="872">
        <v>122311.9</v>
      </c>
      <c r="S12" s="872">
        <v>27861.599999999999</v>
      </c>
    </row>
    <row r="13" spans="1:19" s="739" customFormat="1" ht="11.1" customHeight="1">
      <c r="A13" s="1358" t="s">
        <v>2439</v>
      </c>
      <c r="B13" s="875">
        <f>B25</f>
        <v>293991.7</v>
      </c>
      <c r="C13" s="875">
        <f t="shared" ref="C13:S13" si="0">C25</f>
        <v>226621</v>
      </c>
      <c r="D13" s="875">
        <f t="shared" si="0"/>
        <v>87500.4</v>
      </c>
      <c r="E13" s="875">
        <f t="shared" si="0"/>
        <v>13151.9</v>
      </c>
      <c r="F13" s="875">
        <f t="shared" si="0"/>
        <v>74348.5</v>
      </c>
      <c r="G13" s="875">
        <f t="shared" si="0"/>
        <v>6959.6</v>
      </c>
      <c r="H13" s="875">
        <f t="shared" si="0"/>
        <v>324728.5</v>
      </c>
      <c r="I13" s="875">
        <f t="shared" si="0"/>
        <v>86435.5</v>
      </c>
      <c r="J13" s="875">
        <f t="shared" si="0"/>
        <v>46.9</v>
      </c>
      <c r="K13" s="875">
        <f t="shared" si="0"/>
        <v>0</v>
      </c>
      <c r="L13" s="875">
        <f t="shared" si="0"/>
        <v>411210.9</v>
      </c>
      <c r="M13" s="875">
        <f t="shared" si="0"/>
        <v>2324.4</v>
      </c>
      <c r="N13" s="875">
        <f t="shared" si="0"/>
        <v>0</v>
      </c>
      <c r="O13" s="875">
        <f t="shared" si="0"/>
        <v>0</v>
      </c>
      <c r="P13" s="875">
        <f t="shared" si="0"/>
        <v>0</v>
      </c>
      <c r="Q13" s="875">
        <f t="shared" si="0"/>
        <v>0</v>
      </c>
      <c r="R13" s="875">
        <f t="shared" si="0"/>
        <v>145048.70000000001</v>
      </c>
      <c r="S13" s="875">
        <f t="shared" si="0"/>
        <v>43336.800000000003</v>
      </c>
    </row>
    <row r="14" spans="1:19" s="739" customFormat="1" ht="11.1" customHeight="1">
      <c r="A14" s="738" t="s">
        <v>559</v>
      </c>
      <c r="B14" s="874">
        <v>238927.1</v>
      </c>
      <c r="C14" s="874">
        <v>145518.70000000001</v>
      </c>
      <c r="D14" s="874">
        <v>145592.4</v>
      </c>
      <c r="E14" s="874">
        <v>9985.2999999999993</v>
      </c>
      <c r="F14" s="874">
        <f t="shared" ref="F14:F22" si="1">D14-E14</f>
        <v>135607.1</v>
      </c>
      <c r="G14" s="874">
        <v>6679.3</v>
      </c>
      <c r="H14" s="874">
        <v>313988.3</v>
      </c>
      <c r="I14" s="874">
        <v>73376.399999999994</v>
      </c>
      <c r="J14" s="874">
        <v>41.2</v>
      </c>
      <c r="K14" s="874">
        <v>0</v>
      </c>
      <c r="L14" s="874">
        <f t="shared" ref="L14:L22" si="2">H14+I14+J14+K14</f>
        <v>387405.89999999997</v>
      </c>
      <c r="M14" s="874">
        <v>2027.6</v>
      </c>
      <c r="N14" s="874">
        <v>0</v>
      </c>
      <c r="O14" s="874">
        <v>0</v>
      </c>
      <c r="P14" s="874">
        <v>0</v>
      </c>
      <c r="Q14" s="874">
        <v>0</v>
      </c>
      <c r="R14" s="874">
        <v>122447.6</v>
      </c>
      <c r="S14" s="874">
        <v>14851.1</v>
      </c>
    </row>
    <row r="15" spans="1:19" s="739" customFormat="1" ht="11.1" customHeight="1">
      <c r="A15" s="737" t="s">
        <v>560</v>
      </c>
      <c r="B15" s="873">
        <v>231618.7</v>
      </c>
      <c r="C15" s="873">
        <v>153507.1</v>
      </c>
      <c r="D15" s="873">
        <v>126401.60000000001</v>
      </c>
      <c r="E15" s="873">
        <v>10180.4</v>
      </c>
      <c r="F15" s="873">
        <f t="shared" si="1"/>
        <v>116221.20000000001</v>
      </c>
      <c r="G15" s="873">
        <v>6691.2</v>
      </c>
      <c r="H15" s="873">
        <v>316798.7</v>
      </c>
      <c r="I15" s="873">
        <v>67070.3</v>
      </c>
      <c r="J15" s="873">
        <v>13.4</v>
      </c>
      <c r="K15" s="873">
        <v>0</v>
      </c>
      <c r="L15" s="873">
        <f t="shared" si="2"/>
        <v>383882.4</v>
      </c>
      <c r="M15" s="873">
        <v>2231.5</v>
      </c>
      <c r="N15" s="873">
        <v>0</v>
      </c>
      <c r="O15" s="873">
        <v>0</v>
      </c>
      <c r="P15" s="873">
        <v>0</v>
      </c>
      <c r="Q15" s="873">
        <v>0</v>
      </c>
      <c r="R15" s="873">
        <v>130035.7</v>
      </c>
      <c r="S15" s="873">
        <v>-8111.4</v>
      </c>
    </row>
    <row r="16" spans="1:19" s="739" customFormat="1" ht="11.1" customHeight="1">
      <c r="A16" s="738" t="s">
        <v>554</v>
      </c>
      <c r="B16" s="874">
        <v>231666.3</v>
      </c>
      <c r="C16" s="874">
        <v>170625.3</v>
      </c>
      <c r="D16" s="874">
        <v>102740.3</v>
      </c>
      <c r="E16" s="874">
        <v>10557.3</v>
      </c>
      <c r="F16" s="874">
        <f t="shared" si="1"/>
        <v>92183</v>
      </c>
      <c r="G16" s="874">
        <v>6713.2</v>
      </c>
      <c r="H16" s="874">
        <v>309094.2</v>
      </c>
      <c r="I16" s="874">
        <v>64247.3</v>
      </c>
      <c r="J16" s="874">
        <v>12.2</v>
      </c>
      <c r="K16" s="874">
        <v>0</v>
      </c>
      <c r="L16" s="874">
        <f t="shared" si="2"/>
        <v>373353.7</v>
      </c>
      <c r="M16" s="874">
        <v>3252.3</v>
      </c>
      <c r="N16" s="874">
        <v>0</v>
      </c>
      <c r="O16" s="874">
        <v>0</v>
      </c>
      <c r="P16" s="874">
        <v>0</v>
      </c>
      <c r="Q16" s="874">
        <v>0</v>
      </c>
      <c r="R16" s="874">
        <v>134426.20000000001</v>
      </c>
      <c r="S16" s="874">
        <v>-9844.4</v>
      </c>
    </row>
    <row r="17" spans="1:22" s="739" customFormat="1" ht="11.1" customHeight="1">
      <c r="A17" s="737" t="s">
        <v>561</v>
      </c>
      <c r="B17" s="873">
        <v>228522.6</v>
      </c>
      <c r="C17" s="873">
        <v>165334.20000000001</v>
      </c>
      <c r="D17" s="873">
        <v>105438.6</v>
      </c>
      <c r="E17" s="873">
        <v>11706.3</v>
      </c>
      <c r="F17" s="873">
        <f t="shared" si="1"/>
        <v>93732.3</v>
      </c>
      <c r="G17" s="873">
        <v>6745.9</v>
      </c>
      <c r="H17" s="873">
        <v>301078.3</v>
      </c>
      <c r="I17" s="873">
        <v>66242.3</v>
      </c>
      <c r="J17" s="873">
        <v>10.6</v>
      </c>
      <c r="K17" s="873">
        <v>0</v>
      </c>
      <c r="L17" s="873">
        <f t="shared" si="2"/>
        <v>367331.19999999995</v>
      </c>
      <c r="M17" s="873">
        <v>1101.4000000000001</v>
      </c>
      <c r="N17" s="873">
        <v>0</v>
      </c>
      <c r="O17" s="873">
        <v>0</v>
      </c>
      <c r="P17" s="873">
        <v>0</v>
      </c>
      <c r="Q17" s="873">
        <v>0</v>
      </c>
      <c r="R17" s="873">
        <v>135190.39999999999</v>
      </c>
      <c r="S17" s="873">
        <v>-9288</v>
      </c>
    </row>
    <row r="18" spans="1:22" s="739" customFormat="1" ht="11.1" customHeight="1">
      <c r="A18" s="738" t="s">
        <v>562</v>
      </c>
      <c r="B18" s="874">
        <v>223881.5</v>
      </c>
      <c r="C18" s="874">
        <v>187209.1</v>
      </c>
      <c r="D18" s="874">
        <v>108131.3</v>
      </c>
      <c r="E18" s="874">
        <v>12019.5</v>
      </c>
      <c r="F18" s="874">
        <f t="shared" si="1"/>
        <v>96111.8</v>
      </c>
      <c r="G18" s="874">
        <v>6769.9</v>
      </c>
      <c r="H18" s="874">
        <v>299845.8</v>
      </c>
      <c r="I18" s="874">
        <v>86662.1</v>
      </c>
      <c r="J18" s="874">
        <v>19.2</v>
      </c>
      <c r="K18" s="874">
        <v>0</v>
      </c>
      <c r="L18" s="874">
        <f t="shared" si="2"/>
        <v>386527.10000000003</v>
      </c>
      <c r="M18" s="874">
        <v>1657</v>
      </c>
      <c r="N18" s="874">
        <v>0</v>
      </c>
      <c r="O18" s="874">
        <v>0</v>
      </c>
      <c r="P18" s="874">
        <v>0</v>
      </c>
      <c r="Q18" s="874">
        <v>0</v>
      </c>
      <c r="R18" s="874">
        <v>135260.9</v>
      </c>
      <c r="S18" s="874">
        <v>-9472.7000000000007</v>
      </c>
    </row>
    <row r="19" spans="1:22" s="739" customFormat="1" ht="11.1" customHeight="1">
      <c r="A19" s="737" t="s">
        <v>555</v>
      </c>
      <c r="B19" s="873">
        <v>235750.8</v>
      </c>
      <c r="C19" s="873">
        <v>207730.4</v>
      </c>
      <c r="D19" s="873">
        <v>90346.4</v>
      </c>
      <c r="E19" s="873">
        <v>12988.9</v>
      </c>
      <c r="F19" s="873">
        <f t="shared" si="1"/>
        <v>77357.5</v>
      </c>
      <c r="G19" s="873">
        <v>6860.2</v>
      </c>
      <c r="H19" s="873">
        <v>302994.59999999998</v>
      </c>
      <c r="I19" s="873">
        <v>94507.9</v>
      </c>
      <c r="J19" s="873">
        <v>63.1</v>
      </c>
      <c r="K19" s="873">
        <v>0</v>
      </c>
      <c r="L19" s="873">
        <f t="shared" si="2"/>
        <v>397565.6</v>
      </c>
      <c r="M19" s="873">
        <v>1861.6</v>
      </c>
      <c r="N19" s="873">
        <v>0</v>
      </c>
      <c r="O19" s="873">
        <v>0</v>
      </c>
      <c r="P19" s="873">
        <v>0</v>
      </c>
      <c r="Q19" s="873">
        <v>0</v>
      </c>
      <c r="R19" s="873">
        <v>136787.1</v>
      </c>
      <c r="S19" s="873">
        <v>-8515.4</v>
      </c>
    </row>
    <row r="20" spans="1:22" s="739" customFormat="1" ht="11.1" customHeight="1">
      <c r="A20" s="738" t="s">
        <v>563</v>
      </c>
      <c r="B20" s="874">
        <v>238082.6</v>
      </c>
      <c r="C20" s="874">
        <v>194805.8</v>
      </c>
      <c r="D20" s="874">
        <v>89284.3</v>
      </c>
      <c r="E20" s="874">
        <v>13306.7</v>
      </c>
      <c r="F20" s="874">
        <f t="shared" si="1"/>
        <v>75977.600000000006</v>
      </c>
      <c r="G20" s="874">
        <v>6837.6</v>
      </c>
      <c r="H20" s="874">
        <v>297571.3</v>
      </c>
      <c r="I20" s="874">
        <v>79180</v>
      </c>
      <c r="J20" s="874">
        <v>17.399999999999999</v>
      </c>
      <c r="K20" s="874">
        <v>0</v>
      </c>
      <c r="L20" s="874">
        <f t="shared" si="2"/>
        <v>376768.7</v>
      </c>
      <c r="M20" s="874">
        <v>1812.3</v>
      </c>
      <c r="N20" s="874">
        <v>0</v>
      </c>
      <c r="O20" s="874">
        <v>0</v>
      </c>
      <c r="P20" s="874">
        <v>0</v>
      </c>
      <c r="Q20" s="874">
        <v>0</v>
      </c>
      <c r="R20" s="874">
        <v>143284.1</v>
      </c>
      <c r="S20" s="874">
        <v>-6161.5</v>
      </c>
    </row>
    <row r="21" spans="1:22" s="739" customFormat="1" ht="11.1" customHeight="1">
      <c r="A21" s="737" t="s">
        <v>564</v>
      </c>
      <c r="B21" s="873">
        <v>238118.39999999999</v>
      </c>
      <c r="C21" s="873">
        <v>199668.8</v>
      </c>
      <c r="D21" s="873">
        <v>84572.5</v>
      </c>
      <c r="E21" s="873">
        <v>12847.1</v>
      </c>
      <c r="F21" s="873">
        <f t="shared" si="1"/>
        <v>71725.399999999994</v>
      </c>
      <c r="G21" s="873">
        <v>6858.3</v>
      </c>
      <c r="H21" s="873">
        <v>296437.09999999998</v>
      </c>
      <c r="I21" s="873">
        <v>76210.5</v>
      </c>
      <c r="J21" s="873">
        <v>10</v>
      </c>
      <c r="K21" s="873">
        <v>0</v>
      </c>
      <c r="L21" s="873">
        <f t="shared" si="2"/>
        <v>372657.6</v>
      </c>
      <c r="M21" s="873">
        <v>1754.2</v>
      </c>
      <c r="N21" s="873">
        <v>0</v>
      </c>
      <c r="O21" s="873">
        <v>0</v>
      </c>
      <c r="P21" s="873">
        <v>0</v>
      </c>
      <c r="Q21" s="873">
        <v>0</v>
      </c>
      <c r="R21" s="873">
        <v>147951.6</v>
      </c>
      <c r="S21" s="873">
        <v>-5992.5</v>
      </c>
    </row>
    <row r="22" spans="1:22" s="739" customFormat="1" ht="11.1" customHeight="1">
      <c r="A22" s="738" t="s">
        <v>556</v>
      </c>
      <c r="B22" s="874">
        <v>240271.7</v>
      </c>
      <c r="C22" s="874">
        <v>208427.7</v>
      </c>
      <c r="D22" s="874">
        <v>102584.1</v>
      </c>
      <c r="E22" s="874">
        <v>13490.1</v>
      </c>
      <c r="F22" s="874">
        <f t="shared" si="1"/>
        <v>89094</v>
      </c>
      <c r="G22" s="874">
        <v>6882.9</v>
      </c>
      <c r="H22" s="874">
        <v>319205.59999999998</v>
      </c>
      <c r="I22" s="874">
        <v>81560.100000000006</v>
      </c>
      <c r="J22" s="874">
        <v>12.7</v>
      </c>
      <c r="K22" s="874">
        <v>0</v>
      </c>
      <c r="L22" s="874">
        <f t="shared" si="2"/>
        <v>400778.39999999997</v>
      </c>
      <c r="M22" s="874">
        <v>1875.6</v>
      </c>
      <c r="N22" s="874">
        <v>0</v>
      </c>
      <c r="O22" s="874">
        <v>0</v>
      </c>
      <c r="P22" s="874">
        <v>0</v>
      </c>
      <c r="Q22" s="874">
        <v>0</v>
      </c>
      <c r="R22" s="874">
        <v>151960.29999999999</v>
      </c>
      <c r="S22" s="874">
        <v>-9938</v>
      </c>
    </row>
    <row r="23" spans="1:22" s="739" customFormat="1" ht="11.1" customHeight="1">
      <c r="A23" s="737" t="s">
        <v>565</v>
      </c>
      <c r="B23" s="873">
        <v>251508.2</v>
      </c>
      <c r="C23" s="873">
        <v>197153.5</v>
      </c>
      <c r="D23" s="873">
        <v>91819.8</v>
      </c>
      <c r="E23" s="873">
        <v>13986</v>
      </c>
      <c r="F23" s="873">
        <f>D23-E23</f>
        <v>77833.8</v>
      </c>
      <c r="G23" s="873">
        <v>6870.5</v>
      </c>
      <c r="H23" s="873">
        <v>300725.8</v>
      </c>
      <c r="I23" s="873">
        <v>77931.600000000006</v>
      </c>
      <c r="J23" s="873">
        <v>29.7</v>
      </c>
      <c r="K23" s="873">
        <v>0</v>
      </c>
      <c r="L23" s="873">
        <f>H23+I23+J23+K23</f>
        <v>378687.10000000003</v>
      </c>
      <c r="M23" s="873">
        <v>1830.5</v>
      </c>
      <c r="N23" s="873">
        <v>0</v>
      </c>
      <c r="O23" s="873">
        <v>0</v>
      </c>
      <c r="P23" s="873">
        <v>0</v>
      </c>
      <c r="Q23" s="873">
        <v>0</v>
      </c>
      <c r="R23" s="873">
        <v>158308.4</v>
      </c>
      <c r="S23" s="873">
        <v>-5460</v>
      </c>
    </row>
    <row r="24" spans="1:22" s="739" customFormat="1" ht="11.1" customHeight="1">
      <c r="A24" s="738" t="s">
        <v>566</v>
      </c>
      <c r="B24" s="874">
        <v>243726.7</v>
      </c>
      <c r="C24" s="874">
        <v>215312.9</v>
      </c>
      <c r="D24" s="874">
        <v>94456.9</v>
      </c>
      <c r="E24" s="874">
        <v>13418.8</v>
      </c>
      <c r="F24" s="874">
        <f>D24-E24</f>
        <v>81038.099999999991</v>
      </c>
      <c r="G24" s="874">
        <v>6921</v>
      </c>
      <c r="H24" s="874">
        <v>317986.2</v>
      </c>
      <c r="I24" s="874">
        <v>78870.600000000006</v>
      </c>
      <c r="J24" s="874">
        <v>28.8</v>
      </c>
      <c r="K24" s="874">
        <v>0</v>
      </c>
      <c r="L24" s="874">
        <f>H24+I24+J24+K24</f>
        <v>396885.60000000003</v>
      </c>
      <c r="M24" s="874">
        <v>2092.6</v>
      </c>
      <c r="N24" s="874">
        <v>0</v>
      </c>
      <c r="O24" s="874">
        <v>0</v>
      </c>
      <c r="P24" s="874">
        <v>0</v>
      </c>
      <c r="Q24" s="874">
        <v>0</v>
      </c>
      <c r="R24" s="874">
        <v>160202.29999999999</v>
      </c>
      <c r="S24" s="874">
        <v>-12181.8</v>
      </c>
    </row>
    <row r="25" spans="1:22" s="739" customFormat="1" ht="11.1" customHeight="1">
      <c r="A25" s="737" t="s">
        <v>557</v>
      </c>
      <c r="B25" s="873">
        <v>293991.7</v>
      </c>
      <c r="C25" s="873">
        <v>226621</v>
      </c>
      <c r="D25" s="873">
        <v>87500.4</v>
      </c>
      <c r="E25" s="873">
        <v>13151.9</v>
      </c>
      <c r="F25" s="873">
        <f>D25-E25</f>
        <v>74348.5</v>
      </c>
      <c r="G25" s="873">
        <v>6959.6</v>
      </c>
      <c r="H25" s="873">
        <v>324728.5</v>
      </c>
      <c r="I25" s="873">
        <v>86435.5</v>
      </c>
      <c r="J25" s="873">
        <v>46.9</v>
      </c>
      <c r="K25" s="873">
        <v>0</v>
      </c>
      <c r="L25" s="873">
        <f>H25+I25+J25+K25</f>
        <v>411210.9</v>
      </c>
      <c r="M25" s="873">
        <v>2324.4</v>
      </c>
      <c r="N25" s="873">
        <v>0</v>
      </c>
      <c r="O25" s="873">
        <v>0</v>
      </c>
      <c r="P25" s="873">
        <v>0</v>
      </c>
      <c r="Q25" s="873">
        <v>0</v>
      </c>
      <c r="R25" s="873">
        <v>145048.70000000001</v>
      </c>
      <c r="S25" s="873">
        <v>43336.800000000003</v>
      </c>
    </row>
    <row r="26" spans="1:22" s="729" customFormat="1" ht="12.75" customHeight="1">
      <c r="A26" s="1357" t="s">
        <v>2669</v>
      </c>
      <c r="B26" s="872">
        <f>B38</f>
        <v>375093.2</v>
      </c>
      <c r="C26" s="872">
        <f t="shared" ref="C26:S26" si="3">C38</f>
        <v>218174.5</v>
      </c>
      <c r="D26" s="872">
        <f t="shared" si="3"/>
        <v>88519.1</v>
      </c>
      <c r="E26" s="872">
        <f t="shared" si="3"/>
        <v>19039.5</v>
      </c>
      <c r="F26" s="872">
        <f t="shared" si="3"/>
        <v>69479.600000000006</v>
      </c>
      <c r="G26" s="872">
        <f t="shared" si="3"/>
        <v>7154.8</v>
      </c>
      <c r="H26" s="872">
        <f t="shared" si="3"/>
        <v>368286.6</v>
      </c>
      <c r="I26" s="872">
        <f t="shared" si="3"/>
        <v>106047.3</v>
      </c>
      <c r="J26" s="872">
        <f t="shared" si="3"/>
        <v>52.8</v>
      </c>
      <c r="K26" s="872">
        <f t="shared" si="3"/>
        <v>0</v>
      </c>
      <c r="L26" s="872">
        <f t="shared" si="3"/>
        <v>474386.69999999995</v>
      </c>
      <c r="M26" s="872">
        <f t="shared" si="3"/>
        <v>3070.1</v>
      </c>
      <c r="N26" s="872">
        <f t="shared" si="3"/>
        <v>0</v>
      </c>
      <c r="O26" s="872">
        <f t="shared" si="3"/>
        <v>0</v>
      </c>
      <c r="P26" s="872">
        <f t="shared" si="3"/>
        <v>0</v>
      </c>
      <c r="Q26" s="872">
        <f t="shared" si="3"/>
        <v>0</v>
      </c>
      <c r="R26" s="872">
        <f t="shared" si="3"/>
        <v>181870.2</v>
      </c>
      <c r="S26" s="872">
        <f t="shared" si="3"/>
        <v>10575.1</v>
      </c>
    </row>
    <row r="27" spans="1:22" s="739" customFormat="1" ht="11.1" customHeight="1">
      <c r="A27" s="737" t="s">
        <v>559</v>
      </c>
      <c r="B27" s="873">
        <v>284285.5</v>
      </c>
      <c r="C27" s="873">
        <v>211391.5</v>
      </c>
      <c r="D27" s="873">
        <v>88808.6</v>
      </c>
      <c r="E27" s="873">
        <v>13223.4</v>
      </c>
      <c r="F27" s="873">
        <f t="shared" ref="F27:F38" si="4">D27-E27</f>
        <v>75585.200000000012</v>
      </c>
      <c r="G27" s="873">
        <v>7237.4</v>
      </c>
      <c r="H27" s="873">
        <v>313334.5</v>
      </c>
      <c r="I27" s="873">
        <v>83709.5</v>
      </c>
      <c r="J27" s="873">
        <v>26.8</v>
      </c>
      <c r="K27" s="873">
        <v>0</v>
      </c>
      <c r="L27" s="873">
        <f t="shared" ref="L27:L38" si="5">H27+I27+J27+K27</f>
        <v>397070.8</v>
      </c>
      <c r="M27" s="873">
        <v>2278</v>
      </c>
      <c r="N27" s="873">
        <v>0</v>
      </c>
      <c r="O27" s="873">
        <v>0</v>
      </c>
      <c r="P27" s="873">
        <v>0</v>
      </c>
      <c r="Q27" s="873">
        <v>0</v>
      </c>
      <c r="R27" s="873">
        <v>144310.39999999999</v>
      </c>
      <c r="S27" s="873">
        <v>34840.400000000001</v>
      </c>
      <c r="V27" s="1527"/>
    </row>
    <row r="28" spans="1:22" s="739" customFormat="1" ht="11.1" customHeight="1">
      <c r="A28" s="738" t="s">
        <v>560</v>
      </c>
      <c r="B28" s="874">
        <v>289617.3</v>
      </c>
      <c r="C28" s="874">
        <v>196242.4</v>
      </c>
      <c r="D28" s="874">
        <v>78516.3</v>
      </c>
      <c r="E28" s="874">
        <v>14418.3</v>
      </c>
      <c r="F28" s="874">
        <f t="shared" si="4"/>
        <v>64098</v>
      </c>
      <c r="G28" s="874">
        <v>6962.8</v>
      </c>
      <c r="H28" s="874">
        <v>305011.8</v>
      </c>
      <c r="I28" s="874">
        <v>83479.399999999994</v>
      </c>
      <c r="J28" s="874">
        <v>33.299999999999997</v>
      </c>
      <c r="K28" s="874">
        <v>0</v>
      </c>
      <c r="L28" s="874">
        <f t="shared" si="5"/>
        <v>388524.49999999994</v>
      </c>
      <c r="M28" s="874">
        <v>1869.5</v>
      </c>
      <c r="N28" s="874">
        <v>0</v>
      </c>
      <c r="O28" s="874">
        <v>0</v>
      </c>
      <c r="P28" s="874">
        <v>0</v>
      </c>
      <c r="Q28" s="874">
        <v>0</v>
      </c>
      <c r="R28" s="874">
        <v>146309.70000000001</v>
      </c>
      <c r="S28" s="874">
        <v>20216.8</v>
      </c>
      <c r="V28" s="1527"/>
    </row>
    <row r="29" spans="1:22" s="729" customFormat="1" ht="11.1" customHeight="1">
      <c r="A29" s="737" t="s">
        <v>554</v>
      </c>
      <c r="B29" s="873">
        <v>302125.59999999998</v>
      </c>
      <c r="C29" s="873">
        <v>183101.9</v>
      </c>
      <c r="D29" s="873">
        <v>85386.9</v>
      </c>
      <c r="E29" s="873">
        <v>17085.900000000001</v>
      </c>
      <c r="F29" s="873">
        <f t="shared" si="4"/>
        <v>68301</v>
      </c>
      <c r="G29" s="873">
        <v>6969.5</v>
      </c>
      <c r="H29" s="873">
        <v>301494.40000000002</v>
      </c>
      <c r="I29" s="873">
        <v>84691.8</v>
      </c>
      <c r="J29" s="873">
        <v>18.7</v>
      </c>
      <c r="K29" s="873">
        <v>0</v>
      </c>
      <c r="L29" s="873">
        <f t="shared" si="5"/>
        <v>386204.9</v>
      </c>
      <c r="M29" s="873">
        <v>1788.6</v>
      </c>
      <c r="N29" s="873">
        <v>0</v>
      </c>
      <c r="O29" s="873">
        <v>0</v>
      </c>
      <c r="P29" s="873">
        <v>0</v>
      </c>
      <c r="Q29" s="873">
        <v>0</v>
      </c>
      <c r="R29" s="873">
        <v>150933.9</v>
      </c>
      <c r="S29" s="873">
        <v>21570.6</v>
      </c>
      <c r="U29" s="739"/>
      <c r="V29" s="1527"/>
    </row>
    <row r="30" spans="1:22" s="729" customFormat="1" ht="11.1" customHeight="1">
      <c r="A30" s="738" t="s">
        <v>561</v>
      </c>
      <c r="B30" s="874">
        <v>305459.59999999998</v>
      </c>
      <c r="C30" s="874">
        <v>176701.7</v>
      </c>
      <c r="D30" s="874">
        <v>87268.800000000003</v>
      </c>
      <c r="E30" s="874">
        <v>19020</v>
      </c>
      <c r="F30" s="874">
        <f t="shared" si="4"/>
        <v>68248.800000000003</v>
      </c>
      <c r="G30" s="874">
        <v>6984.6</v>
      </c>
      <c r="H30" s="874">
        <v>296761.40000000002</v>
      </c>
      <c r="I30" s="874">
        <v>82112.399999999994</v>
      </c>
      <c r="J30" s="874">
        <v>14.6</v>
      </c>
      <c r="K30" s="874">
        <v>0</v>
      </c>
      <c r="L30" s="874">
        <f t="shared" si="5"/>
        <v>378888.4</v>
      </c>
      <c r="M30" s="874">
        <v>1527.6</v>
      </c>
      <c r="N30" s="874">
        <v>0</v>
      </c>
      <c r="O30" s="874">
        <v>0</v>
      </c>
      <c r="P30" s="874">
        <v>0</v>
      </c>
      <c r="Q30" s="874">
        <v>0</v>
      </c>
      <c r="R30" s="874">
        <v>154608.6</v>
      </c>
      <c r="S30" s="874">
        <v>22370.1</v>
      </c>
      <c r="U30" s="739"/>
      <c r="V30" s="1527"/>
    </row>
    <row r="31" spans="1:22" ht="11.1" customHeight="1">
      <c r="A31" s="737" t="s">
        <v>562</v>
      </c>
      <c r="B31" s="873">
        <v>301884.2</v>
      </c>
      <c r="C31" s="873">
        <v>188546.3</v>
      </c>
      <c r="D31" s="873">
        <v>106122.4</v>
      </c>
      <c r="E31" s="873">
        <v>19802.2</v>
      </c>
      <c r="F31" s="873">
        <f t="shared" si="4"/>
        <v>86320.2</v>
      </c>
      <c r="G31" s="873">
        <v>7001.5</v>
      </c>
      <c r="H31" s="873">
        <v>297779</v>
      </c>
      <c r="I31" s="873">
        <v>105548.1</v>
      </c>
      <c r="J31" s="873">
        <v>18.399999999999999</v>
      </c>
      <c r="K31" s="873">
        <v>0</v>
      </c>
      <c r="L31" s="873">
        <f t="shared" si="5"/>
        <v>403345.5</v>
      </c>
      <c r="M31" s="873">
        <v>2009.8</v>
      </c>
      <c r="N31" s="873">
        <v>0</v>
      </c>
      <c r="O31" s="873">
        <v>0</v>
      </c>
      <c r="P31" s="873">
        <v>0</v>
      </c>
      <c r="Q31" s="873">
        <v>0</v>
      </c>
      <c r="R31" s="873">
        <v>157588.1</v>
      </c>
      <c r="S31" s="873">
        <v>20808.8</v>
      </c>
      <c r="U31" s="739"/>
      <c r="V31" s="1527"/>
    </row>
    <row r="32" spans="1:22" s="1003" customFormat="1" ht="11.1" customHeight="1">
      <c r="A32" s="738" t="s">
        <v>555</v>
      </c>
      <c r="B32" s="874">
        <v>317802.09999999998</v>
      </c>
      <c r="C32" s="874">
        <v>214761.3</v>
      </c>
      <c r="D32" s="874">
        <v>102792.8</v>
      </c>
      <c r="E32" s="874">
        <v>20480.599999999999</v>
      </c>
      <c r="F32" s="874">
        <f t="shared" si="4"/>
        <v>82312.200000000012</v>
      </c>
      <c r="G32" s="874">
        <v>7067</v>
      </c>
      <c r="H32" s="874">
        <v>303257.40000000002</v>
      </c>
      <c r="I32" s="874">
        <v>131038.1</v>
      </c>
      <c r="J32" s="874">
        <v>18</v>
      </c>
      <c r="K32" s="874">
        <v>0</v>
      </c>
      <c r="L32" s="874">
        <f t="shared" si="5"/>
        <v>434313.5</v>
      </c>
      <c r="M32" s="874">
        <v>1693.8</v>
      </c>
      <c r="N32" s="874">
        <v>0</v>
      </c>
      <c r="O32" s="874">
        <v>0</v>
      </c>
      <c r="P32" s="874">
        <v>0</v>
      </c>
      <c r="Q32" s="874">
        <v>0</v>
      </c>
      <c r="R32" s="874">
        <v>162064.9</v>
      </c>
      <c r="S32" s="874">
        <v>23870.400000000001</v>
      </c>
      <c r="U32" s="739"/>
      <c r="V32" s="1527"/>
    </row>
    <row r="33" spans="1:22" ht="11.1" customHeight="1">
      <c r="A33" s="737" t="s">
        <v>563</v>
      </c>
      <c r="B33" s="873">
        <v>327284</v>
      </c>
      <c r="C33" s="873">
        <v>201976.4</v>
      </c>
      <c r="D33" s="873">
        <v>95131.3</v>
      </c>
      <c r="E33" s="873">
        <v>21127.8</v>
      </c>
      <c r="F33" s="873">
        <f t="shared" si="4"/>
        <v>74003.5</v>
      </c>
      <c r="G33" s="873">
        <v>7054.6</v>
      </c>
      <c r="H33" s="873">
        <v>310150.8</v>
      </c>
      <c r="I33" s="873">
        <v>105751.8</v>
      </c>
      <c r="J33" s="873">
        <v>37.4</v>
      </c>
      <c r="K33" s="873">
        <v>0</v>
      </c>
      <c r="L33" s="873">
        <f t="shared" si="5"/>
        <v>415940</v>
      </c>
      <c r="M33" s="873">
        <v>3680.7</v>
      </c>
      <c r="N33" s="873">
        <v>0</v>
      </c>
      <c r="O33" s="873">
        <v>0</v>
      </c>
      <c r="P33" s="873">
        <v>0</v>
      </c>
      <c r="Q33" s="873">
        <v>0</v>
      </c>
      <c r="R33" s="873">
        <v>171897.60000000001</v>
      </c>
      <c r="S33" s="873">
        <v>188002</v>
      </c>
      <c r="U33" s="739"/>
      <c r="V33" s="1527"/>
    </row>
    <row r="34" spans="1:22" ht="11.1" customHeight="1">
      <c r="A34" s="738" t="s">
        <v>564</v>
      </c>
      <c r="B34" s="874">
        <v>342571.3</v>
      </c>
      <c r="C34" s="874">
        <v>198545.2</v>
      </c>
      <c r="D34" s="874">
        <v>91318.2</v>
      </c>
      <c r="E34" s="874">
        <v>22724.1</v>
      </c>
      <c r="F34" s="874">
        <f t="shared" si="4"/>
        <v>68594.100000000006</v>
      </c>
      <c r="G34" s="874">
        <v>7074.2</v>
      </c>
      <c r="H34" s="874">
        <v>315910.7</v>
      </c>
      <c r="I34" s="874">
        <v>106653.6</v>
      </c>
      <c r="J34" s="874">
        <v>35.700000000000003</v>
      </c>
      <c r="K34" s="874">
        <v>0</v>
      </c>
      <c r="L34" s="874">
        <f t="shared" si="5"/>
        <v>422600.00000000006</v>
      </c>
      <c r="M34" s="874">
        <v>2625.7</v>
      </c>
      <c r="N34" s="874">
        <v>0</v>
      </c>
      <c r="O34" s="874">
        <v>0</v>
      </c>
      <c r="P34" s="874">
        <v>0</v>
      </c>
      <c r="Q34" s="874">
        <v>0</v>
      </c>
      <c r="R34" s="874">
        <v>173110.9</v>
      </c>
      <c r="S34" s="874">
        <v>18448.2</v>
      </c>
    </row>
    <row r="35" spans="1:22" ht="11.1" customHeight="1">
      <c r="A35" s="737" t="s">
        <v>556</v>
      </c>
      <c r="B35" s="873">
        <v>341188.7</v>
      </c>
      <c r="C35" s="873">
        <v>197453.3</v>
      </c>
      <c r="D35" s="873">
        <v>118959</v>
      </c>
      <c r="E35" s="873">
        <v>21768</v>
      </c>
      <c r="F35" s="873">
        <f t="shared" si="4"/>
        <v>97191</v>
      </c>
      <c r="G35" s="873">
        <v>7096.7</v>
      </c>
      <c r="H35" s="873">
        <v>340067.2</v>
      </c>
      <c r="I35" s="873">
        <v>101151.3</v>
      </c>
      <c r="J35" s="873">
        <v>33.1</v>
      </c>
      <c r="K35" s="873">
        <v>0</v>
      </c>
      <c r="L35" s="873">
        <f t="shared" si="5"/>
        <v>441251.6</v>
      </c>
      <c r="M35" s="873">
        <v>3528.8</v>
      </c>
      <c r="N35" s="873">
        <v>0</v>
      </c>
      <c r="O35" s="873">
        <v>0</v>
      </c>
      <c r="P35" s="873">
        <v>0</v>
      </c>
      <c r="Q35" s="873">
        <v>0</v>
      </c>
      <c r="R35" s="873">
        <v>171170.6</v>
      </c>
      <c r="S35" s="873">
        <v>26978.7</v>
      </c>
    </row>
    <row r="36" spans="1:22" ht="11.1" customHeight="1">
      <c r="A36" s="738" t="s">
        <v>565</v>
      </c>
      <c r="B36" s="874">
        <v>342995.6</v>
      </c>
      <c r="C36" s="874">
        <v>203876.7</v>
      </c>
      <c r="D36" s="874">
        <v>92520.9</v>
      </c>
      <c r="E36" s="874">
        <v>20912.3</v>
      </c>
      <c r="F36" s="874">
        <f t="shared" si="4"/>
        <v>71608.599999999991</v>
      </c>
      <c r="G36" s="874">
        <v>7113.3</v>
      </c>
      <c r="H36" s="874">
        <v>328997.90000000002</v>
      </c>
      <c r="I36" s="874">
        <v>104369.9</v>
      </c>
      <c r="J36" s="874">
        <v>18.7</v>
      </c>
      <c r="K36" s="874">
        <v>0</v>
      </c>
      <c r="L36" s="874">
        <f t="shared" si="5"/>
        <v>433386.50000000006</v>
      </c>
      <c r="M36" s="874">
        <v>2013.3</v>
      </c>
      <c r="N36" s="874">
        <v>0</v>
      </c>
      <c r="O36" s="874">
        <v>0</v>
      </c>
      <c r="P36" s="874">
        <v>0</v>
      </c>
      <c r="Q36" s="874">
        <v>0</v>
      </c>
      <c r="R36" s="874">
        <v>175034</v>
      </c>
      <c r="S36" s="874">
        <v>15160.4</v>
      </c>
    </row>
    <row r="37" spans="1:22" ht="11.1" customHeight="1">
      <c r="A37" s="737" t="s">
        <v>566</v>
      </c>
      <c r="B37" s="873">
        <v>346581.5</v>
      </c>
      <c r="C37" s="873">
        <v>246905.2</v>
      </c>
      <c r="D37" s="873">
        <v>95717.8</v>
      </c>
      <c r="E37" s="873">
        <v>19698.2</v>
      </c>
      <c r="F37" s="873">
        <f t="shared" si="4"/>
        <v>76019.600000000006</v>
      </c>
      <c r="G37" s="873">
        <v>7128</v>
      </c>
      <c r="H37" s="873">
        <v>368237.6</v>
      </c>
      <c r="I37" s="873">
        <v>115312.3</v>
      </c>
      <c r="J37" s="873">
        <v>14.4</v>
      </c>
      <c r="K37" s="873">
        <v>0</v>
      </c>
      <c r="L37" s="873">
        <f t="shared" si="5"/>
        <v>483564.3</v>
      </c>
      <c r="M37" s="873">
        <v>1900</v>
      </c>
      <c r="N37" s="873">
        <v>0</v>
      </c>
      <c r="O37" s="873">
        <v>0</v>
      </c>
      <c r="P37" s="873">
        <v>0</v>
      </c>
      <c r="Q37" s="873">
        <v>0</v>
      </c>
      <c r="R37" s="873">
        <v>175974.3</v>
      </c>
      <c r="S37" s="873">
        <v>15195.7</v>
      </c>
    </row>
    <row r="38" spans="1:22" ht="15.75" thickBot="1">
      <c r="A38" s="1712" t="s">
        <v>557</v>
      </c>
      <c r="B38" s="1713">
        <v>375093.2</v>
      </c>
      <c r="C38" s="1713">
        <v>218174.5</v>
      </c>
      <c r="D38" s="1713">
        <v>88519.1</v>
      </c>
      <c r="E38" s="1713">
        <v>19039.5</v>
      </c>
      <c r="F38" s="1713">
        <f t="shared" si="4"/>
        <v>69479.600000000006</v>
      </c>
      <c r="G38" s="1713">
        <v>7154.8</v>
      </c>
      <c r="H38" s="1713">
        <v>368286.6</v>
      </c>
      <c r="I38" s="1713">
        <v>106047.3</v>
      </c>
      <c r="J38" s="1713">
        <v>52.8</v>
      </c>
      <c r="K38" s="1713">
        <v>0</v>
      </c>
      <c r="L38" s="1713">
        <f t="shared" si="5"/>
        <v>474386.69999999995</v>
      </c>
      <c r="M38" s="1713">
        <v>3070.1</v>
      </c>
      <c r="N38" s="1713">
        <v>0</v>
      </c>
      <c r="O38" s="1713">
        <v>0</v>
      </c>
      <c r="P38" s="1713">
        <v>0</v>
      </c>
      <c r="Q38" s="1713">
        <v>0</v>
      </c>
      <c r="R38" s="1713">
        <v>181870.2</v>
      </c>
      <c r="S38" s="1713">
        <v>10575.1</v>
      </c>
    </row>
    <row r="39" spans="1:22">
      <c r="A39" s="624" t="s">
        <v>16</v>
      </c>
      <c r="B39" s="625" t="s">
        <v>1206</v>
      </c>
      <c r="C39" s="625"/>
      <c r="G39" s="628" t="s">
        <v>1296</v>
      </c>
      <c r="H39" s="729"/>
      <c r="I39" s="877"/>
      <c r="J39" s="877"/>
      <c r="K39" s="877"/>
      <c r="L39" s="877"/>
      <c r="M39" s="877"/>
      <c r="N39" s="877"/>
      <c r="O39" s="877"/>
      <c r="P39" s="877"/>
      <c r="Q39" s="877"/>
      <c r="R39" s="877"/>
      <c r="S39" s="877"/>
    </row>
    <row r="40" spans="1:22" s="1684" customFormat="1" ht="12.75"/>
    <row r="41" spans="1:22" s="1684" customFormat="1" ht="12.75"/>
    <row r="42" spans="1:22" s="1684" customFormat="1" ht="12.75"/>
    <row r="43" spans="1:22" s="1684" customFormat="1" ht="12.75"/>
    <row r="44" spans="1:22" s="1684" customFormat="1" ht="12.75"/>
    <row r="45" spans="1:22" s="1684" customFormat="1" ht="12.75"/>
    <row r="46" spans="1:22" s="1684" customFormat="1" ht="12.75"/>
    <row r="47" spans="1:22">
      <c r="B47" s="1330"/>
      <c r="C47" s="1330"/>
      <c r="D47" s="1330"/>
      <c r="E47" s="1330"/>
      <c r="F47" s="1330"/>
      <c r="G47" s="1330"/>
      <c r="H47" s="1330"/>
      <c r="I47" s="1330"/>
      <c r="J47" s="1330"/>
      <c r="K47" s="1330"/>
      <c r="L47" s="1330"/>
      <c r="M47" s="1330"/>
      <c r="N47" s="1330"/>
      <c r="O47" s="1330"/>
      <c r="P47" s="1330"/>
      <c r="Q47" s="1330"/>
      <c r="R47" s="1330"/>
      <c r="S47" s="1330"/>
    </row>
    <row r="48" spans="1:22">
      <c r="D48" s="960"/>
      <c r="E48" s="877"/>
      <c r="F48" s="960"/>
      <c r="G48" s="960"/>
      <c r="H48" s="960"/>
      <c r="I48" s="960"/>
      <c r="J48" s="960"/>
      <c r="K48" s="877"/>
      <c r="M48" s="628"/>
      <c r="N48" s="628"/>
      <c r="O48" s="628"/>
      <c r="P48" s="628"/>
    </row>
    <row r="49" spans="2:19">
      <c r="B49" s="1487"/>
      <c r="C49" s="1487"/>
      <c r="D49" s="1487"/>
      <c r="E49" s="1487"/>
      <c r="F49" s="1487"/>
      <c r="G49" s="1487"/>
      <c r="H49" s="1487"/>
      <c r="I49" s="1487"/>
      <c r="J49" s="1487"/>
      <c r="K49" s="1487"/>
      <c r="L49" s="1487"/>
      <c r="M49" s="1487"/>
      <c r="N49" s="1487"/>
      <c r="O49" s="1487"/>
      <c r="P49" s="1487"/>
      <c r="Q49" s="1487"/>
      <c r="R49" s="1487"/>
      <c r="S49" s="1487"/>
    </row>
    <row r="50" spans="2:19">
      <c r="B50" s="1487"/>
      <c r="C50" s="1487"/>
      <c r="D50" s="1487"/>
      <c r="E50" s="1487"/>
      <c r="F50" s="1487"/>
      <c r="G50" s="1487"/>
      <c r="H50" s="1487"/>
      <c r="I50" s="1487"/>
      <c r="J50" s="1487"/>
      <c r="K50" s="1487"/>
      <c r="L50" s="1487"/>
      <c r="M50" s="1487"/>
      <c r="N50" s="1487"/>
      <c r="O50" s="1487"/>
      <c r="P50" s="1487"/>
      <c r="Q50" s="1487"/>
      <c r="R50" s="1487"/>
      <c r="S50" s="1487"/>
    </row>
    <row r="51" spans="2:19">
      <c r="B51" s="1487"/>
      <c r="C51" s="1487"/>
      <c r="D51" s="1487"/>
      <c r="E51" s="1487"/>
      <c r="F51" s="1487"/>
      <c r="G51" s="1487"/>
      <c r="H51" s="1487"/>
      <c r="I51" s="1487"/>
      <c r="J51" s="1487"/>
      <c r="K51" s="1487"/>
      <c r="L51" s="1487"/>
      <c r="M51" s="1487"/>
      <c r="N51" s="1487"/>
      <c r="O51" s="1487"/>
      <c r="P51" s="1487"/>
      <c r="Q51" s="1487"/>
      <c r="R51" s="1487"/>
      <c r="S51" s="1487"/>
    </row>
    <row r="52" spans="2:19">
      <c r="D52" s="960"/>
      <c r="E52" s="877"/>
      <c r="F52" s="960"/>
      <c r="G52" s="960"/>
      <c r="H52" s="960"/>
      <c r="I52" s="960"/>
      <c r="J52" s="960"/>
      <c r="K52" s="877"/>
      <c r="M52" s="628"/>
      <c r="N52" s="628"/>
      <c r="O52" s="628"/>
      <c r="P52" s="628"/>
    </row>
    <row r="53" spans="2:19">
      <c r="D53" s="960"/>
      <c r="E53" s="877"/>
      <c r="F53" s="960"/>
      <c r="G53" s="960"/>
      <c r="H53" s="960"/>
      <c r="I53" s="960"/>
      <c r="J53" s="960"/>
      <c r="K53" s="877"/>
      <c r="M53" s="628"/>
      <c r="N53" s="628"/>
      <c r="O53" s="628"/>
      <c r="P53" s="628"/>
    </row>
    <row r="54" spans="2:19">
      <c r="D54" s="960"/>
      <c r="E54" s="877"/>
      <c r="F54" s="960"/>
      <c r="G54" s="960"/>
      <c r="H54" s="960"/>
      <c r="I54" s="960"/>
      <c r="J54" s="960"/>
      <c r="K54" s="877"/>
      <c r="M54" s="628"/>
      <c r="N54" s="628"/>
      <c r="O54" s="628"/>
      <c r="P54" s="628"/>
    </row>
    <row r="55" spans="2:19">
      <c r="D55" s="960"/>
      <c r="E55" s="877"/>
      <c r="F55" s="960"/>
      <c r="G55" s="960"/>
      <c r="H55" s="960"/>
      <c r="I55" s="960"/>
      <c r="J55" s="960"/>
      <c r="K55" s="877"/>
      <c r="M55" s="628"/>
      <c r="N55" s="628"/>
      <c r="O55" s="628"/>
      <c r="P55" s="628"/>
    </row>
    <row r="56" spans="2:19">
      <c r="D56" s="960"/>
      <c r="E56" s="877"/>
      <c r="F56" s="960"/>
      <c r="G56" s="960"/>
      <c r="H56" s="960"/>
      <c r="I56" s="960"/>
      <c r="J56" s="960"/>
      <c r="K56" s="877"/>
      <c r="M56" s="628"/>
      <c r="N56" s="628"/>
      <c r="O56" s="628"/>
      <c r="P56" s="628"/>
    </row>
    <row r="57" spans="2:19">
      <c r="D57" s="960"/>
      <c r="E57" s="877"/>
      <c r="F57" s="960"/>
      <c r="G57" s="960"/>
      <c r="H57" s="960"/>
      <c r="I57" s="960"/>
      <c r="J57" s="960"/>
      <c r="K57" s="877"/>
      <c r="M57" s="628"/>
      <c r="N57" s="628"/>
      <c r="O57" s="628"/>
      <c r="P57" s="628"/>
    </row>
  </sheetData>
  <customSheetViews>
    <customSheetView guid="{A374FC54-96E3-45F0-9C12-8450400C12DF}" scale="120">
      <pane xSplit="1" ySplit="5" topLeftCell="E33" activePane="bottomRight" state="frozen"/>
      <selection pane="bottomRight" activeCell="H40" sqref="H40"/>
      <pageMargins left="0.45" right="0.45" top="0.75" bottom="0.75" header="0.3" footer="0.3"/>
      <pageSetup paperSize="132" firstPageNumber="104" orientation="portrait" useFirstPageNumber="1" r:id="rId1"/>
      <headerFooter>
        <oddFooter>&amp;C&amp;"Times New Roman,Regular"&amp;8&amp;P</oddFooter>
      </headerFooter>
    </customSheetView>
  </customSheetViews>
  <mergeCells count="17">
    <mergeCell ref="R1:S1"/>
    <mergeCell ref="R2:S2"/>
    <mergeCell ref="B3:B4"/>
    <mergeCell ref="C3:C4"/>
    <mergeCell ref="D3:F3"/>
    <mergeCell ref="P3:P4"/>
    <mergeCell ref="Q3:Q4"/>
    <mergeCell ref="R3:R4"/>
    <mergeCell ref="H3:L3"/>
    <mergeCell ref="G3:G4"/>
    <mergeCell ref="E1:I1"/>
    <mergeCell ref="J1:K1"/>
    <mergeCell ref="A3:A5"/>
    <mergeCell ref="M3:M4"/>
    <mergeCell ref="N3:N4"/>
    <mergeCell ref="O3:O4"/>
    <mergeCell ref="S3:S4"/>
  </mergeCells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sheetPr codeName="Sheet38"/>
  <dimension ref="A1:V85"/>
  <sheetViews>
    <sheetView topLeftCell="A19" zoomScale="130" zoomScaleNormal="130" workbookViewId="0">
      <selection activeCell="R39" sqref="R39"/>
    </sheetView>
  </sheetViews>
  <sheetFormatPr defaultRowHeight="15"/>
  <cols>
    <col min="1" max="1" width="6.85546875" style="622" customWidth="1"/>
    <col min="2" max="2" width="8.140625" style="622" customWidth="1"/>
    <col min="3" max="3" width="9.7109375" style="622" customWidth="1"/>
    <col min="4" max="4" width="8" style="622" customWidth="1"/>
    <col min="5" max="5" width="8.5703125" style="622" customWidth="1"/>
    <col min="6" max="6" width="10.42578125" style="622" customWidth="1"/>
    <col min="7" max="7" width="7.5703125" style="622" customWidth="1"/>
    <col min="8" max="8" width="7.85546875" style="622" customWidth="1"/>
    <col min="9" max="9" width="10.7109375" style="622" customWidth="1"/>
    <col min="10" max="10" width="10.140625" style="622" customWidth="1"/>
    <col min="11" max="11" width="11" style="622" customWidth="1"/>
    <col min="12" max="12" width="10.5703125" style="622" customWidth="1"/>
    <col min="13" max="13" width="8.140625" style="622" customWidth="1"/>
    <col min="14" max="15" width="7.42578125" style="622" customWidth="1"/>
    <col min="16" max="16" width="9" style="622" customWidth="1"/>
    <col min="17" max="17" width="9.140625" style="622" customWidth="1"/>
    <col min="18" max="18" width="9.140625" style="622"/>
    <col min="19" max="19" width="9.5703125" style="1684" bestFit="1" customWidth="1"/>
    <col min="20" max="22" width="9.140625" style="1684"/>
    <col min="23" max="16384" width="9.140625" style="622"/>
  </cols>
  <sheetData>
    <row r="1" spans="1:22" ht="1.5" customHeight="1"/>
    <row r="2" spans="1:22" s="1249" customFormat="1" ht="15.75" customHeight="1">
      <c r="A2" s="1328"/>
      <c r="B2" s="1329"/>
      <c r="C2" s="1329"/>
      <c r="D2" s="935"/>
      <c r="E2" s="935"/>
      <c r="F2" s="935"/>
      <c r="G2" s="2663" t="s">
        <v>1991</v>
      </c>
      <c r="H2" s="2663"/>
      <c r="I2" s="2663"/>
      <c r="J2" s="2670" t="s">
        <v>1990</v>
      </c>
      <c r="K2" s="2670"/>
      <c r="L2" s="2670"/>
      <c r="M2" s="2670"/>
      <c r="N2" s="1329"/>
      <c r="O2" s="1329"/>
      <c r="P2" s="2664" t="s">
        <v>1841</v>
      </c>
      <c r="Q2" s="2664"/>
      <c r="S2" s="1684"/>
      <c r="T2" s="1684"/>
      <c r="U2" s="1684"/>
      <c r="V2" s="1684"/>
    </row>
    <row r="3" spans="1:22" ht="12" customHeight="1">
      <c r="P3" s="2665" t="s">
        <v>24</v>
      </c>
      <c r="Q3" s="2665"/>
    </row>
    <row r="4" spans="1:22" s="834" customFormat="1" ht="15" customHeight="1">
      <c r="A4" s="2666" t="s">
        <v>475</v>
      </c>
      <c r="B4" s="2655" t="s">
        <v>482</v>
      </c>
      <c r="C4" s="2669" t="s">
        <v>1375</v>
      </c>
      <c r="D4" s="2669"/>
      <c r="E4" s="2669"/>
      <c r="F4" s="2669" t="s">
        <v>1989</v>
      </c>
      <c r="G4" s="2669"/>
      <c r="H4" s="2669"/>
      <c r="I4" s="2669"/>
      <c r="J4" s="2669"/>
      <c r="K4" s="2655" t="s">
        <v>1402</v>
      </c>
      <c r="L4" s="2652" t="s">
        <v>1403</v>
      </c>
      <c r="M4" s="2652" t="s">
        <v>1370</v>
      </c>
      <c r="N4" s="2651" t="s">
        <v>1371</v>
      </c>
      <c r="O4" s="2652" t="s">
        <v>1391</v>
      </c>
      <c r="P4" s="2652" t="s">
        <v>1373</v>
      </c>
      <c r="Q4" s="2652" t="s">
        <v>1380</v>
      </c>
      <c r="S4" s="1684"/>
      <c r="T4" s="1684"/>
      <c r="U4" s="1684"/>
      <c r="V4" s="1684"/>
    </row>
    <row r="5" spans="1:22" s="834" customFormat="1" ht="72">
      <c r="A5" s="2667"/>
      <c r="B5" s="2656"/>
      <c r="C5" s="1655" t="s">
        <v>1376</v>
      </c>
      <c r="D5" s="1702" t="s">
        <v>1377</v>
      </c>
      <c r="E5" s="1702" t="s">
        <v>1385</v>
      </c>
      <c r="F5" s="1702" t="s">
        <v>1378</v>
      </c>
      <c r="G5" s="1702" t="s">
        <v>1400</v>
      </c>
      <c r="H5" s="1702" t="s">
        <v>1379</v>
      </c>
      <c r="I5" s="1702" t="s">
        <v>1401</v>
      </c>
      <c r="J5" s="1702" t="s">
        <v>1384</v>
      </c>
      <c r="K5" s="2656"/>
      <c r="L5" s="2652"/>
      <c r="M5" s="2652"/>
      <c r="N5" s="2651"/>
      <c r="O5" s="2652"/>
      <c r="P5" s="2652"/>
      <c r="Q5" s="2652"/>
      <c r="S5" s="1684"/>
      <c r="T5" s="1684"/>
      <c r="U5" s="1684"/>
      <c r="V5" s="1684"/>
    </row>
    <row r="6" spans="1:22" s="834" customFormat="1">
      <c r="A6" s="2668"/>
      <c r="B6" s="1655">
        <v>1</v>
      </c>
      <c r="C6" s="1702">
        <v>2</v>
      </c>
      <c r="D6" s="1702">
        <v>3</v>
      </c>
      <c r="E6" s="1702">
        <v>4</v>
      </c>
      <c r="F6" s="1702">
        <v>5</v>
      </c>
      <c r="G6" s="1702">
        <v>6</v>
      </c>
      <c r="H6" s="1702">
        <v>7</v>
      </c>
      <c r="I6" s="1702">
        <v>8</v>
      </c>
      <c r="J6" s="1702">
        <v>9</v>
      </c>
      <c r="K6" s="1702">
        <v>10</v>
      </c>
      <c r="L6" s="1702">
        <v>11</v>
      </c>
      <c r="M6" s="1702">
        <v>12</v>
      </c>
      <c r="N6" s="1702">
        <v>13</v>
      </c>
      <c r="O6" s="1702">
        <v>14</v>
      </c>
      <c r="P6" s="1702">
        <v>15</v>
      </c>
      <c r="Q6" s="1702">
        <v>16</v>
      </c>
      <c r="S6" s="1684"/>
      <c r="T6" s="1684"/>
      <c r="U6" s="1684"/>
      <c r="V6" s="1684"/>
    </row>
    <row r="7" spans="1:22" s="834" customFormat="1" ht="11.1" customHeight="1">
      <c r="A7" s="1243" t="s">
        <v>1298</v>
      </c>
      <c r="B7" s="1014">
        <v>219839.3</v>
      </c>
      <c r="C7" s="1014">
        <v>317375.09999999998</v>
      </c>
      <c r="D7" s="1014">
        <v>1038405.3</v>
      </c>
      <c r="E7" s="1014">
        <v>1355780.4</v>
      </c>
      <c r="F7" s="1014">
        <v>139383</v>
      </c>
      <c r="G7" s="1014">
        <v>113589.4</v>
      </c>
      <c r="H7" s="1014">
        <v>894292.2</v>
      </c>
      <c r="I7" s="1014">
        <v>226328.5</v>
      </c>
      <c r="J7" s="1014">
        <v>1373593.1</v>
      </c>
      <c r="K7" s="1014">
        <v>466.8</v>
      </c>
      <c r="L7" s="1014">
        <v>1708</v>
      </c>
      <c r="M7" s="1014">
        <v>162.19999999999999</v>
      </c>
      <c r="N7" s="1014">
        <v>0</v>
      </c>
      <c r="O7" s="1014">
        <v>0</v>
      </c>
      <c r="P7" s="1014">
        <v>149063.6</v>
      </c>
      <c r="Q7" s="1014">
        <v>50626</v>
      </c>
      <c r="S7" s="1684"/>
      <c r="T7" s="1684"/>
      <c r="U7" s="1684"/>
      <c r="V7" s="1684"/>
    </row>
    <row r="8" spans="1:22" s="834" customFormat="1" ht="11.1" customHeight="1">
      <c r="A8" s="1244" t="s">
        <v>1407</v>
      </c>
      <c r="B8" s="414">
        <v>220491</v>
      </c>
      <c r="C8" s="414">
        <v>386582.8</v>
      </c>
      <c r="D8" s="414">
        <v>1153197</v>
      </c>
      <c r="E8" s="414">
        <v>1539779.8</v>
      </c>
      <c r="F8" s="414">
        <v>152754.4</v>
      </c>
      <c r="G8" s="414">
        <v>118282.1</v>
      </c>
      <c r="H8" s="414">
        <v>988445.9</v>
      </c>
      <c r="I8" s="414">
        <v>275041.7</v>
      </c>
      <c r="J8" s="414">
        <v>1534524.1</v>
      </c>
      <c r="K8" s="414">
        <v>559.29999999999995</v>
      </c>
      <c r="L8" s="414">
        <v>2074.1999999999998</v>
      </c>
      <c r="M8" s="414">
        <v>215.9</v>
      </c>
      <c r="N8" s="414">
        <v>0</v>
      </c>
      <c r="O8" s="414">
        <v>0</v>
      </c>
      <c r="P8" s="414">
        <v>153559.5</v>
      </c>
      <c r="Q8" s="414">
        <v>69337.8</v>
      </c>
      <c r="S8" s="1684"/>
      <c r="T8" s="1684"/>
      <c r="U8" s="1684"/>
      <c r="V8" s="1684"/>
    </row>
    <row r="9" spans="1:22" s="628" customFormat="1" ht="11.1" customHeight="1">
      <c r="A9" s="1243" t="s">
        <v>1487</v>
      </c>
      <c r="B9" s="402">
        <v>250287.4</v>
      </c>
      <c r="C9" s="402">
        <v>465640.7</v>
      </c>
      <c r="D9" s="402">
        <v>1247986.8999999999</v>
      </c>
      <c r="E9" s="402">
        <v>1713627.5999999999</v>
      </c>
      <c r="F9" s="402">
        <v>190570.5</v>
      </c>
      <c r="G9" s="402">
        <v>135586.20000000001</v>
      </c>
      <c r="H9" s="402">
        <v>1090287</v>
      </c>
      <c r="I9" s="402">
        <v>288223.59999999998</v>
      </c>
      <c r="J9" s="402">
        <v>1704667.2999999998</v>
      </c>
      <c r="K9" s="402">
        <v>1431.1</v>
      </c>
      <c r="L9" s="402">
        <v>2131</v>
      </c>
      <c r="M9" s="402">
        <v>127.3</v>
      </c>
      <c r="N9" s="402">
        <v>0</v>
      </c>
      <c r="O9" s="402">
        <v>0</v>
      </c>
      <c r="P9" s="402">
        <v>162648.1</v>
      </c>
      <c r="Q9" s="402">
        <v>92910.2</v>
      </c>
      <c r="S9" s="1684"/>
      <c r="T9" s="1684"/>
      <c r="U9" s="1684"/>
      <c r="V9" s="1684"/>
    </row>
    <row r="10" spans="1:22" s="628" customFormat="1" ht="11.1" customHeight="1">
      <c r="A10" s="1246" t="s">
        <v>1539</v>
      </c>
      <c r="B10" s="415">
        <v>334673.7</v>
      </c>
      <c r="C10" s="415">
        <v>548617.69999999995</v>
      </c>
      <c r="D10" s="415">
        <v>1349330.6</v>
      </c>
      <c r="E10" s="415">
        <v>1897948.3</v>
      </c>
      <c r="F10" s="415">
        <v>207949.2</v>
      </c>
      <c r="G10" s="415">
        <v>165171.20000000001</v>
      </c>
      <c r="H10" s="415">
        <v>1226821.1000000001</v>
      </c>
      <c r="I10" s="415">
        <v>329302.40000000002</v>
      </c>
      <c r="J10" s="415">
        <v>1929243.9</v>
      </c>
      <c r="K10" s="415">
        <v>1821.9</v>
      </c>
      <c r="L10" s="415">
        <v>2833.2</v>
      </c>
      <c r="M10" s="415">
        <v>147.80000000000001</v>
      </c>
      <c r="N10" s="415">
        <v>0</v>
      </c>
      <c r="O10" s="415">
        <v>0</v>
      </c>
      <c r="P10" s="415">
        <v>186910.6</v>
      </c>
      <c r="Q10" s="415">
        <v>111664.6</v>
      </c>
      <c r="S10" s="1684"/>
      <c r="T10" s="1684"/>
      <c r="U10" s="1684"/>
      <c r="V10" s="1684"/>
    </row>
    <row r="11" spans="1:22" s="628" customFormat="1" ht="11.1" customHeight="1">
      <c r="A11" s="1247" t="s">
        <v>1810</v>
      </c>
      <c r="B11" s="402">
        <v>304447.5</v>
      </c>
      <c r="C11" s="402">
        <v>631729.80000000005</v>
      </c>
      <c r="D11" s="402">
        <v>1539232.5</v>
      </c>
      <c r="E11" s="402">
        <v>2170962.2999999998</v>
      </c>
      <c r="F11" s="402">
        <v>234783</v>
      </c>
      <c r="G11" s="402">
        <v>189735</v>
      </c>
      <c r="H11" s="402">
        <v>1324229.7</v>
      </c>
      <c r="I11" s="402">
        <v>350604.9</v>
      </c>
      <c r="J11" s="402">
        <v>2099352.6</v>
      </c>
      <c r="K11" s="402">
        <v>1590.4</v>
      </c>
      <c r="L11" s="402">
        <v>3021</v>
      </c>
      <c r="M11" s="402">
        <v>350.8</v>
      </c>
      <c r="N11" s="402">
        <v>0</v>
      </c>
      <c r="O11" s="402">
        <v>0</v>
      </c>
      <c r="P11" s="402">
        <v>206528.8</v>
      </c>
      <c r="Q11" s="402">
        <v>164566.1</v>
      </c>
      <c r="S11" s="1684"/>
      <c r="T11" s="1684"/>
      <c r="U11" s="1684"/>
      <c r="V11" s="1684"/>
    </row>
    <row r="12" spans="1:22" s="628" customFormat="1" ht="11.1" customHeight="1">
      <c r="A12" s="1245" t="s">
        <v>2056</v>
      </c>
      <c r="B12" s="1011">
        <v>271444.40000000002</v>
      </c>
      <c r="C12" s="1011">
        <v>730616.1</v>
      </c>
      <c r="D12" s="1011">
        <v>1682224.7</v>
      </c>
      <c r="E12" s="1011">
        <v>2412840.7999999998</v>
      </c>
      <c r="F12" s="1011">
        <v>290116.90000000002</v>
      </c>
      <c r="G12" s="1011">
        <v>199986.1</v>
      </c>
      <c r="H12" s="1011">
        <v>1436739.1</v>
      </c>
      <c r="I12" s="1011">
        <v>349315.4</v>
      </c>
      <c r="J12" s="1011">
        <v>2276157.5</v>
      </c>
      <c r="K12" s="1011">
        <v>2551</v>
      </c>
      <c r="L12" s="1011">
        <v>3001.4</v>
      </c>
      <c r="M12" s="1011">
        <v>212.8</v>
      </c>
      <c r="N12" s="1011">
        <v>0</v>
      </c>
      <c r="O12" s="1011">
        <v>0</v>
      </c>
      <c r="P12" s="1011">
        <v>236062.3</v>
      </c>
      <c r="Q12" s="1011">
        <v>166300.20000000001</v>
      </c>
      <c r="S12" s="1684"/>
      <c r="T12" s="1684"/>
      <c r="U12" s="1684"/>
      <c r="V12" s="1684"/>
    </row>
    <row r="13" spans="1:22" s="628" customFormat="1" ht="11.1" customHeight="1">
      <c r="A13" s="1263" t="s">
        <v>2188</v>
      </c>
      <c r="B13" s="1010">
        <f>B25</f>
        <v>250909.5</v>
      </c>
      <c r="C13" s="1010">
        <f t="shared" ref="C13:Q13" si="0">C25</f>
        <v>750141.4</v>
      </c>
      <c r="D13" s="1010">
        <f t="shared" si="0"/>
        <v>1833194.8</v>
      </c>
      <c r="E13" s="1010">
        <f t="shared" si="0"/>
        <v>2583336.2000000002</v>
      </c>
      <c r="F13" s="1010">
        <f t="shared" si="0"/>
        <v>288527.2</v>
      </c>
      <c r="G13" s="1010">
        <f t="shared" si="0"/>
        <v>211533.3</v>
      </c>
      <c r="H13" s="1010">
        <f t="shared" si="0"/>
        <v>1581093.5</v>
      </c>
      <c r="I13" s="1010">
        <f t="shared" si="0"/>
        <v>330104</v>
      </c>
      <c r="J13" s="1010">
        <f t="shared" si="0"/>
        <v>2411258</v>
      </c>
      <c r="K13" s="1010">
        <f t="shared" si="0"/>
        <v>2610.1999999999998</v>
      </c>
      <c r="L13" s="1010">
        <f t="shared" si="0"/>
        <v>3869.3</v>
      </c>
      <c r="M13" s="1010">
        <f t="shared" si="0"/>
        <v>160.4</v>
      </c>
      <c r="N13" s="1010">
        <f t="shared" si="0"/>
        <v>0</v>
      </c>
      <c r="O13" s="1010">
        <f t="shared" si="0"/>
        <v>0</v>
      </c>
      <c r="P13" s="1010">
        <f t="shared" si="0"/>
        <v>249606.39999999999</v>
      </c>
      <c r="Q13" s="1010">
        <f t="shared" si="0"/>
        <v>166741.4</v>
      </c>
      <c r="S13" s="1684"/>
      <c r="T13" s="1684"/>
      <c r="U13" s="1684"/>
      <c r="V13" s="1684"/>
    </row>
    <row r="14" spans="1:22" s="628" customFormat="1" ht="11.1" customHeight="1">
      <c r="A14" s="1246" t="s">
        <v>559</v>
      </c>
      <c r="B14" s="415">
        <v>274298.8</v>
      </c>
      <c r="C14" s="415">
        <v>732794.6</v>
      </c>
      <c r="D14" s="415">
        <v>1675780.3</v>
      </c>
      <c r="E14" s="415">
        <f t="shared" ref="E14:E51" si="1">C14+D14</f>
        <v>2408574.9</v>
      </c>
      <c r="F14" s="415">
        <v>264545.7</v>
      </c>
      <c r="G14" s="415">
        <v>193117.3</v>
      </c>
      <c r="H14" s="415">
        <v>1457685</v>
      </c>
      <c r="I14" s="415">
        <v>349129.2</v>
      </c>
      <c r="J14" s="415">
        <f t="shared" ref="J14:J51" si="2">F14+G14+H14+I14</f>
        <v>2264477.2000000002</v>
      </c>
      <c r="K14" s="415">
        <v>2367.9</v>
      </c>
      <c r="L14" s="415">
        <v>2971.3</v>
      </c>
      <c r="M14" s="415">
        <v>374.3</v>
      </c>
      <c r="N14" s="415">
        <v>0</v>
      </c>
      <c r="O14" s="415">
        <v>0</v>
      </c>
      <c r="P14" s="415">
        <v>243056.3</v>
      </c>
      <c r="Q14" s="415">
        <v>169626.7</v>
      </c>
      <c r="S14" s="1684"/>
      <c r="T14" s="1684"/>
      <c r="U14" s="1684"/>
      <c r="V14" s="1684"/>
    </row>
    <row r="15" spans="1:22" s="628" customFormat="1" ht="11.1" customHeight="1">
      <c r="A15" s="1247" t="s">
        <v>560</v>
      </c>
      <c r="B15" s="402">
        <v>263685.59999999998</v>
      </c>
      <c r="C15" s="402">
        <v>724057.2</v>
      </c>
      <c r="D15" s="402">
        <v>1686202.1</v>
      </c>
      <c r="E15" s="402">
        <f t="shared" si="1"/>
        <v>2410259.2999999998</v>
      </c>
      <c r="F15" s="402">
        <v>256537</v>
      </c>
      <c r="G15" s="402">
        <v>187721.8</v>
      </c>
      <c r="H15" s="402">
        <v>1475250.5</v>
      </c>
      <c r="I15" s="402">
        <v>348448.8</v>
      </c>
      <c r="J15" s="402">
        <f t="shared" si="2"/>
        <v>2267958.1</v>
      </c>
      <c r="K15" s="402">
        <v>1774.4</v>
      </c>
      <c r="L15" s="402">
        <v>2911.8</v>
      </c>
      <c r="M15" s="402">
        <v>321.89999999999998</v>
      </c>
      <c r="N15" s="402">
        <v>0</v>
      </c>
      <c r="O15" s="402">
        <v>0</v>
      </c>
      <c r="P15" s="402">
        <v>247771.8</v>
      </c>
      <c r="Q15" s="402">
        <v>153206.9</v>
      </c>
      <c r="S15" s="1684"/>
      <c r="T15" s="1684"/>
      <c r="U15" s="1684"/>
      <c r="V15" s="1684"/>
    </row>
    <row r="16" spans="1:22" s="628" customFormat="1" ht="11.1" customHeight="1">
      <c r="A16" s="1246" t="s">
        <v>554</v>
      </c>
      <c r="B16" s="415">
        <v>251186.7</v>
      </c>
      <c r="C16" s="415">
        <v>712650.4</v>
      </c>
      <c r="D16" s="415">
        <v>1706448.5</v>
      </c>
      <c r="E16" s="415">
        <f t="shared" si="1"/>
        <v>2419098.9</v>
      </c>
      <c r="F16" s="415">
        <v>251677.7</v>
      </c>
      <c r="G16" s="415">
        <v>187933.2</v>
      </c>
      <c r="H16" s="415">
        <v>1479825.7</v>
      </c>
      <c r="I16" s="415">
        <v>348369</v>
      </c>
      <c r="J16" s="415">
        <f t="shared" si="2"/>
        <v>2267805.6</v>
      </c>
      <c r="K16" s="415">
        <v>2838.2</v>
      </c>
      <c r="L16" s="415">
        <v>3016.1</v>
      </c>
      <c r="M16" s="415">
        <v>210.5</v>
      </c>
      <c r="N16" s="415">
        <v>0</v>
      </c>
      <c r="O16" s="415">
        <v>0</v>
      </c>
      <c r="P16" s="415">
        <v>251682.1</v>
      </c>
      <c r="Q16" s="415">
        <v>144733.1</v>
      </c>
      <c r="S16" s="1684"/>
      <c r="T16" s="1684"/>
      <c r="U16" s="1684"/>
      <c r="V16" s="1684"/>
    </row>
    <row r="17" spans="1:22" s="628" customFormat="1" ht="11.1" customHeight="1">
      <c r="A17" s="1247" t="s">
        <v>561</v>
      </c>
      <c r="B17" s="402">
        <v>242178.7</v>
      </c>
      <c r="C17" s="402">
        <v>707899.4</v>
      </c>
      <c r="D17" s="402">
        <v>1721393.7</v>
      </c>
      <c r="E17" s="402">
        <f t="shared" si="1"/>
        <v>2429293.1</v>
      </c>
      <c r="F17" s="402">
        <v>244105.7</v>
      </c>
      <c r="G17" s="402">
        <v>194822.5</v>
      </c>
      <c r="H17" s="402">
        <v>1486765.1</v>
      </c>
      <c r="I17" s="402">
        <v>347525.6</v>
      </c>
      <c r="J17" s="402">
        <f t="shared" si="2"/>
        <v>2273218.9</v>
      </c>
      <c r="K17" s="402">
        <v>2555.5</v>
      </c>
      <c r="L17" s="402">
        <v>2998.4</v>
      </c>
      <c r="M17" s="402">
        <v>181.4</v>
      </c>
      <c r="N17" s="402">
        <v>0</v>
      </c>
      <c r="O17" s="402">
        <v>0</v>
      </c>
      <c r="P17" s="402">
        <v>253994.4</v>
      </c>
      <c r="Q17" s="402">
        <v>138523.20000000001</v>
      </c>
      <c r="S17" s="1684"/>
      <c r="T17" s="1684"/>
      <c r="U17" s="1684"/>
      <c r="V17" s="1684"/>
    </row>
    <row r="18" spans="1:22" s="628" customFormat="1" ht="11.1" customHeight="1">
      <c r="A18" s="1246" t="s">
        <v>562</v>
      </c>
      <c r="B18" s="415">
        <v>227888.8</v>
      </c>
      <c r="C18" s="415">
        <v>702218.6</v>
      </c>
      <c r="D18" s="415">
        <v>1741306.4</v>
      </c>
      <c r="E18" s="415">
        <f t="shared" si="1"/>
        <v>2443525</v>
      </c>
      <c r="F18" s="415">
        <v>246597.1</v>
      </c>
      <c r="G18" s="415">
        <v>192534.7</v>
      </c>
      <c r="H18" s="415">
        <v>1494585.4</v>
      </c>
      <c r="I18" s="415">
        <v>346172.1</v>
      </c>
      <c r="J18" s="415">
        <f t="shared" si="2"/>
        <v>2279889.2999999998</v>
      </c>
      <c r="K18" s="415">
        <v>1923</v>
      </c>
      <c r="L18" s="415">
        <v>3144</v>
      </c>
      <c r="M18" s="415">
        <v>243</v>
      </c>
      <c r="N18" s="415">
        <v>0</v>
      </c>
      <c r="O18" s="415">
        <v>0</v>
      </c>
      <c r="P18" s="415">
        <v>259688.2</v>
      </c>
      <c r="Q18" s="415">
        <v>126526.3</v>
      </c>
      <c r="S18" s="1684"/>
      <c r="T18" s="1684"/>
      <c r="U18" s="1684"/>
      <c r="V18" s="1684"/>
    </row>
    <row r="19" spans="1:22" s="628" customFormat="1" ht="11.1" customHeight="1">
      <c r="A19" s="1247" t="s">
        <v>555</v>
      </c>
      <c r="B19" s="402">
        <v>240084.7</v>
      </c>
      <c r="C19" s="402">
        <v>686862</v>
      </c>
      <c r="D19" s="402">
        <v>1764046.1</v>
      </c>
      <c r="E19" s="402">
        <f t="shared" si="1"/>
        <v>2450908.1</v>
      </c>
      <c r="F19" s="402">
        <v>253010.6</v>
      </c>
      <c r="G19" s="402">
        <v>198613.6</v>
      </c>
      <c r="H19" s="402">
        <v>1502510.7</v>
      </c>
      <c r="I19" s="402">
        <v>344164.5</v>
      </c>
      <c r="J19" s="402">
        <f t="shared" si="2"/>
        <v>2298299.4</v>
      </c>
      <c r="K19" s="402">
        <v>3147.4</v>
      </c>
      <c r="L19" s="402">
        <v>3785.7</v>
      </c>
      <c r="M19" s="402">
        <v>221.5</v>
      </c>
      <c r="N19" s="402">
        <v>0</v>
      </c>
      <c r="O19" s="402">
        <v>0</v>
      </c>
      <c r="P19" s="402">
        <v>269969.2</v>
      </c>
      <c r="Q19" s="402">
        <v>115569.60000000001</v>
      </c>
      <c r="S19" s="1684"/>
      <c r="T19" s="1684"/>
      <c r="U19" s="1684"/>
      <c r="V19" s="1684"/>
    </row>
    <row r="20" spans="1:22" s="628" customFormat="1" ht="11.1" customHeight="1">
      <c r="A20" s="1246" t="s">
        <v>563</v>
      </c>
      <c r="B20" s="415">
        <v>230584.5</v>
      </c>
      <c r="C20" s="415">
        <v>701985.6</v>
      </c>
      <c r="D20" s="415">
        <v>1759248.1</v>
      </c>
      <c r="E20" s="415">
        <f t="shared" si="1"/>
        <v>2461233.7000000002</v>
      </c>
      <c r="F20" s="415">
        <v>255434.5</v>
      </c>
      <c r="G20" s="415">
        <v>188247.9</v>
      </c>
      <c r="H20" s="415">
        <v>1504989.2</v>
      </c>
      <c r="I20" s="415">
        <v>343111.9</v>
      </c>
      <c r="J20" s="415">
        <f t="shared" si="2"/>
        <v>2291783.5</v>
      </c>
      <c r="K20" s="415">
        <v>2419.6999999999998</v>
      </c>
      <c r="L20" s="415">
        <v>3768.2</v>
      </c>
      <c r="M20" s="415">
        <v>271.3</v>
      </c>
      <c r="N20" s="415">
        <v>0</v>
      </c>
      <c r="O20" s="415">
        <v>0</v>
      </c>
      <c r="P20" s="415">
        <v>251396.9</v>
      </c>
      <c r="Q20" s="415">
        <v>142178.6</v>
      </c>
      <c r="S20" s="1684"/>
      <c r="T20" s="1684"/>
      <c r="U20" s="1684"/>
      <c r="V20" s="1684"/>
    </row>
    <row r="21" spans="1:22" s="628" customFormat="1" ht="11.1" customHeight="1">
      <c r="A21" s="1247" t="s">
        <v>564</v>
      </c>
      <c r="B21" s="402">
        <v>226211.6</v>
      </c>
      <c r="C21" s="402">
        <v>717356.9</v>
      </c>
      <c r="D21" s="402">
        <v>1765826.5</v>
      </c>
      <c r="E21" s="402">
        <f t="shared" si="1"/>
        <v>2483183.4</v>
      </c>
      <c r="F21" s="402">
        <v>255706</v>
      </c>
      <c r="G21" s="402">
        <v>192021.1</v>
      </c>
      <c r="H21" s="402">
        <v>1517884.2</v>
      </c>
      <c r="I21" s="402">
        <v>341752</v>
      </c>
      <c r="J21" s="402">
        <f t="shared" si="2"/>
        <v>2307363.2999999998</v>
      </c>
      <c r="K21" s="402">
        <v>1838.6</v>
      </c>
      <c r="L21" s="402">
        <v>3737.8</v>
      </c>
      <c r="M21" s="402">
        <v>478.5</v>
      </c>
      <c r="N21" s="402">
        <v>0</v>
      </c>
      <c r="O21" s="402">
        <v>0</v>
      </c>
      <c r="P21" s="402">
        <v>254609.3</v>
      </c>
      <c r="Q21" s="402">
        <v>141367.5</v>
      </c>
      <c r="S21" s="1684"/>
      <c r="T21" s="1684"/>
      <c r="U21" s="1684"/>
      <c r="V21" s="1684"/>
    </row>
    <row r="22" spans="1:22" s="628" customFormat="1" ht="11.1" customHeight="1">
      <c r="A22" s="1246" t="s">
        <v>556</v>
      </c>
      <c r="B22" s="415">
        <v>224145.5</v>
      </c>
      <c r="C22" s="415">
        <v>724562.3</v>
      </c>
      <c r="D22" s="415">
        <v>1786113.5</v>
      </c>
      <c r="E22" s="415">
        <f t="shared" si="1"/>
        <v>2510675.7999999998</v>
      </c>
      <c r="F22" s="415">
        <v>259309.4</v>
      </c>
      <c r="G22" s="415">
        <v>196041.60000000001</v>
      </c>
      <c r="H22" s="415">
        <v>1529874.8</v>
      </c>
      <c r="I22" s="415">
        <v>338197</v>
      </c>
      <c r="J22" s="415">
        <f t="shared" si="2"/>
        <v>2323422.7999999998</v>
      </c>
      <c r="K22" s="415">
        <v>2020</v>
      </c>
      <c r="L22" s="415">
        <v>3821.4</v>
      </c>
      <c r="M22" s="415">
        <v>282.7</v>
      </c>
      <c r="N22" s="415">
        <v>0</v>
      </c>
      <c r="O22" s="415">
        <v>0</v>
      </c>
      <c r="P22" s="415">
        <v>258225.8</v>
      </c>
      <c r="Q22" s="415">
        <v>147048.6</v>
      </c>
      <c r="S22" s="1684"/>
      <c r="T22" s="1684"/>
      <c r="U22" s="1684"/>
      <c r="V22" s="1684"/>
    </row>
    <row r="23" spans="1:22" s="628" customFormat="1" ht="11.1" customHeight="1">
      <c r="A23" s="1247" t="s">
        <v>565</v>
      </c>
      <c r="B23" s="402">
        <v>211011.1</v>
      </c>
      <c r="C23" s="402">
        <v>747654.9</v>
      </c>
      <c r="D23" s="402">
        <v>1788140.5</v>
      </c>
      <c r="E23" s="402">
        <f t="shared" si="1"/>
        <v>2535795.4</v>
      </c>
      <c r="F23" s="402">
        <v>262451.59999999998</v>
      </c>
      <c r="G23" s="402">
        <v>192388.3</v>
      </c>
      <c r="H23" s="402">
        <v>1539263.3</v>
      </c>
      <c r="I23" s="402">
        <v>336201.5</v>
      </c>
      <c r="J23" s="402">
        <f t="shared" si="2"/>
        <v>2330304.7000000002</v>
      </c>
      <c r="K23" s="402">
        <v>1969.6</v>
      </c>
      <c r="L23" s="402">
        <v>3811.5</v>
      </c>
      <c r="M23" s="402">
        <v>227</v>
      </c>
      <c r="N23" s="402">
        <v>0</v>
      </c>
      <c r="O23" s="402">
        <v>0</v>
      </c>
      <c r="P23" s="402">
        <v>260034</v>
      </c>
      <c r="Q23" s="402">
        <v>150459.70000000001</v>
      </c>
      <c r="S23" s="1684"/>
      <c r="T23" s="1684"/>
      <c r="U23" s="1684"/>
      <c r="V23" s="1684"/>
    </row>
    <row r="24" spans="1:22" s="1242" customFormat="1" ht="11.1" customHeight="1">
      <c r="A24" s="1246" t="s">
        <v>566</v>
      </c>
      <c r="B24" s="415">
        <v>226639.5</v>
      </c>
      <c r="C24" s="415">
        <v>753704.2</v>
      </c>
      <c r="D24" s="415">
        <v>1814230.4</v>
      </c>
      <c r="E24" s="415">
        <f t="shared" si="1"/>
        <v>2567934.5999999996</v>
      </c>
      <c r="F24" s="415">
        <v>268754.2</v>
      </c>
      <c r="G24" s="415">
        <v>188682.2</v>
      </c>
      <c r="H24" s="415">
        <v>1561129.3</v>
      </c>
      <c r="I24" s="415">
        <v>333227.59999999998</v>
      </c>
      <c r="J24" s="415">
        <f t="shared" si="2"/>
        <v>2351793.3000000003</v>
      </c>
      <c r="K24" s="415">
        <v>2092.5</v>
      </c>
      <c r="L24" s="415">
        <v>3853.4</v>
      </c>
      <c r="M24" s="415">
        <v>216.6</v>
      </c>
      <c r="N24" s="415">
        <v>0</v>
      </c>
      <c r="O24" s="415">
        <v>0</v>
      </c>
      <c r="P24" s="415">
        <v>273297.40000000002</v>
      </c>
      <c r="Q24" s="415">
        <v>163320.9</v>
      </c>
      <c r="S24" s="1684"/>
      <c r="T24" s="1684"/>
      <c r="U24" s="1684"/>
      <c r="V24" s="1684"/>
    </row>
    <row r="25" spans="1:22" s="1242" customFormat="1" ht="11.1" customHeight="1">
      <c r="A25" s="1247" t="s">
        <v>557</v>
      </c>
      <c r="B25" s="402">
        <v>250909.5</v>
      </c>
      <c r="C25" s="402">
        <v>750141.4</v>
      </c>
      <c r="D25" s="402">
        <v>1833194.8</v>
      </c>
      <c r="E25" s="402">
        <f t="shared" si="1"/>
        <v>2583336.2000000002</v>
      </c>
      <c r="F25" s="402">
        <v>288527.2</v>
      </c>
      <c r="G25" s="402">
        <v>211533.3</v>
      </c>
      <c r="H25" s="402">
        <v>1581093.5</v>
      </c>
      <c r="I25" s="402">
        <v>330104</v>
      </c>
      <c r="J25" s="402">
        <f t="shared" si="2"/>
        <v>2411258</v>
      </c>
      <c r="K25" s="402">
        <v>2610.1999999999998</v>
      </c>
      <c r="L25" s="402">
        <v>3869.3</v>
      </c>
      <c r="M25" s="402">
        <v>160.4</v>
      </c>
      <c r="N25" s="402">
        <v>0</v>
      </c>
      <c r="O25" s="402">
        <v>0</v>
      </c>
      <c r="P25" s="402">
        <v>249606.39999999999</v>
      </c>
      <c r="Q25" s="402">
        <v>166741.4</v>
      </c>
      <c r="S25" s="1684"/>
      <c r="T25" s="1684"/>
      <c r="U25" s="1684"/>
      <c r="V25" s="1684"/>
    </row>
    <row r="26" spans="1:22" s="1242" customFormat="1" ht="11.1" customHeight="1">
      <c r="A26" s="1367" t="s">
        <v>2439</v>
      </c>
      <c r="B26" s="1011">
        <f>B38</f>
        <v>285522.5</v>
      </c>
      <c r="C26" s="1011">
        <f t="shared" ref="C26:Q26" si="3">C38</f>
        <v>815408.5</v>
      </c>
      <c r="D26" s="1011">
        <f t="shared" si="3"/>
        <v>1927650.2</v>
      </c>
      <c r="E26" s="1011">
        <f t="shared" si="3"/>
        <v>2743058.7</v>
      </c>
      <c r="F26" s="1011">
        <f t="shared" si="3"/>
        <v>294479.5</v>
      </c>
      <c r="G26" s="1011">
        <f t="shared" si="3"/>
        <v>215476.2</v>
      </c>
      <c r="H26" s="1011">
        <f t="shared" si="3"/>
        <v>1720101.7</v>
      </c>
      <c r="I26" s="1011">
        <f t="shared" si="3"/>
        <v>326473</v>
      </c>
      <c r="J26" s="1011">
        <f t="shared" si="3"/>
        <v>2556530.4</v>
      </c>
      <c r="K26" s="1011">
        <f t="shared" si="3"/>
        <v>15581.5</v>
      </c>
      <c r="L26" s="1011">
        <f t="shared" si="3"/>
        <v>6165.7</v>
      </c>
      <c r="M26" s="1011">
        <f t="shared" si="3"/>
        <v>246.2</v>
      </c>
      <c r="N26" s="1011">
        <f t="shared" si="3"/>
        <v>0</v>
      </c>
      <c r="O26" s="1011">
        <f t="shared" si="3"/>
        <v>0</v>
      </c>
      <c r="P26" s="1011">
        <f t="shared" si="3"/>
        <v>195011.8</v>
      </c>
      <c r="Q26" s="1011">
        <f t="shared" si="3"/>
        <v>255045.6</v>
      </c>
      <c r="S26" s="1684"/>
      <c r="T26" s="1684"/>
      <c r="U26" s="1684"/>
      <c r="V26" s="1684"/>
    </row>
    <row r="27" spans="1:22" s="1242" customFormat="1" ht="11.1" customHeight="1">
      <c r="A27" s="1247" t="s">
        <v>559</v>
      </c>
      <c r="B27" s="402">
        <v>244853.7</v>
      </c>
      <c r="C27" s="402">
        <v>765232.7</v>
      </c>
      <c r="D27" s="402">
        <v>1826836.7</v>
      </c>
      <c r="E27" s="402">
        <f t="shared" si="1"/>
        <v>2592069.4</v>
      </c>
      <c r="F27" s="402">
        <v>289711.90000000002</v>
      </c>
      <c r="G27" s="402">
        <v>195183</v>
      </c>
      <c r="H27" s="402">
        <v>1589440.6</v>
      </c>
      <c r="I27" s="402">
        <v>332397</v>
      </c>
      <c r="J27" s="402">
        <f t="shared" si="2"/>
        <v>2406732.5</v>
      </c>
      <c r="K27" s="402">
        <v>2630.7</v>
      </c>
      <c r="L27" s="402">
        <v>3903.4</v>
      </c>
      <c r="M27" s="402">
        <v>157.1</v>
      </c>
      <c r="N27" s="402">
        <v>0</v>
      </c>
      <c r="O27" s="402">
        <v>0</v>
      </c>
      <c r="P27" s="402">
        <v>253901.9</v>
      </c>
      <c r="Q27" s="402">
        <v>169597.5</v>
      </c>
      <c r="S27" s="1684"/>
      <c r="T27" s="1684"/>
      <c r="U27" s="1684"/>
      <c r="V27" s="1684"/>
    </row>
    <row r="28" spans="1:22" s="1242" customFormat="1" ht="11.1" customHeight="1">
      <c r="A28" s="1246" t="s">
        <v>560</v>
      </c>
      <c r="B28" s="415">
        <v>236048</v>
      </c>
      <c r="C28" s="415">
        <v>756287.5</v>
      </c>
      <c r="D28" s="415">
        <v>1830065.5</v>
      </c>
      <c r="E28" s="415">
        <f t="shared" si="1"/>
        <v>2586353</v>
      </c>
      <c r="F28" s="415">
        <v>290513.90000000002</v>
      </c>
      <c r="G28" s="415">
        <v>196055.5</v>
      </c>
      <c r="H28" s="415">
        <v>1587336</v>
      </c>
      <c r="I28" s="415">
        <v>334590</v>
      </c>
      <c r="J28" s="415">
        <f t="shared" si="2"/>
        <v>2408495.4</v>
      </c>
      <c r="K28" s="415">
        <v>3046.4</v>
      </c>
      <c r="L28" s="415">
        <v>4029.4</v>
      </c>
      <c r="M28" s="415">
        <v>233.3</v>
      </c>
      <c r="N28" s="415">
        <v>0</v>
      </c>
      <c r="O28" s="415">
        <v>0</v>
      </c>
      <c r="P28" s="415">
        <v>265106.2</v>
      </c>
      <c r="Q28" s="415">
        <v>141490.29999999999</v>
      </c>
      <c r="S28" s="1684"/>
      <c r="T28" s="1684"/>
      <c r="U28" s="1684"/>
      <c r="V28" s="1684"/>
    </row>
    <row r="29" spans="1:22" s="1242" customFormat="1" ht="11.1" customHeight="1">
      <c r="A29" s="1247" t="s">
        <v>554</v>
      </c>
      <c r="B29" s="402">
        <v>233454.2</v>
      </c>
      <c r="C29" s="402">
        <v>740993.2</v>
      </c>
      <c r="D29" s="402">
        <v>1832073.4</v>
      </c>
      <c r="E29" s="402">
        <f t="shared" si="1"/>
        <v>2573066.5999999996</v>
      </c>
      <c r="F29" s="402">
        <v>281627.2</v>
      </c>
      <c r="G29" s="402">
        <v>195013</v>
      </c>
      <c r="H29" s="402">
        <v>1601033.3</v>
      </c>
      <c r="I29" s="402">
        <v>338964</v>
      </c>
      <c r="J29" s="402">
        <f t="shared" si="2"/>
        <v>2416637.5</v>
      </c>
      <c r="K29" s="402">
        <v>3876</v>
      </c>
      <c r="L29" s="402">
        <v>4539.5</v>
      </c>
      <c r="M29" s="402">
        <v>290.39999999999998</v>
      </c>
      <c r="N29" s="402">
        <v>0</v>
      </c>
      <c r="O29" s="402">
        <v>0</v>
      </c>
      <c r="P29" s="402">
        <v>258155</v>
      </c>
      <c r="Q29" s="402">
        <v>123022.39999999999</v>
      </c>
      <c r="S29" s="1684"/>
      <c r="T29" s="1684"/>
      <c r="U29" s="1684"/>
      <c r="V29" s="1684"/>
    </row>
    <row r="30" spans="1:22" s="1242" customFormat="1" ht="11.1" customHeight="1">
      <c r="A30" s="1246" t="s">
        <v>561</v>
      </c>
      <c r="B30" s="415">
        <v>220004.2</v>
      </c>
      <c r="C30" s="415">
        <v>757358.1</v>
      </c>
      <c r="D30" s="415">
        <v>1832548.1</v>
      </c>
      <c r="E30" s="415">
        <f t="shared" si="1"/>
        <v>2589906.2000000002</v>
      </c>
      <c r="F30" s="415">
        <v>275879.8</v>
      </c>
      <c r="G30" s="415">
        <v>197072.6</v>
      </c>
      <c r="H30" s="415">
        <v>1613745.4</v>
      </c>
      <c r="I30" s="415">
        <v>336008.6</v>
      </c>
      <c r="J30" s="415">
        <f t="shared" si="2"/>
        <v>2422706.4</v>
      </c>
      <c r="K30" s="415">
        <v>1698.6</v>
      </c>
      <c r="L30" s="415">
        <v>4572.3999999999996</v>
      </c>
      <c r="M30" s="415">
        <v>279.39999999999998</v>
      </c>
      <c r="N30" s="415">
        <v>0</v>
      </c>
      <c r="O30" s="415">
        <v>0</v>
      </c>
      <c r="P30" s="415">
        <v>259926</v>
      </c>
      <c r="Q30" s="415">
        <v>120727.6</v>
      </c>
      <c r="S30" s="1684"/>
      <c r="T30" s="1684"/>
      <c r="U30" s="1684"/>
      <c r="V30" s="1684"/>
    </row>
    <row r="31" spans="1:22" s="1242" customFormat="1" ht="11.1" customHeight="1">
      <c r="A31" s="1247" t="s">
        <v>562</v>
      </c>
      <c r="B31" s="402">
        <v>221141.4</v>
      </c>
      <c r="C31" s="402">
        <v>763940.6</v>
      </c>
      <c r="D31" s="402">
        <v>1839660.6</v>
      </c>
      <c r="E31" s="402">
        <f t="shared" si="1"/>
        <v>2603601.2000000002</v>
      </c>
      <c r="F31" s="402">
        <v>276753.5</v>
      </c>
      <c r="G31" s="402">
        <v>193524.3</v>
      </c>
      <c r="H31" s="402">
        <v>1625433.2</v>
      </c>
      <c r="I31" s="402">
        <v>332775.59999999998</v>
      </c>
      <c r="J31" s="402">
        <f t="shared" si="2"/>
        <v>2428486.6</v>
      </c>
      <c r="K31" s="402">
        <v>1769.4</v>
      </c>
      <c r="L31" s="402">
        <v>4566.3999999999996</v>
      </c>
      <c r="M31" s="402">
        <v>267.3</v>
      </c>
      <c r="N31" s="402">
        <v>0</v>
      </c>
      <c r="O31" s="402">
        <v>0</v>
      </c>
      <c r="P31" s="402">
        <v>259353.60000000001</v>
      </c>
      <c r="Q31" s="402">
        <v>130299.3</v>
      </c>
      <c r="S31" s="1684"/>
      <c r="T31" s="1684"/>
      <c r="U31" s="1684"/>
      <c r="V31" s="1684"/>
    </row>
    <row r="32" spans="1:22" s="1242" customFormat="1" ht="11.1" customHeight="1">
      <c r="A32" s="1246" t="s">
        <v>555</v>
      </c>
      <c r="B32" s="415">
        <v>217392.5</v>
      </c>
      <c r="C32" s="415">
        <v>754395.2</v>
      </c>
      <c r="D32" s="415">
        <v>1864784</v>
      </c>
      <c r="E32" s="415">
        <f t="shared" si="1"/>
        <v>2619179.2000000002</v>
      </c>
      <c r="F32" s="415">
        <v>272517.90000000002</v>
      </c>
      <c r="G32" s="415">
        <v>201020</v>
      </c>
      <c r="H32" s="415">
        <v>1634602.6</v>
      </c>
      <c r="I32" s="415">
        <v>329123.20000000001</v>
      </c>
      <c r="J32" s="415">
        <f t="shared" si="2"/>
        <v>2437263.7000000002</v>
      </c>
      <c r="K32" s="415">
        <v>1682.9</v>
      </c>
      <c r="L32" s="415">
        <v>5593.3</v>
      </c>
      <c r="M32" s="415">
        <v>169.6</v>
      </c>
      <c r="N32" s="415">
        <v>0</v>
      </c>
      <c r="O32" s="415">
        <v>0</v>
      </c>
      <c r="P32" s="415">
        <v>258716.1</v>
      </c>
      <c r="Q32" s="415">
        <v>133146.1</v>
      </c>
      <c r="S32" s="1684"/>
      <c r="T32" s="1684"/>
      <c r="U32" s="1684"/>
      <c r="V32" s="1684"/>
    </row>
    <row r="33" spans="1:22" s="1242" customFormat="1" ht="11.1" customHeight="1">
      <c r="A33" s="1247" t="s">
        <v>563</v>
      </c>
      <c r="B33" s="402">
        <v>230488.6</v>
      </c>
      <c r="C33" s="402">
        <v>752076.80000000005</v>
      </c>
      <c r="D33" s="402">
        <v>1861480.3</v>
      </c>
      <c r="E33" s="402">
        <f t="shared" si="1"/>
        <v>2613557.1</v>
      </c>
      <c r="F33" s="402">
        <v>272284.3</v>
      </c>
      <c r="G33" s="402">
        <v>192459.7</v>
      </c>
      <c r="H33" s="402">
        <v>1647190</v>
      </c>
      <c r="I33" s="402">
        <v>324521.59999999998</v>
      </c>
      <c r="J33" s="402">
        <f t="shared" si="2"/>
        <v>2436455.6</v>
      </c>
      <c r="K33" s="402">
        <v>2352.9</v>
      </c>
      <c r="L33" s="402">
        <v>5713.8</v>
      </c>
      <c r="M33" s="402">
        <v>256.8</v>
      </c>
      <c r="N33" s="402">
        <v>0</v>
      </c>
      <c r="O33" s="402">
        <v>0</v>
      </c>
      <c r="P33" s="402">
        <v>257473.7</v>
      </c>
      <c r="Q33" s="402">
        <v>141792.9</v>
      </c>
      <c r="S33" s="1684"/>
      <c r="T33" s="1684"/>
      <c r="U33" s="1684"/>
      <c r="V33" s="1684"/>
    </row>
    <row r="34" spans="1:22" s="1242" customFormat="1" ht="11.1" customHeight="1">
      <c r="A34" s="1246" t="s">
        <v>564</v>
      </c>
      <c r="B34" s="415">
        <v>236082.3</v>
      </c>
      <c r="C34" s="415">
        <v>750811.3</v>
      </c>
      <c r="D34" s="415">
        <v>1865510.3</v>
      </c>
      <c r="E34" s="415">
        <f t="shared" si="1"/>
        <v>2616321.6</v>
      </c>
      <c r="F34" s="415">
        <v>269543.09999999998</v>
      </c>
      <c r="G34" s="415">
        <v>193138.5</v>
      </c>
      <c r="H34" s="415">
        <v>1657750.8</v>
      </c>
      <c r="I34" s="415">
        <v>322975.7</v>
      </c>
      <c r="J34" s="415">
        <f t="shared" si="2"/>
        <v>2443408.1</v>
      </c>
      <c r="K34" s="415">
        <v>2179</v>
      </c>
      <c r="L34" s="415">
        <v>5937.6</v>
      </c>
      <c r="M34" s="415">
        <v>200</v>
      </c>
      <c r="N34" s="415">
        <v>0</v>
      </c>
      <c r="O34" s="415">
        <v>0</v>
      </c>
      <c r="P34" s="415">
        <v>266564.5</v>
      </c>
      <c r="Q34" s="415">
        <v>134114.70000000001</v>
      </c>
      <c r="S34" s="1684"/>
      <c r="T34" s="1684"/>
      <c r="U34" s="1684"/>
      <c r="V34" s="1684"/>
    </row>
    <row r="35" spans="1:22" s="1242" customFormat="1" ht="11.1" customHeight="1">
      <c r="A35" s="1247" t="s">
        <v>556</v>
      </c>
      <c r="B35" s="402">
        <v>238917.9</v>
      </c>
      <c r="C35" s="402">
        <v>776608.2</v>
      </c>
      <c r="D35" s="402">
        <v>1900308.3</v>
      </c>
      <c r="E35" s="402">
        <f t="shared" si="1"/>
        <v>2676916.5</v>
      </c>
      <c r="F35" s="402">
        <v>294472.5</v>
      </c>
      <c r="G35" s="402">
        <v>195256.5</v>
      </c>
      <c r="H35" s="402">
        <v>1679806.5</v>
      </c>
      <c r="I35" s="402">
        <v>323324.40000000002</v>
      </c>
      <c r="J35" s="402">
        <f t="shared" si="2"/>
        <v>2492859.9</v>
      </c>
      <c r="K35" s="402">
        <v>4470.8999999999996</v>
      </c>
      <c r="L35" s="402">
        <v>6132.9</v>
      </c>
      <c r="M35" s="402">
        <v>342.4</v>
      </c>
      <c r="N35" s="402">
        <v>0</v>
      </c>
      <c r="O35" s="402">
        <v>0</v>
      </c>
      <c r="P35" s="402">
        <v>262487</v>
      </c>
      <c r="Q35" s="402">
        <v>149541.29999999999</v>
      </c>
      <c r="S35" s="1684"/>
      <c r="T35" s="1684"/>
      <c r="U35" s="1684"/>
      <c r="V35" s="1684"/>
    </row>
    <row r="36" spans="1:22" s="1242" customFormat="1" ht="11.1" customHeight="1">
      <c r="A36" s="1246" t="s">
        <v>565</v>
      </c>
      <c r="B36" s="415">
        <v>249806.5</v>
      </c>
      <c r="C36" s="415">
        <v>781445.3</v>
      </c>
      <c r="D36" s="415">
        <v>1902920.8</v>
      </c>
      <c r="E36" s="415">
        <f t="shared" si="1"/>
        <v>2684366.1</v>
      </c>
      <c r="F36" s="415">
        <v>275400.7</v>
      </c>
      <c r="G36" s="415">
        <v>196477.7</v>
      </c>
      <c r="H36" s="415">
        <v>1681352.2</v>
      </c>
      <c r="I36" s="415">
        <v>324729</v>
      </c>
      <c r="J36" s="415">
        <f t="shared" si="2"/>
        <v>2477959.6</v>
      </c>
      <c r="K36" s="415">
        <v>14043.2</v>
      </c>
      <c r="L36" s="415">
        <v>6126.9</v>
      </c>
      <c r="M36" s="415">
        <v>627.9</v>
      </c>
      <c r="N36" s="415">
        <v>0</v>
      </c>
      <c r="O36" s="415">
        <v>0</v>
      </c>
      <c r="P36" s="415">
        <v>263468.2</v>
      </c>
      <c r="Q36" s="415">
        <v>171946.8</v>
      </c>
      <c r="S36" s="1684"/>
      <c r="T36" s="1684"/>
      <c r="U36" s="1684"/>
      <c r="V36" s="1684"/>
    </row>
    <row r="37" spans="1:22" s="1242" customFormat="1" ht="11.1" customHeight="1">
      <c r="A37" s="1247" t="s">
        <v>566</v>
      </c>
      <c r="B37" s="402">
        <v>246235.1</v>
      </c>
      <c r="C37" s="402">
        <v>797102.7</v>
      </c>
      <c r="D37" s="402">
        <v>1922265.4</v>
      </c>
      <c r="E37" s="402">
        <f t="shared" si="1"/>
        <v>2719368.0999999996</v>
      </c>
      <c r="F37" s="402">
        <v>291806.8</v>
      </c>
      <c r="G37" s="402">
        <v>198072.3</v>
      </c>
      <c r="H37" s="402">
        <v>1692498.8</v>
      </c>
      <c r="I37" s="402">
        <v>326477.90000000002</v>
      </c>
      <c r="J37" s="402">
        <f t="shared" si="2"/>
        <v>2508855.7999999998</v>
      </c>
      <c r="K37" s="402">
        <v>14755.3</v>
      </c>
      <c r="L37" s="402">
        <v>6080.5</v>
      </c>
      <c r="M37" s="402">
        <v>298.5</v>
      </c>
      <c r="N37" s="402">
        <v>0</v>
      </c>
      <c r="O37" s="402">
        <v>0</v>
      </c>
      <c r="P37" s="402">
        <v>256983.6</v>
      </c>
      <c r="Q37" s="402">
        <v>178629.5</v>
      </c>
      <c r="S37" s="1684"/>
      <c r="T37" s="1684"/>
      <c r="U37" s="1684"/>
      <c r="V37" s="1684"/>
    </row>
    <row r="38" spans="1:22" s="1242" customFormat="1" ht="11.1" customHeight="1">
      <c r="A38" s="1246" t="s">
        <v>557</v>
      </c>
      <c r="B38" s="415">
        <v>285522.5</v>
      </c>
      <c r="C38" s="415">
        <v>815408.5</v>
      </c>
      <c r="D38" s="415">
        <v>1927650.2</v>
      </c>
      <c r="E38" s="415">
        <f t="shared" si="1"/>
        <v>2743058.7</v>
      </c>
      <c r="F38" s="415">
        <v>294479.5</v>
      </c>
      <c r="G38" s="415">
        <v>215476.2</v>
      </c>
      <c r="H38" s="415">
        <v>1720101.7</v>
      </c>
      <c r="I38" s="415">
        <v>326473</v>
      </c>
      <c r="J38" s="415">
        <f t="shared" si="2"/>
        <v>2556530.4</v>
      </c>
      <c r="K38" s="415">
        <v>15581.5</v>
      </c>
      <c r="L38" s="415">
        <v>6165.7</v>
      </c>
      <c r="M38" s="415">
        <v>246.2</v>
      </c>
      <c r="N38" s="415">
        <v>0</v>
      </c>
      <c r="O38" s="415">
        <v>0</v>
      </c>
      <c r="P38" s="415">
        <v>195011.8</v>
      </c>
      <c r="Q38" s="415">
        <v>255045.6</v>
      </c>
      <c r="S38" s="1684"/>
      <c r="T38" s="1684"/>
      <c r="U38" s="1684"/>
      <c r="V38" s="1684"/>
    </row>
    <row r="39" spans="1:22" s="925" customFormat="1" ht="11.1" customHeight="1">
      <c r="A39" s="1263" t="s">
        <v>2676</v>
      </c>
      <c r="B39" s="1010">
        <f>B51</f>
        <v>345278.1</v>
      </c>
      <c r="C39" s="1010">
        <f t="shared" ref="C39:Q39" si="4">C51</f>
        <v>983092.7</v>
      </c>
      <c r="D39" s="1010">
        <f t="shared" si="4"/>
        <v>2017091.2</v>
      </c>
      <c r="E39" s="1010">
        <f t="shared" si="4"/>
        <v>3000183.9</v>
      </c>
      <c r="F39" s="1010">
        <f t="shared" si="4"/>
        <v>334387.09999999998</v>
      </c>
      <c r="G39" s="1010">
        <f t="shared" si="4"/>
        <v>229557.6</v>
      </c>
      <c r="H39" s="1010">
        <f t="shared" si="4"/>
        <v>1907326.4</v>
      </c>
      <c r="I39" s="1010">
        <f t="shared" si="4"/>
        <v>328622.2</v>
      </c>
      <c r="J39" s="1010">
        <f t="shared" si="4"/>
        <v>2799893.3</v>
      </c>
      <c r="K39" s="1010">
        <f t="shared" si="4"/>
        <v>19045.5</v>
      </c>
      <c r="L39" s="1010">
        <f t="shared" si="4"/>
        <v>7936.3</v>
      </c>
      <c r="M39" s="1010">
        <f t="shared" si="4"/>
        <v>417</v>
      </c>
      <c r="N39" s="1010">
        <f t="shared" si="4"/>
        <v>0</v>
      </c>
      <c r="O39" s="1010">
        <f t="shared" si="4"/>
        <v>0</v>
      </c>
      <c r="P39" s="1010">
        <f t="shared" si="4"/>
        <v>89711</v>
      </c>
      <c r="Q39" s="1010">
        <f t="shared" si="4"/>
        <v>428458.9</v>
      </c>
      <c r="S39" s="1684"/>
      <c r="T39" s="1684"/>
      <c r="U39" s="1684"/>
      <c r="V39" s="1684"/>
    </row>
    <row r="40" spans="1:22" s="925" customFormat="1" ht="11.1" customHeight="1">
      <c r="A40" s="1246" t="s">
        <v>559</v>
      </c>
      <c r="B40" s="415">
        <v>276030.40000000002</v>
      </c>
      <c r="C40" s="415">
        <v>828948.9</v>
      </c>
      <c r="D40" s="415">
        <v>1926003</v>
      </c>
      <c r="E40" s="415">
        <f t="shared" si="1"/>
        <v>2754951.9</v>
      </c>
      <c r="F40" s="415">
        <v>285311.40000000002</v>
      </c>
      <c r="G40" s="415">
        <v>200392.5</v>
      </c>
      <c r="H40" s="415">
        <v>1736531.4</v>
      </c>
      <c r="I40" s="415">
        <v>327856.2</v>
      </c>
      <c r="J40" s="415">
        <f t="shared" si="2"/>
        <v>2550091.5</v>
      </c>
      <c r="K40" s="415">
        <v>15772</v>
      </c>
      <c r="L40" s="415">
        <v>6209.1</v>
      </c>
      <c r="M40" s="415">
        <v>240.6</v>
      </c>
      <c r="N40" s="415">
        <v>0</v>
      </c>
      <c r="O40" s="415">
        <v>0</v>
      </c>
      <c r="P40" s="415">
        <v>245662.2</v>
      </c>
      <c r="Q40" s="415">
        <v>213006.9</v>
      </c>
      <c r="S40" s="1684"/>
      <c r="T40" s="1684"/>
      <c r="U40" s="1684"/>
      <c r="V40" s="1684"/>
    </row>
    <row r="41" spans="1:22" s="925" customFormat="1" ht="11.1" customHeight="1">
      <c r="A41" s="1247" t="s">
        <v>560</v>
      </c>
      <c r="B41" s="402">
        <v>282657.3</v>
      </c>
      <c r="C41" s="402">
        <v>825540</v>
      </c>
      <c r="D41" s="402">
        <v>1931981</v>
      </c>
      <c r="E41" s="402">
        <f t="shared" si="1"/>
        <v>2757521</v>
      </c>
      <c r="F41" s="402">
        <v>274502.7</v>
      </c>
      <c r="G41" s="402">
        <v>203505.9</v>
      </c>
      <c r="H41" s="402">
        <v>1758472.2</v>
      </c>
      <c r="I41" s="402">
        <v>328324.8</v>
      </c>
      <c r="J41" s="402">
        <f t="shared" si="2"/>
        <v>2564805.5999999996</v>
      </c>
      <c r="K41" s="402">
        <v>15829.4</v>
      </c>
      <c r="L41" s="402">
        <v>6148.4</v>
      </c>
      <c r="M41" s="402">
        <v>372.7</v>
      </c>
      <c r="N41" s="402">
        <v>0</v>
      </c>
      <c r="O41" s="402">
        <v>0</v>
      </c>
      <c r="P41" s="402">
        <v>246450.1</v>
      </c>
      <c r="Q41" s="402">
        <v>206572.1</v>
      </c>
      <c r="S41" s="1684"/>
      <c r="T41" s="1684"/>
      <c r="U41" s="1684"/>
      <c r="V41" s="1684"/>
    </row>
    <row r="42" spans="1:22" s="925" customFormat="1" ht="11.1" customHeight="1">
      <c r="A42" s="1246" t="s">
        <v>554</v>
      </c>
      <c r="B42" s="415">
        <v>280500</v>
      </c>
      <c r="C42" s="415">
        <v>844821.5</v>
      </c>
      <c r="D42" s="415">
        <v>1943942.5</v>
      </c>
      <c r="E42" s="415">
        <f t="shared" si="1"/>
        <v>2788764</v>
      </c>
      <c r="F42" s="415">
        <v>272725.3</v>
      </c>
      <c r="G42" s="415">
        <v>199283.6</v>
      </c>
      <c r="H42" s="415">
        <v>1772112</v>
      </c>
      <c r="I42" s="415">
        <v>328931.40000000002</v>
      </c>
      <c r="J42" s="415">
        <f t="shared" si="2"/>
        <v>2573052.2999999998</v>
      </c>
      <c r="K42" s="415">
        <v>15636.6</v>
      </c>
      <c r="L42" s="415">
        <v>6341.7</v>
      </c>
      <c r="M42" s="415">
        <v>297.8</v>
      </c>
      <c r="N42" s="415">
        <v>0</v>
      </c>
      <c r="O42" s="415">
        <v>0</v>
      </c>
      <c r="P42" s="415">
        <v>251677.8</v>
      </c>
      <c r="Q42" s="415">
        <v>222257.8</v>
      </c>
      <c r="S42" s="1684"/>
      <c r="T42" s="1684"/>
      <c r="U42" s="1684"/>
      <c r="V42" s="1684"/>
    </row>
    <row r="43" spans="1:22" s="1485" customFormat="1" ht="11.1" customHeight="1">
      <c r="A43" s="1483" t="s">
        <v>561</v>
      </c>
      <c r="B43" s="1484">
        <v>279657.59999999998</v>
      </c>
      <c r="C43" s="1484">
        <v>858811.2</v>
      </c>
      <c r="D43" s="1484">
        <v>1950030.5</v>
      </c>
      <c r="E43" s="1484">
        <f t="shared" si="1"/>
        <v>2808841.7</v>
      </c>
      <c r="F43" s="1484">
        <v>268442</v>
      </c>
      <c r="G43" s="1484">
        <v>198434.6</v>
      </c>
      <c r="H43" s="1484">
        <v>1783557.5</v>
      </c>
      <c r="I43" s="1484">
        <v>329499.09999999998</v>
      </c>
      <c r="J43" s="402">
        <f t="shared" si="2"/>
        <v>2579933.2000000002</v>
      </c>
      <c r="K43" s="1484">
        <v>16011.5</v>
      </c>
      <c r="L43" s="1484">
        <v>6062.1</v>
      </c>
      <c r="M43" s="1484">
        <v>442</v>
      </c>
      <c r="N43" s="1484">
        <v>0</v>
      </c>
      <c r="O43" s="1484">
        <v>0</v>
      </c>
      <c r="P43" s="1484">
        <v>251287.5</v>
      </c>
      <c r="Q43" s="1484">
        <v>234763</v>
      </c>
      <c r="R43" s="1684"/>
      <c r="S43" s="1684"/>
      <c r="T43" s="1684"/>
      <c r="U43" s="1684"/>
      <c r="V43" s="1684"/>
    </row>
    <row r="44" spans="1:22" s="1485" customFormat="1" ht="11.1" customHeight="1">
      <c r="A44" s="1246" t="s">
        <v>562</v>
      </c>
      <c r="B44" s="415">
        <v>283202.5</v>
      </c>
      <c r="C44" s="415">
        <v>881477.4</v>
      </c>
      <c r="D44" s="415">
        <v>1966343.3</v>
      </c>
      <c r="E44" s="415">
        <f t="shared" si="1"/>
        <v>2847820.7</v>
      </c>
      <c r="F44" s="415">
        <v>267003</v>
      </c>
      <c r="G44" s="415">
        <v>204883.6</v>
      </c>
      <c r="H44" s="415">
        <v>1805269.8</v>
      </c>
      <c r="I44" s="415">
        <v>329359.5</v>
      </c>
      <c r="J44" s="415">
        <f t="shared" si="2"/>
        <v>2606515.9</v>
      </c>
      <c r="K44" s="415">
        <v>16331</v>
      </c>
      <c r="L44" s="415">
        <v>6153.4</v>
      </c>
      <c r="M44" s="415">
        <v>509.9</v>
      </c>
      <c r="N44" s="415">
        <v>0</v>
      </c>
      <c r="O44" s="415">
        <v>0</v>
      </c>
      <c r="P44" s="415">
        <v>225010.3</v>
      </c>
      <c r="Q44" s="415">
        <v>276502.7</v>
      </c>
      <c r="R44" s="1684"/>
      <c r="S44" s="1684"/>
      <c r="T44" s="1684"/>
      <c r="U44" s="1684"/>
      <c r="V44" s="1684"/>
    </row>
    <row r="45" spans="1:22" ht="11.1" customHeight="1">
      <c r="A45" s="1247" t="s">
        <v>555</v>
      </c>
      <c r="B45" s="402">
        <v>290448</v>
      </c>
      <c r="C45" s="402">
        <v>877036.7</v>
      </c>
      <c r="D45" s="402">
        <v>1975579.6</v>
      </c>
      <c r="E45" s="1484">
        <f t="shared" si="1"/>
        <v>2852616.3</v>
      </c>
      <c r="F45" s="402">
        <v>273327.59999999998</v>
      </c>
      <c r="G45" s="402">
        <v>214000.9</v>
      </c>
      <c r="H45" s="402">
        <v>1820011.2</v>
      </c>
      <c r="I45" s="402">
        <v>329837</v>
      </c>
      <c r="J45" s="402">
        <f t="shared" si="2"/>
        <v>2637176.7000000002</v>
      </c>
      <c r="K45" s="402">
        <v>16521.3</v>
      </c>
      <c r="L45" s="402">
        <v>6518.9</v>
      </c>
      <c r="M45" s="402">
        <v>352.9</v>
      </c>
      <c r="N45" s="402">
        <v>0</v>
      </c>
      <c r="O45" s="402">
        <v>0</v>
      </c>
      <c r="P45" s="402">
        <v>110513.60000000001</v>
      </c>
      <c r="Q45" s="402">
        <v>371980.9</v>
      </c>
      <c r="R45" s="1684"/>
    </row>
    <row r="46" spans="1:22" ht="11.1" customHeight="1">
      <c r="A46" s="1246" t="s">
        <v>563</v>
      </c>
      <c r="B46" s="415">
        <v>301420</v>
      </c>
      <c r="C46" s="415">
        <v>889423.5</v>
      </c>
      <c r="D46" s="415">
        <v>1968409.4</v>
      </c>
      <c r="E46" s="415">
        <f t="shared" si="1"/>
        <v>2857832.9</v>
      </c>
      <c r="F46" s="415">
        <v>280602.7</v>
      </c>
      <c r="G46" s="415">
        <v>202126.6</v>
      </c>
      <c r="H46" s="415">
        <v>1824550.5</v>
      </c>
      <c r="I46" s="415">
        <v>328163.7</v>
      </c>
      <c r="J46" s="415">
        <f t="shared" si="2"/>
        <v>2635443.5</v>
      </c>
      <c r="K46" s="415">
        <v>20382.3</v>
      </c>
      <c r="L46" s="415">
        <v>6659.9</v>
      </c>
      <c r="M46" s="415">
        <v>302.10000000000002</v>
      </c>
      <c r="N46" s="415">
        <v>0</v>
      </c>
      <c r="O46" s="415">
        <v>0</v>
      </c>
      <c r="P46" s="415">
        <v>109658.7</v>
      </c>
      <c r="Q46" s="415">
        <v>386806.4</v>
      </c>
      <c r="R46" s="1684"/>
    </row>
    <row r="47" spans="1:22" ht="11.1" customHeight="1">
      <c r="A47" s="1247" t="s">
        <v>564</v>
      </c>
      <c r="B47" s="402">
        <v>314943.40000000002</v>
      </c>
      <c r="C47" s="402">
        <v>904641.5</v>
      </c>
      <c r="D47" s="402">
        <v>1974128.5</v>
      </c>
      <c r="E47" s="1484">
        <f t="shared" si="1"/>
        <v>2878770</v>
      </c>
      <c r="F47" s="402">
        <v>284376.5</v>
      </c>
      <c r="G47" s="402">
        <v>206426.7</v>
      </c>
      <c r="H47" s="402">
        <v>1847399.6</v>
      </c>
      <c r="I47" s="402">
        <v>327096.2</v>
      </c>
      <c r="J47" s="402">
        <f t="shared" si="2"/>
        <v>2665299.0000000005</v>
      </c>
      <c r="K47" s="402">
        <v>17264.2</v>
      </c>
      <c r="L47" s="402">
        <v>6815.8</v>
      </c>
      <c r="M47" s="402">
        <v>434.6</v>
      </c>
      <c r="N47" s="402">
        <v>0</v>
      </c>
      <c r="O47" s="402">
        <v>0</v>
      </c>
      <c r="P47" s="402">
        <v>109633.3</v>
      </c>
      <c r="Q47" s="402">
        <v>394266.5</v>
      </c>
      <c r="R47" s="1684"/>
    </row>
    <row r="48" spans="1:22" ht="11.1" customHeight="1">
      <c r="A48" s="1246" t="s">
        <v>556</v>
      </c>
      <c r="B48" s="415">
        <v>328723.5</v>
      </c>
      <c r="C48" s="415">
        <v>939586</v>
      </c>
      <c r="D48" s="415">
        <v>1987136.4</v>
      </c>
      <c r="E48" s="415">
        <f t="shared" si="1"/>
        <v>2926722.4</v>
      </c>
      <c r="F48" s="415">
        <v>300991.7</v>
      </c>
      <c r="G48" s="415">
        <v>218445.9</v>
      </c>
      <c r="H48" s="415">
        <v>1872710.2</v>
      </c>
      <c r="I48" s="415">
        <v>325020.90000000002</v>
      </c>
      <c r="J48" s="415">
        <f t="shared" si="2"/>
        <v>2717168.6999999997</v>
      </c>
      <c r="K48" s="415">
        <v>18831.400000000001</v>
      </c>
      <c r="L48" s="415">
        <v>6912.1</v>
      </c>
      <c r="M48" s="415">
        <v>565.9</v>
      </c>
      <c r="N48" s="415">
        <v>0</v>
      </c>
      <c r="O48" s="415">
        <v>0</v>
      </c>
      <c r="P48" s="415">
        <v>103514.7</v>
      </c>
      <c r="Q48" s="415">
        <v>408453.1</v>
      </c>
      <c r="R48" s="1684"/>
    </row>
    <row r="49" spans="1:18" ht="11.1" customHeight="1">
      <c r="A49" s="1247" t="s">
        <v>565</v>
      </c>
      <c r="B49" s="402">
        <v>326634.40000000002</v>
      </c>
      <c r="C49" s="402">
        <v>922187.3</v>
      </c>
      <c r="D49" s="402">
        <v>1989721.2</v>
      </c>
      <c r="E49" s="1484">
        <f t="shared" si="1"/>
        <v>2911908.5</v>
      </c>
      <c r="F49" s="402">
        <v>297395.7</v>
      </c>
      <c r="G49" s="402">
        <v>212160</v>
      </c>
      <c r="H49" s="402">
        <v>1884790.3</v>
      </c>
      <c r="I49" s="402">
        <v>327370.2</v>
      </c>
      <c r="J49" s="402">
        <f t="shared" si="2"/>
        <v>2721716.2</v>
      </c>
      <c r="K49" s="402">
        <v>17806.2</v>
      </c>
      <c r="L49" s="402">
        <v>7018.4</v>
      </c>
      <c r="M49" s="402">
        <v>314</v>
      </c>
      <c r="N49" s="402">
        <v>0</v>
      </c>
      <c r="O49" s="402">
        <v>0</v>
      </c>
      <c r="P49" s="402">
        <v>95233.7</v>
      </c>
      <c r="Q49" s="402">
        <v>396454.40000000002</v>
      </c>
      <c r="R49" s="1684"/>
    </row>
    <row r="50" spans="1:18" ht="11.1" customHeight="1">
      <c r="A50" s="1246" t="s">
        <v>566</v>
      </c>
      <c r="B50" s="415">
        <v>325488</v>
      </c>
      <c r="C50" s="415">
        <v>912612.9</v>
      </c>
      <c r="D50" s="415">
        <v>2009518.3</v>
      </c>
      <c r="E50" s="415">
        <f t="shared" si="1"/>
        <v>2922131.2</v>
      </c>
      <c r="F50" s="415">
        <v>347392.1</v>
      </c>
      <c r="G50" s="415">
        <v>208339.8</v>
      </c>
      <c r="H50" s="415">
        <v>1891532.5</v>
      </c>
      <c r="I50" s="415">
        <v>328622.2</v>
      </c>
      <c r="J50" s="415">
        <f t="shared" si="2"/>
        <v>2775886.6</v>
      </c>
      <c r="K50" s="415">
        <v>17987.599999999999</v>
      </c>
      <c r="L50" s="415">
        <v>7498.8</v>
      </c>
      <c r="M50" s="415">
        <v>237.2</v>
      </c>
      <c r="N50" s="415">
        <v>0</v>
      </c>
      <c r="O50" s="415">
        <v>0</v>
      </c>
      <c r="P50" s="415">
        <v>93413.9</v>
      </c>
      <c r="Q50" s="415">
        <v>352595.1</v>
      </c>
      <c r="R50" s="1684"/>
    </row>
    <row r="51" spans="1:18" ht="11.1" customHeight="1" thickBot="1">
      <c r="A51" s="1714" t="s">
        <v>557</v>
      </c>
      <c r="B51" s="1552">
        <v>345278.1</v>
      </c>
      <c r="C51" s="1552">
        <v>983092.7</v>
      </c>
      <c r="D51" s="1552">
        <v>2017091.2</v>
      </c>
      <c r="E51" s="1715">
        <f t="shared" si="1"/>
        <v>3000183.9</v>
      </c>
      <c r="F51" s="1552">
        <v>334387.09999999998</v>
      </c>
      <c r="G51" s="1552">
        <v>229557.6</v>
      </c>
      <c r="H51" s="1552">
        <v>1907326.4</v>
      </c>
      <c r="I51" s="1552">
        <v>328622.2</v>
      </c>
      <c r="J51" s="1552">
        <f t="shared" si="2"/>
        <v>2799893.3</v>
      </c>
      <c r="K51" s="1552">
        <v>19045.5</v>
      </c>
      <c r="L51" s="1552">
        <v>7936.3</v>
      </c>
      <c r="M51" s="1552">
        <v>417</v>
      </c>
      <c r="N51" s="1552">
        <v>0</v>
      </c>
      <c r="O51" s="1552">
        <v>0</v>
      </c>
      <c r="P51" s="1552">
        <v>89711</v>
      </c>
      <c r="Q51" s="1552">
        <v>428458.9</v>
      </c>
      <c r="R51" s="1684"/>
    </row>
    <row r="52" spans="1:18">
      <c r="A52" s="1446" t="s">
        <v>16</v>
      </c>
      <c r="B52" s="1248" t="s">
        <v>1206</v>
      </c>
      <c r="C52" s="1249"/>
      <c r="D52" s="1249"/>
      <c r="E52" s="877"/>
      <c r="F52" s="1000"/>
      <c r="G52" s="1000"/>
      <c r="H52" s="1000"/>
      <c r="I52" s="1000"/>
      <c r="J52" s="1001"/>
      <c r="K52" s="929"/>
      <c r="L52" s="929"/>
      <c r="M52" s="929"/>
      <c r="N52" s="929"/>
      <c r="O52" s="961"/>
      <c r="P52" s="1002"/>
      <c r="Q52" s="1002"/>
      <c r="R52" s="1684"/>
    </row>
    <row r="53" spans="1:18">
      <c r="A53" s="960"/>
      <c r="B53" s="960"/>
      <c r="C53" s="960"/>
      <c r="E53" s="877"/>
      <c r="F53" s="1000"/>
      <c r="G53" s="1000"/>
      <c r="H53" s="1000"/>
      <c r="I53" s="1000"/>
      <c r="J53" s="1001"/>
      <c r="K53" s="929"/>
      <c r="L53" s="929"/>
      <c r="M53" s="929"/>
      <c r="N53" s="929"/>
      <c r="O53" s="961"/>
      <c r="P53" s="1002"/>
      <c r="Q53" s="1002"/>
      <c r="R53" s="1684"/>
    </row>
    <row r="54" spans="1:18" s="1684" customFormat="1" ht="12.75"/>
    <row r="55" spans="1:18" s="1684" customFormat="1" ht="12.75"/>
    <row r="56" spans="1:18" s="1684" customFormat="1" ht="12.75"/>
    <row r="57" spans="1:18" s="1684" customFormat="1" ht="61.5" customHeight="1"/>
    <row r="58" spans="1:18" s="1684" customFormat="1" ht="12.75"/>
    <row r="59" spans="1:18" s="1684" customFormat="1" ht="12.75"/>
    <row r="60" spans="1:18" s="1684" customFormat="1" ht="12.75"/>
    <row r="61" spans="1:18" s="1684" customFormat="1" ht="12.75"/>
    <row r="62" spans="1:18" s="1684" customFormat="1" ht="12.75"/>
    <row r="63" spans="1:18" s="1684" customFormat="1" ht="12.75"/>
    <row r="64" spans="1:18" s="1684" customFormat="1" ht="12.75"/>
    <row r="65" s="1684" customFormat="1" ht="12.75"/>
    <row r="66" s="1684" customFormat="1" ht="12.75"/>
    <row r="67" s="1684" customFormat="1" ht="12.75"/>
    <row r="68" s="1684" customFormat="1" ht="12.75"/>
    <row r="69" s="1684" customFormat="1" ht="12.75"/>
    <row r="70" s="1684" customFormat="1" ht="12.75"/>
    <row r="71" s="1684" customFormat="1" ht="12.75"/>
    <row r="72" s="1684" customFormat="1" ht="12.75"/>
    <row r="73" s="1684" customFormat="1" ht="12.75"/>
    <row r="74" s="1684" customFormat="1" ht="12.75"/>
    <row r="75" s="1684" customFormat="1" ht="12.75"/>
    <row r="76" s="1684" customFormat="1" ht="12.75"/>
    <row r="77" s="1684" customFormat="1" ht="12.75"/>
    <row r="78" s="1684" customFormat="1" ht="12.75"/>
    <row r="79" s="1684" customFormat="1" ht="12.75"/>
    <row r="80" s="1684" customFormat="1" ht="12.75"/>
    <row r="81" spans="1:17" s="1684" customFormat="1" ht="12.75"/>
    <row r="82" spans="1:17" s="1684" customFormat="1" ht="12.75"/>
    <row r="83" spans="1:17" s="1684" customFormat="1" ht="12.75"/>
    <row r="84" spans="1:17">
      <c r="A84" s="960"/>
      <c r="B84" s="960"/>
      <c r="C84" s="960"/>
      <c r="D84" s="960"/>
      <c r="E84" s="960"/>
      <c r="F84" s="960"/>
      <c r="G84" s="960"/>
      <c r="H84" s="960"/>
      <c r="I84" s="960"/>
      <c r="J84" s="960"/>
      <c r="K84" s="960"/>
      <c r="L84" s="960"/>
      <c r="M84" s="960"/>
      <c r="N84" s="960"/>
      <c r="O84" s="960"/>
      <c r="P84" s="960"/>
      <c r="Q84" s="960"/>
    </row>
    <row r="85" spans="1:17">
      <c r="F85" s="1003"/>
      <c r="G85" s="1003"/>
      <c r="H85" s="1003"/>
      <c r="I85" s="1003"/>
      <c r="J85" s="1003"/>
      <c r="K85" s="1003"/>
      <c r="L85" s="1003"/>
      <c r="M85" s="1003"/>
      <c r="N85" s="1003"/>
      <c r="O85" s="1003"/>
      <c r="P85" s="1003"/>
      <c r="Q85" s="1003"/>
    </row>
  </sheetData>
  <customSheetViews>
    <customSheetView guid="{A374FC54-96E3-45F0-9C12-8450400C12DF}" scale="120" topLeftCell="A22">
      <selection activeCell="H44" sqref="H44"/>
      <pageMargins left="0.75" right="0.45" top="0.75" bottom="0.75" header="0.3" footer="0.3"/>
      <pageSetup paperSize="132" firstPageNumber="106" orientation="portrait" useFirstPageNumber="1" r:id="rId1"/>
      <headerFooter>
        <oddFooter>&amp;C&amp;"Times New Roman,Regular"&amp;8&amp;P</oddFooter>
      </headerFooter>
    </customSheetView>
  </customSheetViews>
  <mergeCells count="15">
    <mergeCell ref="G2:I2"/>
    <mergeCell ref="P2:Q2"/>
    <mergeCell ref="P3:Q3"/>
    <mergeCell ref="A4:A6"/>
    <mergeCell ref="B4:B5"/>
    <mergeCell ref="C4:E4"/>
    <mergeCell ref="F4:J4"/>
    <mergeCell ref="K4:K5"/>
    <mergeCell ref="L4:L5"/>
    <mergeCell ref="M4:M5"/>
    <mergeCell ref="N4:N5"/>
    <mergeCell ref="O4:O5"/>
    <mergeCell ref="P4:P5"/>
    <mergeCell ref="Q4:Q5"/>
    <mergeCell ref="J2:M2"/>
  </mergeCells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dimension ref="A1:O43"/>
  <sheetViews>
    <sheetView topLeftCell="A10" zoomScale="130" zoomScaleNormal="130" workbookViewId="0">
      <selection activeCell="K4" sqref="K4"/>
    </sheetView>
  </sheetViews>
  <sheetFormatPr defaultColWidth="9.140625" defaultRowHeight="12.75"/>
  <cols>
    <col min="1" max="1" width="5.140625" style="685" customWidth="1"/>
    <col min="2" max="2" width="7.7109375" style="685" customWidth="1"/>
    <col min="3" max="3" width="8.7109375" style="1574" customWidth="1"/>
    <col min="4" max="4" width="9.42578125" style="1574" customWidth="1"/>
    <col min="5" max="6" width="9.140625" style="1574" customWidth="1"/>
    <col min="7" max="7" width="10.140625" style="1574" customWidth="1"/>
    <col min="8" max="8" width="10.7109375" style="685" customWidth="1"/>
    <col min="9" max="9" width="9.28515625" style="685" customWidth="1"/>
    <col min="10" max="16384" width="9.140625" style="685"/>
  </cols>
  <sheetData>
    <row r="1" spans="1:15" ht="19.5">
      <c r="A1" s="2675" t="s">
        <v>1507</v>
      </c>
      <c r="B1" s="2675"/>
      <c r="C1" s="2675"/>
      <c r="D1" s="2675"/>
      <c r="E1" s="2675"/>
      <c r="F1" s="2675"/>
      <c r="G1" s="2675"/>
      <c r="H1" s="2675"/>
      <c r="I1" s="1632" t="s">
        <v>1508</v>
      </c>
    </row>
    <row r="2" spans="1:15">
      <c r="A2" s="153"/>
      <c r="B2" s="153"/>
      <c r="C2" s="161"/>
      <c r="D2" s="161"/>
      <c r="E2" s="161"/>
      <c r="F2" s="161"/>
      <c r="H2" s="2672" t="s">
        <v>2758</v>
      </c>
      <c r="I2" s="2672"/>
    </row>
    <row r="3" spans="1:15" ht="33.75" customHeight="1">
      <c r="A3" s="2680" t="s">
        <v>21</v>
      </c>
      <c r="B3" s="2681"/>
      <c r="C3" s="1572" t="s">
        <v>1497</v>
      </c>
      <c r="D3" s="1575" t="s">
        <v>1411</v>
      </c>
      <c r="E3" s="1063" t="s">
        <v>1819</v>
      </c>
      <c r="F3" s="1063" t="s">
        <v>1820</v>
      </c>
      <c r="G3" s="1063" t="s">
        <v>1421</v>
      </c>
      <c r="H3" s="1063" t="s">
        <v>1488</v>
      </c>
      <c r="I3" s="1063" t="s">
        <v>1422</v>
      </c>
    </row>
    <row r="4" spans="1:15" ht="12.75" customHeight="1">
      <c r="A4" s="2676" t="s">
        <v>2439</v>
      </c>
      <c r="B4" s="2676"/>
      <c r="C4" s="830">
        <f t="shared" ref="C4:H4" si="0">SUM(C5:C32)</f>
        <v>240108.52369537007</v>
      </c>
      <c r="D4" s="830">
        <f t="shared" si="0"/>
        <v>1292585.719146596</v>
      </c>
      <c r="E4" s="830">
        <f t="shared" si="0"/>
        <v>57548.395000000004</v>
      </c>
      <c r="F4" s="830">
        <f t="shared" si="0"/>
        <v>338905.369366</v>
      </c>
      <c r="G4" s="830">
        <f t="shared" si="0"/>
        <v>19069.740000000002</v>
      </c>
      <c r="H4" s="830">
        <f t="shared" si="0"/>
        <v>19885.648401668168</v>
      </c>
      <c r="I4" s="830">
        <f>SUM(I5:I32)</f>
        <v>0</v>
      </c>
      <c r="J4" s="706"/>
      <c r="K4" s="706"/>
      <c r="L4" s="706"/>
      <c r="M4" s="706"/>
    </row>
    <row r="5" spans="1:15" ht="15" customHeight="1">
      <c r="A5" s="2677" t="s">
        <v>1165</v>
      </c>
      <c r="B5" s="1576" t="s">
        <v>1412</v>
      </c>
      <c r="C5" s="1577">
        <v>345.29339241999998</v>
      </c>
      <c r="D5" s="1577">
        <v>371.63152458000002</v>
      </c>
      <c r="E5" s="1577">
        <v>5.78</v>
      </c>
      <c r="F5" s="1577">
        <v>1.5578700000000001</v>
      </c>
      <c r="G5" s="1578">
        <v>12.4</v>
      </c>
      <c r="H5" s="678">
        <v>-0.21634600000000001</v>
      </c>
      <c r="I5" s="678">
        <v>0</v>
      </c>
      <c r="J5" s="706"/>
      <c r="K5" s="706"/>
      <c r="L5" s="706"/>
      <c r="M5" s="706"/>
      <c r="N5" s="706"/>
      <c r="O5" s="706"/>
    </row>
    <row r="6" spans="1:15" ht="15" customHeight="1">
      <c r="A6" s="2678"/>
      <c r="B6" s="1586" t="s">
        <v>1413</v>
      </c>
      <c r="C6" s="1587">
        <v>357.33571542999999</v>
      </c>
      <c r="D6" s="1587">
        <v>1784.1522016500001</v>
      </c>
      <c r="E6" s="1587">
        <v>30.187999999999999</v>
      </c>
      <c r="F6" s="1587">
        <v>906.349422</v>
      </c>
      <c r="G6" s="1588">
        <v>17.809999999999999</v>
      </c>
      <c r="H6" s="656">
        <v>0</v>
      </c>
      <c r="I6" s="656">
        <v>0</v>
      </c>
      <c r="J6" s="706"/>
      <c r="K6" s="706"/>
      <c r="L6" s="706"/>
      <c r="M6" s="706"/>
    </row>
    <row r="7" spans="1:15" ht="15" customHeight="1">
      <c r="A7" s="2678"/>
      <c r="B7" s="1579" t="s">
        <v>1414</v>
      </c>
      <c r="C7" s="1580">
        <v>58177.032862319997</v>
      </c>
      <c r="D7" s="1580">
        <v>256802.17795323001</v>
      </c>
      <c r="E7" s="1580">
        <v>9864.6910000000007</v>
      </c>
      <c r="F7" s="1580">
        <v>42206.610146999999</v>
      </c>
      <c r="G7" s="1581">
        <v>485.69</v>
      </c>
      <c r="H7" s="1582">
        <v>3819.6342273599948</v>
      </c>
      <c r="I7" s="1582">
        <v>0</v>
      </c>
      <c r="J7" s="706"/>
      <c r="K7" s="706"/>
      <c r="L7" s="706"/>
      <c r="M7" s="706"/>
    </row>
    <row r="8" spans="1:15" ht="15" customHeight="1">
      <c r="A8" s="2678"/>
      <c r="B8" s="1586" t="s">
        <v>1415</v>
      </c>
      <c r="C8" s="1587">
        <v>176.95357071999999</v>
      </c>
      <c r="D8" s="1587">
        <v>80.818948930000005</v>
      </c>
      <c r="E8" s="1587">
        <v>44.868000000000002</v>
      </c>
      <c r="F8" s="1587">
        <v>155.10878700000001</v>
      </c>
      <c r="G8" s="1589">
        <v>4351.46</v>
      </c>
      <c r="H8" s="656">
        <v>-0.12222795</v>
      </c>
      <c r="I8" s="656">
        <v>0</v>
      </c>
      <c r="J8" s="706"/>
      <c r="K8" s="706"/>
      <c r="L8" s="706"/>
      <c r="M8" s="706"/>
    </row>
    <row r="9" spans="1:15" ht="15" customHeight="1">
      <c r="A9" s="2678"/>
      <c r="B9" s="1579" t="s">
        <v>1416</v>
      </c>
      <c r="C9" s="1580">
        <v>995.01721669999995</v>
      </c>
      <c r="D9" s="1580">
        <v>185.06022188</v>
      </c>
      <c r="E9" s="1580">
        <v>151.12799999999999</v>
      </c>
      <c r="F9" s="1580">
        <v>289.12781799999999</v>
      </c>
      <c r="G9" s="1583">
        <v>42.48</v>
      </c>
      <c r="H9" s="678">
        <v>-9.3341394000000015</v>
      </c>
      <c r="I9" s="678">
        <v>0</v>
      </c>
      <c r="J9" s="706"/>
      <c r="K9" s="706"/>
      <c r="L9" s="706"/>
      <c r="M9" s="706"/>
    </row>
    <row r="10" spans="1:15" ht="15" customHeight="1">
      <c r="A10" s="2678"/>
      <c r="B10" s="1586" t="s">
        <v>1417</v>
      </c>
      <c r="C10" s="1587">
        <v>1772.0441327799999</v>
      </c>
      <c r="D10" s="1587">
        <v>20702.320274419999</v>
      </c>
      <c r="E10" s="1587">
        <v>114.46299999999999</v>
      </c>
      <c r="F10" s="1587">
        <v>812.29604900000004</v>
      </c>
      <c r="G10" s="1589">
        <v>12.63</v>
      </c>
      <c r="H10" s="656">
        <v>597.80285247999996</v>
      </c>
      <c r="I10" s="656">
        <v>0</v>
      </c>
      <c r="J10" s="706"/>
      <c r="K10" s="706"/>
      <c r="L10" s="706"/>
      <c r="M10" s="706"/>
    </row>
    <row r="11" spans="1:15" ht="15" customHeight="1">
      <c r="A11" s="2679"/>
      <c r="B11" s="1579" t="s">
        <v>1418</v>
      </c>
      <c r="C11" s="1580">
        <v>1776.0552074899999</v>
      </c>
      <c r="D11" s="1580">
        <v>3176.94058116</v>
      </c>
      <c r="E11" s="1580">
        <v>1826.4449999999999</v>
      </c>
      <c r="F11" s="1580">
        <v>3023.1988179999998</v>
      </c>
      <c r="G11" s="1583">
        <v>19.61</v>
      </c>
      <c r="H11" s="678">
        <v>1507.6321434999995</v>
      </c>
      <c r="I11" s="678">
        <v>0</v>
      </c>
      <c r="J11" s="706"/>
      <c r="K11" s="706"/>
      <c r="L11" s="706"/>
      <c r="M11" s="706"/>
    </row>
    <row r="12" spans="1:15" ht="15" customHeight="1">
      <c r="A12" s="2673" t="s">
        <v>1276</v>
      </c>
      <c r="B12" s="1586" t="s">
        <v>1412</v>
      </c>
      <c r="C12" s="1587">
        <v>476.18183349999998</v>
      </c>
      <c r="D12" s="1587">
        <v>577.02527199999997</v>
      </c>
      <c r="E12" s="1587">
        <v>6.508</v>
      </c>
      <c r="F12" s="1587">
        <v>0.99887700000000001</v>
      </c>
      <c r="G12" s="1589">
        <v>18.5</v>
      </c>
      <c r="H12" s="656">
        <v>-0.19775599999999999</v>
      </c>
      <c r="I12" s="656">
        <v>0</v>
      </c>
      <c r="J12" s="706"/>
      <c r="K12" s="706"/>
      <c r="L12" s="706"/>
      <c r="M12" s="706"/>
    </row>
    <row r="13" spans="1:15" ht="15" customHeight="1">
      <c r="A13" s="2673" t="s">
        <v>1276</v>
      </c>
      <c r="B13" s="1579" t="s">
        <v>1413</v>
      </c>
      <c r="C13" s="1580">
        <v>516.97285048000003</v>
      </c>
      <c r="D13" s="1580">
        <v>2576.2211859080999</v>
      </c>
      <c r="E13" s="1580">
        <v>72.819000000000003</v>
      </c>
      <c r="F13" s="1580">
        <v>881.70697600000005</v>
      </c>
      <c r="G13" s="1583">
        <v>26.38</v>
      </c>
      <c r="H13" s="678">
        <v>0</v>
      </c>
      <c r="I13" s="678">
        <v>0</v>
      </c>
      <c r="J13" s="706"/>
      <c r="K13" s="706"/>
      <c r="L13" s="706"/>
      <c r="M13" s="706"/>
    </row>
    <row r="14" spans="1:15" ht="15" customHeight="1">
      <c r="A14" s="2673" t="s">
        <v>1276</v>
      </c>
      <c r="B14" s="1586" t="s">
        <v>1414</v>
      </c>
      <c r="C14" s="1587">
        <v>57512.604460280003</v>
      </c>
      <c r="D14" s="1587">
        <v>312790.63790258003</v>
      </c>
      <c r="E14" s="1587">
        <v>11088.154</v>
      </c>
      <c r="F14" s="1587">
        <v>72873.184968000001</v>
      </c>
      <c r="G14" s="1589">
        <v>520.28</v>
      </c>
      <c r="H14" s="656">
        <v>3285.8206063369994</v>
      </c>
      <c r="I14" s="656">
        <v>0</v>
      </c>
      <c r="J14" s="706"/>
      <c r="K14" s="706"/>
      <c r="L14" s="706"/>
      <c r="M14" s="706"/>
    </row>
    <row r="15" spans="1:15" ht="15" customHeight="1">
      <c r="A15" s="2673" t="s">
        <v>1276</v>
      </c>
      <c r="B15" s="1579" t="s">
        <v>1415</v>
      </c>
      <c r="C15" s="1580">
        <v>168.45237008999999</v>
      </c>
      <c r="D15" s="1580">
        <v>88.556181600000002</v>
      </c>
      <c r="E15" s="1580">
        <v>105.80500000000001</v>
      </c>
      <c r="F15" s="1580">
        <v>243.08958999999999</v>
      </c>
      <c r="G15" s="1583">
        <v>3813.29</v>
      </c>
      <c r="H15" s="678">
        <v>-1.634499E-2</v>
      </c>
      <c r="I15" s="678">
        <v>0</v>
      </c>
      <c r="J15" s="706"/>
      <c r="K15" s="706"/>
      <c r="L15" s="706"/>
      <c r="M15" s="706"/>
    </row>
    <row r="16" spans="1:15" ht="15" customHeight="1">
      <c r="A16" s="2673" t="s">
        <v>1276</v>
      </c>
      <c r="B16" s="1586" t="s">
        <v>1416</v>
      </c>
      <c r="C16" s="1587">
        <v>973.36507800000004</v>
      </c>
      <c r="D16" s="1587">
        <v>136.24142280000001</v>
      </c>
      <c r="E16" s="1587">
        <v>283.39800000000002</v>
      </c>
      <c r="F16" s="1587">
        <v>568.97543599999995</v>
      </c>
      <c r="G16" s="1589">
        <v>33.22</v>
      </c>
      <c r="H16" s="656">
        <v>2.4972837999999999</v>
      </c>
      <c r="I16" s="656">
        <v>0</v>
      </c>
      <c r="J16" s="706"/>
      <c r="K16" s="706"/>
      <c r="L16" s="706"/>
      <c r="M16" s="706"/>
    </row>
    <row r="17" spans="1:13" ht="15" customHeight="1">
      <c r="A17" s="2673" t="s">
        <v>1276</v>
      </c>
      <c r="B17" s="1579" t="s">
        <v>1417</v>
      </c>
      <c r="C17" s="1580">
        <v>2981.8366753</v>
      </c>
      <c r="D17" s="1580">
        <v>28089.879319585001</v>
      </c>
      <c r="E17" s="1580">
        <v>142.45400000000001</v>
      </c>
      <c r="F17" s="1580">
        <v>978.43796699999996</v>
      </c>
      <c r="G17" s="1583">
        <v>10.96</v>
      </c>
      <c r="H17" s="678">
        <v>452.31644348999993</v>
      </c>
      <c r="I17" s="678">
        <v>0</v>
      </c>
      <c r="J17" s="706"/>
      <c r="K17" s="706"/>
      <c r="L17" s="706"/>
      <c r="M17" s="706"/>
    </row>
    <row r="18" spans="1:13" ht="15" customHeight="1">
      <c r="A18" s="2673" t="s">
        <v>1276</v>
      </c>
      <c r="B18" s="1586" t="s">
        <v>1418</v>
      </c>
      <c r="C18" s="1587">
        <v>3153.7715279099998</v>
      </c>
      <c r="D18" s="1587">
        <v>2775.7931678573</v>
      </c>
      <c r="E18" s="1587">
        <v>2322.8510000000001</v>
      </c>
      <c r="F18" s="1587">
        <v>2776.3989430000001</v>
      </c>
      <c r="G18" s="1589">
        <v>35.590000000000003</v>
      </c>
      <c r="H18" s="656">
        <v>468.72081643999968</v>
      </c>
      <c r="I18" s="656">
        <v>0</v>
      </c>
      <c r="J18" s="706"/>
      <c r="K18" s="706"/>
      <c r="L18" s="706"/>
      <c r="M18" s="706"/>
    </row>
    <row r="19" spans="1:13" ht="15" customHeight="1">
      <c r="A19" s="2673" t="s">
        <v>1163</v>
      </c>
      <c r="B19" s="1579" t="s">
        <v>1412</v>
      </c>
      <c r="C19" s="1580">
        <v>243.86478872000001</v>
      </c>
      <c r="D19" s="1580">
        <v>981.10298903099999</v>
      </c>
      <c r="E19" s="1580">
        <v>3.4409999999999998</v>
      </c>
      <c r="F19" s="1580">
        <v>12.836592</v>
      </c>
      <c r="G19" s="1583">
        <v>6.78</v>
      </c>
      <c r="H19" s="678">
        <v>-0.26637699999999997</v>
      </c>
      <c r="I19" s="678">
        <v>0</v>
      </c>
      <c r="J19" s="706"/>
      <c r="K19" s="706"/>
      <c r="L19" s="706"/>
      <c r="M19" s="706"/>
    </row>
    <row r="20" spans="1:13" ht="15" customHeight="1">
      <c r="A20" s="2673" t="s">
        <v>1163</v>
      </c>
      <c r="B20" s="1586" t="s">
        <v>1413</v>
      </c>
      <c r="C20" s="1587">
        <v>478.84784686</v>
      </c>
      <c r="D20" s="1587">
        <v>1956.6755520388001</v>
      </c>
      <c r="E20" s="1587">
        <v>48.113</v>
      </c>
      <c r="F20" s="1587">
        <v>569.99964299999999</v>
      </c>
      <c r="G20" s="1589">
        <v>24.85</v>
      </c>
      <c r="H20" s="656">
        <v>0</v>
      </c>
      <c r="I20" s="656">
        <v>0</v>
      </c>
      <c r="J20" s="706"/>
      <c r="K20" s="706"/>
      <c r="L20" s="706"/>
      <c r="M20" s="706"/>
    </row>
    <row r="21" spans="1:13" ht="15" customHeight="1">
      <c r="A21" s="2673" t="s">
        <v>1163</v>
      </c>
      <c r="B21" s="1579" t="s">
        <v>1414</v>
      </c>
      <c r="C21" s="1580">
        <v>52977.3505047</v>
      </c>
      <c r="D21" s="1580">
        <v>334215.38398310897</v>
      </c>
      <c r="E21" s="1580">
        <v>11844.587</v>
      </c>
      <c r="F21" s="1580">
        <v>77372.843131999995</v>
      </c>
      <c r="G21" s="1583">
        <v>254.83</v>
      </c>
      <c r="H21" s="678">
        <v>4963.148022060228</v>
      </c>
      <c r="I21" s="678">
        <v>0</v>
      </c>
      <c r="J21" s="706"/>
      <c r="K21" s="706"/>
      <c r="L21" s="706"/>
      <c r="M21" s="706"/>
    </row>
    <row r="22" spans="1:13" ht="15" customHeight="1">
      <c r="A22" s="2673" t="s">
        <v>1163</v>
      </c>
      <c r="B22" s="1586" t="s">
        <v>1415</v>
      </c>
      <c r="C22" s="1587">
        <v>229.724177</v>
      </c>
      <c r="D22" s="1587">
        <v>79.64688993</v>
      </c>
      <c r="E22" s="1587">
        <v>223.33</v>
      </c>
      <c r="F22" s="1587">
        <v>188.86344800000001</v>
      </c>
      <c r="G22" s="1589">
        <v>4182.6899999999996</v>
      </c>
      <c r="H22" s="656">
        <v>-5.1703119999999998E-2</v>
      </c>
      <c r="I22" s="656">
        <v>0</v>
      </c>
      <c r="J22" s="706"/>
      <c r="K22" s="706"/>
      <c r="L22" s="706"/>
      <c r="M22" s="706"/>
    </row>
    <row r="23" spans="1:13" ht="15" customHeight="1">
      <c r="A23" s="2673" t="s">
        <v>1163</v>
      </c>
      <c r="B23" s="1579" t="s">
        <v>1416</v>
      </c>
      <c r="C23" s="1580">
        <v>1044.0176234600001</v>
      </c>
      <c r="D23" s="1580">
        <v>165.66385387</v>
      </c>
      <c r="E23" s="1580">
        <v>208.875</v>
      </c>
      <c r="F23" s="1580">
        <v>479.54210499999999</v>
      </c>
      <c r="G23" s="1583">
        <v>16.399999999999999</v>
      </c>
      <c r="H23" s="678">
        <v>21.387787800000002</v>
      </c>
      <c r="I23" s="678">
        <v>0</v>
      </c>
      <c r="J23" s="706"/>
      <c r="K23" s="706"/>
      <c r="L23" s="706"/>
      <c r="M23" s="706"/>
    </row>
    <row r="24" spans="1:13" ht="15" customHeight="1">
      <c r="A24" s="2673" t="s">
        <v>1163</v>
      </c>
      <c r="B24" s="1586" t="s">
        <v>1417</v>
      </c>
      <c r="C24" s="1587">
        <v>2285.2676298800002</v>
      </c>
      <c r="D24" s="1587">
        <v>28826.385170261201</v>
      </c>
      <c r="E24" s="1587">
        <v>187.81700000000001</v>
      </c>
      <c r="F24" s="1587">
        <v>1120.4357970000001</v>
      </c>
      <c r="G24" s="1589">
        <v>13.59</v>
      </c>
      <c r="H24" s="656">
        <v>363.50645698</v>
      </c>
      <c r="I24" s="656">
        <v>0</v>
      </c>
      <c r="J24" s="706"/>
      <c r="K24" s="706"/>
      <c r="L24" s="706"/>
      <c r="M24" s="706"/>
    </row>
    <row r="25" spans="1:13" ht="15" customHeight="1">
      <c r="A25" s="2673" t="s">
        <v>1163</v>
      </c>
      <c r="B25" s="1579" t="s">
        <v>1418</v>
      </c>
      <c r="C25" s="1580">
        <v>2901.0028572199999</v>
      </c>
      <c r="D25" s="1580">
        <v>2794.1570993256</v>
      </c>
      <c r="E25" s="1580">
        <v>2653.183</v>
      </c>
      <c r="F25" s="1580">
        <v>2857.1679829999998</v>
      </c>
      <c r="G25" s="1583">
        <v>22.37</v>
      </c>
      <c r="H25" s="678">
        <v>1574.99287183</v>
      </c>
      <c r="I25" s="678">
        <v>0</v>
      </c>
      <c r="J25" s="706"/>
      <c r="K25" s="706"/>
      <c r="L25" s="706"/>
      <c r="M25" s="706"/>
    </row>
    <row r="26" spans="1:13" ht="15" customHeight="1">
      <c r="A26" s="2673" t="s">
        <v>1164</v>
      </c>
      <c r="B26" s="1586" t="s">
        <v>1412</v>
      </c>
      <c r="C26" s="1587">
        <v>274.96795417999999</v>
      </c>
      <c r="D26" s="1587">
        <v>885.38009946</v>
      </c>
      <c r="E26" s="1587">
        <v>3.4550000000000001</v>
      </c>
      <c r="F26" s="1587">
        <v>7.3672529999999998</v>
      </c>
      <c r="G26" s="1589">
        <v>9.01</v>
      </c>
      <c r="H26" s="656">
        <v>0</v>
      </c>
      <c r="I26" s="656">
        <v>0</v>
      </c>
      <c r="J26" s="706"/>
      <c r="K26" s="706"/>
      <c r="L26" s="706"/>
      <c r="M26" s="706"/>
    </row>
    <row r="27" spans="1:13" ht="15" customHeight="1">
      <c r="A27" s="2673" t="s">
        <v>1419</v>
      </c>
      <c r="B27" s="1579" t="s">
        <v>1413</v>
      </c>
      <c r="C27" s="1580">
        <v>383.03512718000002</v>
      </c>
      <c r="D27" s="1580">
        <v>1831.5578754000001</v>
      </c>
      <c r="E27" s="1580">
        <v>60.677999999999997</v>
      </c>
      <c r="F27" s="1580">
        <v>646.00196000000005</v>
      </c>
      <c r="G27" s="1583">
        <v>52.27</v>
      </c>
      <c r="H27" s="678">
        <v>0</v>
      </c>
      <c r="I27" s="678">
        <v>0</v>
      </c>
      <c r="J27" s="706"/>
      <c r="K27" s="706"/>
      <c r="L27" s="706"/>
      <c r="M27" s="706"/>
    </row>
    <row r="28" spans="1:13" ht="15" customHeight="1">
      <c r="A28" s="2673" t="s">
        <v>1419</v>
      </c>
      <c r="B28" s="1586" t="s">
        <v>1414</v>
      </c>
      <c r="C28" s="1587">
        <v>44361.146526664299</v>
      </c>
      <c r="D28" s="1587">
        <v>267752.77476106997</v>
      </c>
      <c r="E28" s="1587">
        <v>14221.65</v>
      </c>
      <c r="F28" s="1587">
        <v>125885.228504</v>
      </c>
      <c r="G28" s="1589">
        <v>318.58</v>
      </c>
      <c r="H28" s="656">
        <v>685.97508214094944</v>
      </c>
      <c r="I28" s="656">
        <v>0</v>
      </c>
      <c r="J28" s="706"/>
      <c r="K28" s="706"/>
      <c r="L28" s="706"/>
      <c r="M28" s="706"/>
    </row>
    <row r="29" spans="1:13" ht="15" customHeight="1">
      <c r="A29" s="2673" t="s">
        <v>1419</v>
      </c>
      <c r="B29" s="1579" t="s">
        <v>1415</v>
      </c>
      <c r="C29" s="1580">
        <v>191.80496089030001</v>
      </c>
      <c r="D29" s="1580">
        <v>125.21691308</v>
      </c>
      <c r="E29" s="1580">
        <v>156.43</v>
      </c>
      <c r="F29" s="1580">
        <v>192.579971</v>
      </c>
      <c r="G29" s="1583">
        <v>4708.59</v>
      </c>
      <c r="H29" s="678">
        <v>-7.0701600000000024E-3</v>
      </c>
      <c r="I29" s="678">
        <v>0</v>
      </c>
      <c r="J29" s="706"/>
      <c r="K29" s="706"/>
      <c r="L29" s="706"/>
      <c r="M29" s="706"/>
    </row>
    <row r="30" spans="1:13" ht="15" customHeight="1">
      <c r="A30" s="2673" t="s">
        <v>1419</v>
      </c>
      <c r="B30" s="1586" t="s">
        <v>1416</v>
      </c>
      <c r="C30" s="1587">
        <v>1267.0953086899999</v>
      </c>
      <c r="D30" s="1587">
        <v>143.67060806000001</v>
      </c>
      <c r="E30" s="1587">
        <v>278.24</v>
      </c>
      <c r="F30" s="1587">
        <v>594.147693</v>
      </c>
      <c r="G30" s="1589">
        <v>22.4</v>
      </c>
      <c r="H30" s="656">
        <v>79.764022399999988</v>
      </c>
      <c r="I30" s="656">
        <v>0</v>
      </c>
      <c r="J30" s="706"/>
      <c r="K30" s="706"/>
      <c r="L30" s="706"/>
      <c r="M30" s="706"/>
    </row>
    <row r="31" spans="1:13" ht="15" customHeight="1">
      <c r="A31" s="2673" t="s">
        <v>1419</v>
      </c>
      <c r="B31" s="1579" t="s">
        <v>1417</v>
      </c>
      <c r="C31" s="1580">
        <v>1904.4453570630001</v>
      </c>
      <c r="D31" s="1580">
        <v>20069.02719515</v>
      </c>
      <c r="E31" s="1580">
        <v>158.292</v>
      </c>
      <c r="F31" s="1580">
        <v>824.11503500000003</v>
      </c>
      <c r="G31" s="1583">
        <v>14.77</v>
      </c>
      <c r="H31" s="678">
        <v>-325.63467426999983</v>
      </c>
      <c r="I31" s="678">
        <v>0</v>
      </c>
      <c r="J31" s="706"/>
      <c r="K31" s="706"/>
      <c r="L31" s="706"/>
      <c r="M31" s="706"/>
    </row>
    <row r="32" spans="1:13" ht="15" customHeight="1">
      <c r="A32" s="2674" t="s">
        <v>1419</v>
      </c>
      <c r="B32" s="1590" t="s">
        <v>1418</v>
      </c>
      <c r="C32" s="1591">
        <v>2183.0361394424999</v>
      </c>
      <c r="D32" s="1591">
        <v>2621.6199986299998</v>
      </c>
      <c r="E32" s="1592">
        <v>1440.752</v>
      </c>
      <c r="F32" s="1592">
        <v>2437.198582</v>
      </c>
      <c r="G32" s="1593">
        <v>22.31</v>
      </c>
      <c r="H32" s="656">
        <v>2398.2964239399989</v>
      </c>
      <c r="I32" s="656">
        <v>0</v>
      </c>
      <c r="J32" s="706"/>
      <c r="K32" s="706"/>
      <c r="L32" s="706"/>
      <c r="M32" s="706"/>
    </row>
    <row r="33" spans="1:15">
      <c r="A33" s="153"/>
      <c r="B33" s="153"/>
      <c r="C33" s="1584"/>
      <c r="D33" s="1584"/>
      <c r="E33" s="1584"/>
      <c r="F33" s="1584"/>
      <c r="G33" s="1584"/>
      <c r="H33" s="797"/>
      <c r="I33" s="1585"/>
    </row>
    <row r="34" spans="1:15">
      <c r="A34" s="1" t="s">
        <v>1108</v>
      </c>
      <c r="B34" s="1573" t="s">
        <v>2869</v>
      </c>
      <c r="C34" s="643"/>
      <c r="D34" s="643"/>
      <c r="E34" s="705"/>
      <c r="F34" s="705"/>
      <c r="G34" s="24"/>
      <c r="H34" s="682"/>
      <c r="I34" s="682"/>
    </row>
    <row r="35" spans="1:15">
      <c r="A35" s="1"/>
      <c r="B35" s="1573" t="s">
        <v>1420</v>
      </c>
      <c r="C35" s="643"/>
      <c r="D35" s="643"/>
      <c r="E35" s="705"/>
      <c r="F35" s="705"/>
      <c r="G35" s="24"/>
      <c r="H35" s="682"/>
      <c r="I35" s="682"/>
    </row>
    <row r="36" spans="1:15">
      <c r="A36" s="1594"/>
      <c r="B36" s="2671" t="s">
        <v>1821</v>
      </c>
      <c r="C36" s="2671"/>
      <c r="D36" s="2671"/>
      <c r="E36" s="2671"/>
      <c r="F36" s="2671"/>
      <c r="G36" s="2671"/>
      <c r="H36" s="2671"/>
      <c r="I36" s="2671"/>
    </row>
    <row r="37" spans="1:15">
      <c r="A37" s="1594"/>
      <c r="B37" s="2671"/>
      <c r="C37" s="2671"/>
      <c r="D37" s="2671"/>
      <c r="E37" s="2671"/>
      <c r="F37" s="2671"/>
      <c r="G37" s="2671"/>
      <c r="H37" s="2671"/>
      <c r="I37" s="2671"/>
    </row>
    <row r="38" spans="1:15">
      <c r="A38" s="1"/>
      <c r="B38" s="1573" t="s">
        <v>2872</v>
      </c>
      <c r="C38" s="643"/>
      <c r="D38" s="643"/>
      <c r="E38" s="705"/>
      <c r="F38" s="705"/>
      <c r="G38" s="24"/>
      <c r="H38" s="682"/>
      <c r="I38" s="682"/>
    </row>
    <row r="39" spans="1:15" ht="15" customHeight="1">
      <c r="A39" s="707"/>
      <c r="B39" s="2455" t="s">
        <v>2870</v>
      </c>
      <c r="C39" s="2455"/>
      <c r="D39" s="2455"/>
      <c r="E39" s="2455"/>
      <c r="F39" s="2455"/>
      <c r="G39" s="2455"/>
      <c r="H39" s="2455"/>
      <c r="I39" s="2455"/>
    </row>
    <row r="40" spans="1:15" ht="15" customHeight="1">
      <c r="A40" s="707"/>
      <c r="B40" s="2455"/>
      <c r="C40" s="2455"/>
      <c r="D40" s="2455"/>
      <c r="E40" s="2455"/>
      <c r="F40" s="2455"/>
      <c r="G40" s="2455"/>
      <c r="H40" s="2455"/>
      <c r="I40" s="2455"/>
    </row>
    <row r="41" spans="1:15" ht="15">
      <c r="A41" s="8"/>
      <c r="B41" s="1573" t="s">
        <v>2871</v>
      </c>
      <c r="C41" s="643"/>
      <c r="D41" s="24"/>
      <c r="E41" s="24"/>
      <c r="F41" s="24"/>
      <c r="G41" s="24"/>
      <c r="H41" s="682"/>
      <c r="I41" s="1596"/>
      <c r="O41" s="1598"/>
    </row>
    <row r="42" spans="1:15">
      <c r="A42" s="153"/>
      <c r="B42" s="1597" t="s">
        <v>2874</v>
      </c>
      <c r="C42" s="1595"/>
      <c r="D42" s="1584"/>
      <c r="E42" s="1584"/>
      <c r="F42" s="1584"/>
      <c r="G42" s="1584"/>
      <c r="H42" s="797"/>
    </row>
    <row r="43" spans="1:15">
      <c r="B43" s="1573" t="s">
        <v>2873</v>
      </c>
      <c r="C43" s="643"/>
      <c r="D43" s="1584"/>
      <c r="I43" s="1584" t="s">
        <v>2218</v>
      </c>
    </row>
  </sheetData>
  <customSheetViews>
    <customSheetView guid="{A374FC54-96E3-45F0-9C12-8450400C12DF}" scale="140">
      <selection activeCell="F20" sqref="F20"/>
      <pageMargins left="0.45" right="0" top="0.5" bottom="0.25" header="0.3" footer="0.3"/>
      <pageSetup paperSize="132" firstPageNumber="108" orientation="portrait" useFirstPageNumber="1" r:id="rId1"/>
      <headerFooter alignWithMargins="0">
        <oddFooter>&amp;C&amp;"Times New Roman,Regular"&amp;8&amp;P</oddFooter>
      </headerFooter>
    </customSheetView>
  </customSheetViews>
  <mergeCells count="10">
    <mergeCell ref="A1:H1"/>
    <mergeCell ref="A4:B4"/>
    <mergeCell ref="A5:A11"/>
    <mergeCell ref="A12:A18"/>
    <mergeCell ref="A3:B3"/>
    <mergeCell ref="B36:I37"/>
    <mergeCell ref="B39:I40"/>
    <mergeCell ref="H2:I2"/>
    <mergeCell ref="A19:A25"/>
    <mergeCell ref="A26:A32"/>
  </mergeCells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dimension ref="A1:U74"/>
  <sheetViews>
    <sheetView topLeftCell="A37" zoomScale="130" zoomScaleNormal="130" workbookViewId="0">
      <selection activeCell="A5" sqref="A5:A12"/>
    </sheetView>
  </sheetViews>
  <sheetFormatPr defaultRowHeight="12.75"/>
  <cols>
    <col min="1" max="1" width="4.28515625" customWidth="1"/>
    <col min="2" max="2" width="7.5703125" customWidth="1"/>
    <col min="7" max="7" width="9.42578125" customWidth="1"/>
    <col min="8" max="8" width="7.5703125" customWidth="1"/>
    <col min="9" max="9" width="10.5703125" customWidth="1"/>
    <col min="11" max="11" width="7.140625" customWidth="1"/>
  </cols>
  <sheetData>
    <row r="1" spans="1:21">
      <c r="A1" s="2686" t="s">
        <v>1506</v>
      </c>
      <c r="B1" s="2686"/>
      <c r="C1" s="2686"/>
      <c r="D1" s="2686"/>
      <c r="E1" s="2686"/>
      <c r="F1" s="2686"/>
      <c r="G1" s="2686"/>
      <c r="H1" s="653"/>
      <c r="I1" s="777" t="s">
        <v>1505</v>
      </c>
    </row>
    <row r="2" spans="1:21" ht="12.75" customHeight="1">
      <c r="A2" s="644"/>
      <c r="B2" s="644"/>
      <c r="C2" s="645"/>
      <c r="D2" s="645"/>
      <c r="E2" s="645"/>
      <c r="F2" s="645"/>
      <c r="G2" s="2687" t="s">
        <v>1529</v>
      </c>
      <c r="H2" s="2687"/>
      <c r="I2" s="2687"/>
    </row>
    <row r="3" spans="1:21" ht="32.25" customHeight="1">
      <c r="A3" s="2689" t="s">
        <v>481</v>
      </c>
      <c r="B3" s="2690"/>
      <c r="C3" s="647" t="s">
        <v>1423</v>
      </c>
      <c r="D3" s="647" t="s">
        <v>1424</v>
      </c>
      <c r="E3" s="647" t="s">
        <v>1425</v>
      </c>
      <c r="F3" s="647" t="s">
        <v>1816</v>
      </c>
      <c r="G3" s="654" t="s">
        <v>1426</v>
      </c>
      <c r="H3" s="654" t="s">
        <v>1427</v>
      </c>
      <c r="I3" s="654" t="s">
        <v>1428</v>
      </c>
    </row>
    <row r="4" spans="1:21" ht="9.9499999999999993" customHeight="1">
      <c r="A4" s="2691" t="s">
        <v>2439</v>
      </c>
      <c r="B4" s="2691"/>
      <c r="C4" s="646"/>
      <c r="D4" s="646"/>
      <c r="E4" s="646"/>
      <c r="F4" s="646"/>
      <c r="G4" s="2688"/>
      <c r="H4" s="2688"/>
      <c r="I4" s="646"/>
    </row>
    <row r="5" spans="1:21" ht="9.9499999999999993" customHeight="1">
      <c r="A5" s="2682" t="s">
        <v>1165</v>
      </c>
      <c r="B5" s="648" t="s">
        <v>1429</v>
      </c>
      <c r="C5" s="651" t="s">
        <v>2892</v>
      </c>
      <c r="D5" s="651" t="s">
        <v>2892</v>
      </c>
      <c r="E5" s="651" t="s">
        <v>2892</v>
      </c>
      <c r="F5" s="651" t="s">
        <v>2892</v>
      </c>
      <c r="G5" s="655" t="s">
        <v>2892</v>
      </c>
      <c r="H5" s="655" t="s">
        <v>2892</v>
      </c>
      <c r="I5" s="655" t="s">
        <v>2892</v>
      </c>
      <c r="L5" s="547"/>
      <c r="N5" s="547"/>
      <c r="O5" s="547"/>
      <c r="P5" s="547"/>
      <c r="Q5" s="547"/>
      <c r="R5" s="547"/>
      <c r="S5" s="547"/>
      <c r="T5" s="547"/>
      <c r="U5" s="547"/>
    </row>
    <row r="6" spans="1:21" ht="9.9499999999999993" customHeight="1">
      <c r="A6" s="2682"/>
      <c r="B6" s="649" t="s">
        <v>1430</v>
      </c>
      <c r="C6" s="650">
        <v>11657.8</v>
      </c>
      <c r="D6" s="650">
        <v>16170.8</v>
      </c>
      <c r="E6" s="650">
        <v>129121.96833333001</v>
      </c>
      <c r="F6" s="650">
        <v>104.33</v>
      </c>
      <c r="G6" s="658">
        <v>19861.5</v>
      </c>
      <c r="H6" s="650">
        <v>9.94</v>
      </c>
      <c r="I6" s="650">
        <v>118.87</v>
      </c>
      <c r="L6" s="547"/>
      <c r="N6" s="547"/>
      <c r="O6" s="547"/>
      <c r="P6" s="547"/>
      <c r="Q6" s="547"/>
      <c r="R6" s="547"/>
      <c r="S6" s="547"/>
      <c r="T6" s="547"/>
      <c r="U6" s="547"/>
    </row>
    <row r="7" spans="1:21" ht="9.9499999999999993" customHeight="1">
      <c r="A7" s="2682"/>
      <c r="B7" s="648" t="s">
        <v>1413</v>
      </c>
      <c r="C7" s="651">
        <v>278.19253120000002</v>
      </c>
      <c r="D7" s="651">
        <v>326.00252990000001</v>
      </c>
      <c r="E7" s="651">
        <v>2234.7303099999999</v>
      </c>
      <c r="F7" s="651">
        <v>138.80190930000001</v>
      </c>
      <c r="G7" s="651">
        <v>540.97732699999995</v>
      </c>
      <c r="H7" s="651" t="s">
        <v>2892</v>
      </c>
      <c r="I7" s="651">
        <v>83.8</v>
      </c>
      <c r="L7" s="547"/>
      <c r="N7" s="547"/>
      <c r="O7" s="547"/>
      <c r="P7" s="547"/>
      <c r="Q7" s="547"/>
      <c r="R7" s="547"/>
      <c r="S7" s="547"/>
      <c r="T7" s="547"/>
      <c r="U7" s="547"/>
    </row>
    <row r="8" spans="1:21" ht="9.9499999999999993" customHeight="1">
      <c r="A8" s="2682"/>
      <c r="B8" s="649" t="s">
        <v>1414</v>
      </c>
      <c r="C8" s="650">
        <v>99648.803562999994</v>
      </c>
      <c r="D8" s="650">
        <v>186702.96945800001</v>
      </c>
      <c r="E8" s="650">
        <v>2043835.45294837</v>
      </c>
      <c r="F8" s="650">
        <v>-2820.9479814319998</v>
      </c>
      <c r="G8" s="650">
        <v>705889.40765352896</v>
      </c>
      <c r="H8" s="650">
        <v>4.2447999999999997</v>
      </c>
      <c r="I8" s="650">
        <v>83.766386515152007</v>
      </c>
      <c r="L8" s="547"/>
      <c r="N8" s="547"/>
      <c r="O8" s="547"/>
      <c r="P8" s="547"/>
      <c r="Q8" s="547"/>
      <c r="R8" s="547"/>
      <c r="S8" s="547"/>
      <c r="T8" s="547"/>
      <c r="U8" s="547"/>
    </row>
    <row r="9" spans="1:21" ht="9.9499999999999993" customHeight="1">
      <c r="A9" s="2682"/>
      <c r="B9" s="648" t="s">
        <v>1415</v>
      </c>
      <c r="C9" s="651">
        <v>73.867684940000004</v>
      </c>
      <c r="D9" s="651">
        <v>916.82103807999999</v>
      </c>
      <c r="E9" s="651">
        <v>166.12113134000001</v>
      </c>
      <c r="F9" s="651" t="s">
        <v>2892</v>
      </c>
      <c r="G9" s="651">
        <v>371.21717077</v>
      </c>
      <c r="H9" s="651">
        <v>1.1299999999999999</v>
      </c>
      <c r="I9" s="651">
        <v>15.4</v>
      </c>
      <c r="L9" s="547"/>
      <c r="N9" s="547"/>
      <c r="O9" s="547"/>
      <c r="P9" s="547"/>
      <c r="Q9" s="547"/>
      <c r="R9" s="547"/>
      <c r="S9" s="547"/>
      <c r="T9" s="547"/>
      <c r="U9" s="547"/>
    </row>
    <row r="10" spans="1:21" ht="9.9499999999999993" customHeight="1">
      <c r="A10" s="2682"/>
      <c r="B10" s="649" t="s">
        <v>1416</v>
      </c>
      <c r="C10" s="650">
        <v>286.0774897</v>
      </c>
      <c r="D10" s="650">
        <v>2912.684307</v>
      </c>
      <c r="E10" s="650">
        <v>6868.4507343451096</v>
      </c>
      <c r="F10" s="650">
        <v>15.884431254878001</v>
      </c>
      <c r="G10" s="650">
        <v>16233.8222361808</v>
      </c>
      <c r="H10" s="650">
        <v>4.8016666670000001</v>
      </c>
      <c r="I10" s="650">
        <v>134.22999999999999</v>
      </c>
      <c r="L10" s="547"/>
      <c r="N10" s="547"/>
      <c r="O10" s="547"/>
      <c r="P10" s="547"/>
      <c r="Q10" s="547"/>
      <c r="R10" s="547"/>
      <c r="S10" s="547"/>
      <c r="T10" s="547"/>
      <c r="U10" s="547"/>
    </row>
    <row r="11" spans="1:21" ht="9.9499999999999993" customHeight="1">
      <c r="A11" s="2682"/>
      <c r="B11" s="648" t="s">
        <v>1417</v>
      </c>
      <c r="C11" s="651">
        <v>7905.7701792199996</v>
      </c>
      <c r="D11" s="651">
        <v>13380.868964249999</v>
      </c>
      <c r="E11" s="651">
        <v>40877.89848725</v>
      </c>
      <c r="F11" s="651">
        <v>865</v>
      </c>
      <c r="G11" s="651">
        <v>10736.9</v>
      </c>
      <c r="H11" s="651">
        <v>18.309999999999999</v>
      </c>
      <c r="I11" s="651">
        <v>278.39172409999998</v>
      </c>
      <c r="L11" s="547"/>
      <c r="N11" s="547"/>
      <c r="O11" s="547"/>
      <c r="P11" s="547"/>
      <c r="Q11" s="547"/>
      <c r="R11" s="547"/>
      <c r="S11" s="547"/>
      <c r="T11" s="547"/>
      <c r="U11" s="547"/>
    </row>
    <row r="12" spans="1:21" ht="9.9499999999999993" customHeight="1">
      <c r="A12" s="2682"/>
      <c r="B12" s="822" t="s">
        <v>1418</v>
      </c>
      <c r="C12" s="823" t="s">
        <v>2892</v>
      </c>
      <c r="D12" s="823" t="s">
        <v>2892</v>
      </c>
      <c r="E12" s="823" t="s">
        <v>2892</v>
      </c>
      <c r="F12" s="823" t="s">
        <v>2892</v>
      </c>
      <c r="G12" s="823" t="s">
        <v>2892</v>
      </c>
      <c r="H12" s="823" t="s">
        <v>292</v>
      </c>
      <c r="I12" s="823" t="s">
        <v>2892</v>
      </c>
      <c r="L12" s="547"/>
      <c r="N12" s="547"/>
      <c r="O12" s="547"/>
      <c r="P12" s="547"/>
      <c r="Q12" s="547"/>
      <c r="R12" s="547"/>
      <c r="S12" s="547"/>
      <c r="T12" s="547"/>
      <c r="U12" s="547"/>
    </row>
    <row r="13" spans="1:21" ht="9.9499999999999993" customHeight="1">
      <c r="A13" s="2685" t="s">
        <v>1276</v>
      </c>
      <c r="B13" s="648" t="s">
        <v>1429</v>
      </c>
      <c r="C13" s="651" t="s">
        <v>2892</v>
      </c>
      <c r="D13" s="651" t="s">
        <v>2892</v>
      </c>
      <c r="E13" s="651" t="s">
        <v>2892</v>
      </c>
      <c r="F13" s="651" t="s">
        <v>2892</v>
      </c>
      <c r="G13" s="651" t="s">
        <v>2892</v>
      </c>
      <c r="H13" s="651" t="s">
        <v>2892</v>
      </c>
      <c r="I13" s="651" t="s">
        <v>2892</v>
      </c>
      <c r="L13" s="547"/>
      <c r="N13" s="547"/>
      <c r="O13" s="547"/>
      <c r="P13" s="547"/>
      <c r="Q13" s="547"/>
      <c r="R13" s="547"/>
      <c r="S13" s="547"/>
      <c r="T13" s="547"/>
      <c r="U13" s="547"/>
    </row>
    <row r="14" spans="1:21" ht="9.9499999999999993" customHeight="1">
      <c r="A14" s="2682"/>
      <c r="B14" s="649" t="s">
        <v>1430</v>
      </c>
      <c r="C14" s="650">
        <v>12876.024665430001</v>
      </c>
      <c r="D14" s="650">
        <v>17979.63</v>
      </c>
      <c r="E14" s="650">
        <v>134086.6508</v>
      </c>
      <c r="F14" s="650">
        <v>490.4</v>
      </c>
      <c r="G14" s="658">
        <v>21394.7</v>
      </c>
      <c r="H14" s="650">
        <v>10.20333333</v>
      </c>
      <c r="I14" s="650">
        <v>120</v>
      </c>
      <c r="L14" s="547"/>
      <c r="N14" s="547"/>
      <c r="O14" s="547"/>
      <c r="P14" s="547"/>
      <c r="Q14" s="547"/>
      <c r="R14" s="547"/>
      <c r="S14" s="547"/>
      <c r="T14" s="547"/>
      <c r="U14" s="547"/>
    </row>
    <row r="15" spans="1:21" ht="9.9499999999999993" customHeight="1">
      <c r="A15" s="2682"/>
      <c r="B15" s="648" t="s">
        <v>1413</v>
      </c>
      <c r="C15" s="651">
        <v>186.22532140000001</v>
      </c>
      <c r="D15" s="651">
        <v>404.6998428</v>
      </c>
      <c r="E15" s="651">
        <v>2306.8376779999999</v>
      </c>
      <c r="F15" s="651">
        <v>119.5829384</v>
      </c>
      <c r="G15" s="651">
        <v>806.78436020000004</v>
      </c>
      <c r="H15" s="651" t="s">
        <v>2892</v>
      </c>
      <c r="I15" s="651">
        <v>84.4</v>
      </c>
      <c r="L15" s="547"/>
      <c r="N15" s="547"/>
      <c r="O15" s="547"/>
      <c r="P15" s="547"/>
      <c r="Q15" s="547"/>
      <c r="R15" s="547"/>
      <c r="S15" s="547"/>
      <c r="T15" s="547"/>
      <c r="U15" s="547"/>
    </row>
    <row r="16" spans="1:21" ht="9.9499999999999993" customHeight="1">
      <c r="A16" s="2682"/>
      <c r="B16" s="649" t="s">
        <v>1414</v>
      </c>
      <c r="C16" s="650">
        <v>108729.258506527</v>
      </c>
      <c r="D16" s="650">
        <v>187476.83587400001</v>
      </c>
      <c r="E16" s="650">
        <v>2072223.15680797</v>
      </c>
      <c r="F16" s="650">
        <v>-2810.1983514680001</v>
      </c>
      <c r="G16" s="650">
        <v>635595.96079100098</v>
      </c>
      <c r="H16" s="650">
        <v>5.6349</v>
      </c>
      <c r="I16" s="650">
        <v>84.460034666666999</v>
      </c>
      <c r="L16" s="547"/>
      <c r="N16" s="547"/>
      <c r="O16" s="547"/>
      <c r="P16" s="547"/>
      <c r="Q16" s="547"/>
      <c r="R16" s="547"/>
      <c r="S16" s="547"/>
      <c r="T16" s="547"/>
      <c r="U16" s="547"/>
    </row>
    <row r="17" spans="1:21" ht="9.9499999999999993" customHeight="1">
      <c r="A17" s="2682"/>
      <c r="B17" s="648" t="s">
        <v>1415</v>
      </c>
      <c r="C17" s="651">
        <v>98.705727019999998</v>
      </c>
      <c r="D17" s="651">
        <v>966.37069229999997</v>
      </c>
      <c r="E17" s="651">
        <v>171.98508430999999</v>
      </c>
      <c r="F17" s="651" t="s">
        <v>2892</v>
      </c>
      <c r="G17" s="651">
        <v>673.88588889000005</v>
      </c>
      <c r="H17" s="651">
        <v>1.4</v>
      </c>
      <c r="I17" s="651">
        <v>15.41</v>
      </c>
      <c r="L17" s="547"/>
      <c r="N17" s="547"/>
      <c r="O17" s="547"/>
      <c r="P17" s="547"/>
      <c r="Q17" s="547"/>
      <c r="R17" s="547"/>
      <c r="S17" s="547"/>
      <c r="T17" s="547"/>
      <c r="U17" s="547"/>
    </row>
    <row r="18" spans="1:21" ht="9.9499999999999993" customHeight="1">
      <c r="A18" s="2682"/>
      <c r="B18" s="649" t="s">
        <v>1416</v>
      </c>
      <c r="C18" s="650">
        <v>445.60425882938699</v>
      </c>
      <c r="D18" s="650">
        <v>3183.7207915659801</v>
      </c>
      <c r="E18" s="650">
        <v>6996.5555950846901</v>
      </c>
      <c r="F18" s="650">
        <v>11.4343164826986</v>
      </c>
      <c r="G18" s="650">
        <v>16946.382998209901</v>
      </c>
      <c r="H18" s="650">
        <v>4.6900000000000004</v>
      </c>
      <c r="I18" s="650">
        <v>135.66999999999999</v>
      </c>
      <c r="L18" s="547"/>
      <c r="N18" s="547"/>
      <c r="O18" s="547"/>
      <c r="P18" s="547"/>
      <c r="Q18" s="547"/>
      <c r="R18" s="547"/>
      <c r="S18" s="547"/>
      <c r="T18" s="547"/>
      <c r="U18" s="547"/>
    </row>
    <row r="19" spans="1:21" ht="9.9499999999999993" customHeight="1">
      <c r="A19" s="2682"/>
      <c r="B19" s="648" t="s">
        <v>1417</v>
      </c>
      <c r="C19" s="651">
        <v>8725.6519750200005</v>
      </c>
      <c r="D19" s="651">
        <v>14425.28643271</v>
      </c>
      <c r="E19" s="651">
        <v>53567.47</v>
      </c>
      <c r="F19" s="651">
        <v>560.25522163000005</v>
      </c>
      <c r="G19" s="651">
        <v>11731.7</v>
      </c>
      <c r="H19" s="651">
        <v>12.64</v>
      </c>
      <c r="I19" s="651">
        <v>277.86669760000001</v>
      </c>
      <c r="L19" s="547"/>
      <c r="N19" s="547"/>
      <c r="O19" s="547"/>
      <c r="P19" s="547"/>
      <c r="Q19" s="547"/>
      <c r="R19" s="547"/>
      <c r="S19" s="547"/>
      <c r="T19" s="547"/>
      <c r="U19" s="547"/>
    </row>
    <row r="20" spans="1:21" ht="9.9499999999999993" customHeight="1">
      <c r="A20" s="2682"/>
      <c r="B20" s="649" t="s">
        <v>1418</v>
      </c>
      <c r="C20" s="650" t="s">
        <v>2892</v>
      </c>
      <c r="D20" s="650" t="s">
        <v>2892</v>
      </c>
      <c r="E20" s="650" t="s">
        <v>2892</v>
      </c>
      <c r="F20" s="650" t="s">
        <v>2892</v>
      </c>
      <c r="G20" s="650" t="s">
        <v>2892</v>
      </c>
      <c r="H20" s="650" t="s">
        <v>2892</v>
      </c>
      <c r="I20" s="650" t="s">
        <v>2892</v>
      </c>
      <c r="L20" s="547"/>
      <c r="N20" s="547"/>
      <c r="O20" s="547"/>
      <c r="P20" s="547"/>
      <c r="Q20" s="547"/>
      <c r="R20" s="547"/>
      <c r="S20" s="547"/>
      <c r="T20" s="547"/>
      <c r="U20" s="547"/>
    </row>
    <row r="21" spans="1:21" ht="9.9499999999999993" customHeight="1">
      <c r="A21" s="2682" t="s">
        <v>1163</v>
      </c>
      <c r="B21" s="648" t="s">
        <v>1429</v>
      </c>
      <c r="C21" s="651" t="s">
        <v>2892</v>
      </c>
      <c r="D21" s="651" t="s">
        <v>2892</v>
      </c>
      <c r="E21" s="651" t="s">
        <v>2892</v>
      </c>
      <c r="F21" s="651" t="s">
        <v>2892</v>
      </c>
      <c r="G21" s="651" t="s">
        <v>2892</v>
      </c>
      <c r="H21" s="651" t="s">
        <v>2892</v>
      </c>
      <c r="I21" s="651" t="s">
        <v>2892</v>
      </c>
      <c r="L21" s="547"/>
      <c r="N21" s="547"/>
      <c r="O21" s="547"/>
      <c r="P21" s="547"/>
      <c r="Q21" s="547"/>
      <c r="R21" s="547"/>
      <c r="S21" s="547"/>
      <c r="T21" s="547"/>
      <c r="U21" s="547"/>
    </row>
    <row r="22" spans="1:21" ht="9.9499999999999993" customHeight="1">
      <c r="A22" s="2682"/>
      <c r="B22" s="649" t="s">
        <v>1430</v>
      </c>
      <c r="C22" s="650">
        <v>12652.08</v>
      </c>
      <c r="D22" s="650">
        <v>18204.96</v>
      </c>
      <c r="E22" s="650">
        <v>134508.7254</v>
      </c>
      <c r="F22" s="650">
        <v>788.24</v>
      </c>
      <c r="G22" s="658">
        <v>20369.900000000001</v>
      </c>
      <c r="H22" s="650">
        <v>10.303333329999999</v>
      </c>
      <c r="I22" s="650">
        <v>121.97402599999999</v>
      </c>
      <c r="L22" s="547"/>
      <c r="N22" s="547"/>
      <c r="O22" s="547"/>
      <c r="P22" s="547"/>
      <c r="Q22" s="547"/>
      <c r="R22" s="547"/>
      <c r="S22" s="547"/>
      <c r="T22" s="547"/>
      <c r="U22" s="547"/>
    </row>
    <row r="23" spans="1:21" ht="9.9499999999999993" customHeight="1">
      <c r="A23" s="2682"/>
      <c r="B23" s="648" t="s">
        <v>1413</v>
      </c>
      <c r="C23" s="651">
        <v>135.8564466</v>
      </c>
      <c r="D23" s="651">
        <v>452.82894379999999</v>
      </c>
      <c r="E23" s="651">
        <v>2310.9942329999999</v>
      </c>
      <c r="F23" s="651">
        <v>117.03575549999999</v>
      </c>
      <c r="G23" s="651">
        <v>767.40830449999999</v>
      </c>
      <c r="H23" s="651" t="s">
        <v>2892</v>
      </c>
      <c r="I23" s="651">
        <v>86.7</v>
      </c>
      <c r="L23" s="547"/>
      <c r="N23" s="547"/>
      <c r="O23" s="547"/>
      <c r="P23" s="547"/>
      <c r="Q23" s="547"/>
      <c r="R23" s="547"/>
      <c r="S23" s="547"/>
      <c r="T23" s="547"/>
      <c r="U23" s="547"/>
    </row>
    <row r="24" spans="1:21" ht="9.9499999999999993" customHeight="1">
      <c r="A24" s="2682"/>
      <c r="B24" s="649" t="s">
        <v>1414</v>
      </c>
      <c r="C24" s="650">
        <v>115297.028299</v>
      </c>
      <c r="D24" s="650">
        <v>173901.14680399999</v>
      </c>
      <c r="E24" s="650">
        <v>2131768.3900941098</v>
      </c>
      <c r="F24" s="650">
        <v>366.37850521899998</v>
      </c>
      <c r="G24" s="650">
        <v>667451.17280156701</v>
      </c>
      <c r="H24" s="650">
        <v>3.7339000000000002</v>
      </c>
      <c r="I24" s="650">
        <v>86.652720333332994</v>
      </c>
      <c r="L24" s="547"/>
      <c r="N24" s="547"/>
      <c r="O24" s="547"/>
      <c r="P24" s="547"/>
      <c r="Q24" s="547"/>
      <c r="R24" s="547"/>
      <c r="S24" s="547"/>
      <c r="T24" s="547"/>
      <c r="U24" s="547"/>
    </row>
    <row r="25" spans="1:21" ht="9.9499999999999993" customHeight="1">
      <c r="A25" s="2682"/>
      <c r="B25" s="648" t="s">
        <v>1415</v>
      </c>
      <c r="C25" s="651">
        <v>142.04775355000001</v>
      </c>
      <c r="D25" s="651">
        <v>879.99100398999997</v>
      </c>
      <c r="E25" s="651">
        <v>169.29351492000001</v>
      </c>
      <c r="F25" s="651" t="s">
        <v>2892</v>
      </c>
      <c r="G25" s="651">
        <v>790.98858538000002</v>
      </c>
      <c r="H25" s="651">
        <v>2.64</v>
      </c>
      <c r="I25" s="651">
        <v>15.42</v>
      </c>
      <c r="L25" s="547"/>
      <c r="N25" s="547"/>
      <c r="O25" s="547"/>
      <c r="P25" s="547"/>
      <c r="Q25" s="547"/>
      <c r="R25" s="547"/>
      <c r="S25" s="547"/>
      <c r="T25" s="547"/>
      <c r="U25" s="547"/>
    </row>
    <row r="26" spans="1:21" ht="9.9499999999999993" customHeight="1">
      <c r="A26" s="2682"/>
      <c r="B26" s="649" t="s">
        <v>1416</v>
      </c>
      <c r="C26" s="650">
        <v>645.24941559901902</v>
      </c>
      <c r="D26" s="650">
        <v>3515.88702100606</v>
      </c>
      <c r="E26" s="650">
        <v>6848.2751117550897</v>
      </c>
      <c r="F26" s="650">
        <v>16.451639978351899</v>
      </c>
      <c r="G26" s="650">
        <v>17453.884935694299</v>
      </c>
      <c r="H26" s="650">
        <v>4.54</v>
      </c>
      <c r="I26" s="650">
        <v>139.54</v>
      </c>
      <c r="L26" s="547"/>
      <c r="N26" s="547"/>
      <c r="O26" s="547"/>
      <c r="P26" s="547"/>
      <c r="Q26" s="547"/>
      <c r="R26" s="547"/>
      <c r="S26" s="547"/>
      <c r="T26" s="547"/>
      <c r="U26" s="547"/>
    </row>
    <row r="27" spans="1:21" ht="9.9499999999999993" customHeight="1">
      <c r="A27" s="2682"/>
      <c r="B27" s="648" t="s">
        <v>1417</v>
      </c>
      <c r="C27" s="651">
        <v>8086.6869999999999</v>
      </c>
      <c r="D27" s="651">
        <v>14874.880999999999</v>
      </c>
      <c r="E27" s="651">
        <v>46602.291007810003</v>
      </c>
      <c r="F27" s="651">
        <v>432.23235942000002</v>
      </c>
      <c r="G27" s="651">
        <v>10638.9</v>
      </c>
      <c r="H27" s="651">
        <v>7.24</v>
      </c>
      <c r="I27" s="651">
        <v>279.34404660000001</v>
      </c>
      <c r="L27" s="547"/>
      <c r="N27" s="547"/>
      <c r="O27" s="547"/>
      <c r="P27" s="547"/>
      <c r="Q27" s="547"/>
      <c r="R27" s="547"/>
      <c r="S27" s="547"/>
      <c r="T27" s="547"/>
      <c r="U27" s="547"/>
    </row>
    <row r="28" spans="1:21" ht="9.9499999999999993" customHeight="1">
      <c r="A28" s="2682"/>
      <c r="B28" s="649" t="s">
        <v>1418</v>
      </c>
      <c r="C28" s="650" t="s">
        <v>2892</v>
      </c>
      <c r="D28" s="650" t="s">
        <v>2892</v>
      </c>
      <c r="E28" s="650" t="s">
        <v>2892</v>
      </c>
      <c r="F28" s="650" t="s">
        <v>2892</v>
      </c>
      <c r="G28" s="650" t="s">
        <v>2892</v>
      </c>
      <c r="H28" s="650" t="s">
        <v>2892</v>
      </c>
      <c r="I28" s="650" t="s">
        <v>2892</v>
      </c>
      <c r="L28" s="547"/>
      <c r="N28" s="547"/>
      <c r="O28" s="547"/>
      <c r="P28" s="547"/>
      <c r="Q28" s="547"/>
      <c r="R28" s="547"/>
      <c r="S28" s="547"/>
      <c r="T28" s="547"/>
      <c r="U28" s="547"/>
    </row>
    <row r="29" spans="1:21" ht="9.9499999999999993" customHeight="1">
      <c r="A29" s="2682" t="s">
        <v>1164</v>
      </c>
      <c r="B29" s="648" t="s">
        <v>1429</v>
      </c>
      <c r="C29" s="651" t="s">
        <v>2892</v>
      </c>
      <c r="D29" s="651" t="s">
        <v>2892</v>
      </c>
      <c r="E29" s="651" t="s">
        <v>2892</v>
      </c>
      <c r="F29" s="651" t="s">
        <v>2892</v>
      </c>
      <c r="G29" s="651" t="s">
        <v>2892</v>
      </c>
      <c r="H29" s="651" t="s">
        <v>2892</v>
      </c>
      <c r="I29" s="651" t="s">
        <v>2892</v>
      </c>
      <c r="L29" s="547"/>
      <c r="N29" s="547"/>
      <c r="O29" s="547"/>
      <c r="P29" s="547"/>
      <c r="Q29" s="547"/>
      <c r="R29" s="547"/>
      <c r="S29" s="547"/>
      <c r="T29" s="547"/>
      <c r="U29" s="547"/>
    </row>
    <row r="30" spans="1:21" ht="9.9499999999999993" customHeight="1">
      <c r="A30" s="2682"/>
      <c r="B30" s="649" t="s">
        <v>1430</v>
      </c>
      <c r="C30" s="650">
        <v>11113.53</v>
      </c>
      <c r="D30" s="650">
        <v>15999</v>
      </c>
      <c r="E30" s="650">
        <v>135138.76029999999</v>
      </c>
      <c r="F30" s="650">
        <v>303.27</v>
      </c>
      <c r="G30" s="658">
        <v>26740</v>
      </c>
      <c r="H30" s="650">
        <v>10.123333329999999</v>
      </c>
      <c r="I30" s="650">
        <v>122.4021</v>
      </c>
      <c r="L30" s="652"/>
      <c r="M30" s="652"/>
      <c r="N30" s="949"/>
      <c r="O30" s="235"/>
      <c r="P30" s="652"/>
      <c r="Q30" s="547"/>
      <c r="R30" s="547"/>
      <c r="S30" s="547"/>
      <c r="T30" s="547"/>
      <c r="U30" s="547"/>
    </row>
    <row r="31" spans="1:21" ht="9.9499999999999993" customHeight="1">
      <c r="A31" s="2682"/>
      <c r="B31" s="648" t="s">
        <v>1413</v>
      </c>
      <c r="C31" s="651">
        <v>171.21564599999999</v>
      </c>
      <c r="D31" s="651">
        <v>420.51367499999998</v>
      </c>
      <c r="E31" s="651">
        <v>2495.2046780000001</v>
      </c>
      <c r="F31" s="651">
        <v>137.23625730000001</v>
      </c>
      <c r="G31" s="651">
        <v>778.77192979999995</v>
      </c>
      <c r="H31" s="651" t="s">
        <v>2892</v>
      </c>
      <c r="I31" s="651">
        <v>85.5</v>
      </c>
      <c r="L31" s="949"/>
      <c r="M31" s="949"/>
      <c r="N31" s="949"/>
      <c r="O31" s="949"/>
      <c r="P31" s="652"/>
      <c r="Q31" s="547"/>
      <c r="R31" s="547"/>
      <c r="S31" s="547"/>
      <c r="T31" s="547"/>
      <c r="U31" s="547"/>
    </row>
    <row r="32" spans="1:21" ht="9.9499999999999993" customHeight="1">
      <c r="A32" s="2682"/>
      <c r="B32" s="649" t="s">
        <v>1414</v>
      </c>
      <c r="C32" s="650">
        <v>111566.11968800001</v>
      </c>
      <c r="D32" s="650">
        <v>180310.24907600001</v>
      </c>
      <c r="E32" s="650">
        <v>2160656.4161792998</v>
      </c>
      <c r="F32" s="650">
        <v>4816.4610819</v>
      </c>
      <c r="G32" s="650">
        <v>699829.90207367204</v>
      </c>
      <c r="H32" s="650">
        <v>2.6956000000000002</v>
      </c>
      <c r="I32" s="650">
        <v>85.551445000000001</v>
      </c>
      <c r="L32" s="547"/>
      <c r="N32" s="547"/>
      <c r="O32" s="547"/>
      <c r="P32" s="547"/>
      <c r="Q32" s="547"/>
      <c r="R32" s="547"/>
      <c r="S32" s="547"/>
      <c r="T32" s="547"/>
      <c r="U32" s="547"/>
    </row>
    <row r="33" spans="1:21" ht="9.9499999999999993" customHeight="1">
      <c r="A33" s="2682"/>
      <c r="B33" s="648" t="s">
        <v>1415</v>
      </c>
      <c r="C33" s="651">
        <v>93.728273900000005</v>
      </c>
      <c r="D33" s="651">
        <v>839.73068077999994</v>
      </c>
      <c r="E33" s="651">
        <v>186.42133593</v>
      </c>
      <c r="F33" s="651" t="s">
        <v>2892</v>
      </c>
      <c r="G33" s="651">
        <v>832.41927957999997</v>
      </c>
      <c r="H33" s="651">
        <v>3.76</v>
      </c>
      <c r="I33" s="651">
        <v>15.42</v>
      </c>
      <c r="L33" s="547"/>
      <c r="N33" s="547"/>
      <c r="O33" s="547"/>
      <c r="P33" s="547"/>
      <c r="Q33" s="547"/>
      <c r="R33" s="547"/>
      <c r="S33" s="547"/>
      <c r="T33" s="547"/>
      <c r="U33" s="547"/>
    </row>
    <row r="34" spans="1:21" ht="9.9499999999999993" customHeight="1">
      <c r="A34" s="2682"/>
      <c r="B34" s="649" t="s">
        <v>1416</v>
      </c>
      <c r="C34" s="650">
        <v>648.97303018000002</v>
      </c>
      <c r="D34" s="650">
        <v>3613.16641493</v>
      </c>
      <c r="E34" s="650" t="s">
        <v>2892</v>
      </c>
      <c r="F34" s="650">
        <v>9.8135959499999998</v>
      </c>
      <c r="G34" s="650">
        <v>18845.862559370002</v>
      </c>
      <c r="H34" s="650" t="s">
        <v>2892</v>
      </c>
      <c r="I34" s="650">
        <v>137.74</v>
      </c>
      <c r="L34" s="547"/>
      <c r="N34" s="547"/>
      <c r="O34" s="547"/>
      <c r="P34" s="547"/>
      <c r="Q34" s="547"/>
      <c r="R34" s="547"/>
      <c r="S34" s="547"/>
      <c r="T34" s="547"/>
      <c r="U34" s="547"/>
    </row>
    <row r="35" spans="1:21" ht="9.9499999999999993" customHeight="1">
      <c r="A35" s="2682"/>
      <c r="B35" s="648" t="s">
        <v>1417</v>
      </c>
      <c r="C35" s="651">
        <v>7322.384</v>
      </c>
      <c r="D35" s="651">
        <v>15704.902</v>
      </c>
      <c r="E35" s="651">
        <v>45304.538020289998</v>
      </c>
      <c r="F35" s="651">
        <v>632.64439652999999</v>
      </c>
      <c r="G35" s="651">
        <v>14506.4</v>
      </c>
      <c r="H35" s="651">
        <v>4.49</v>
      </c>
      <c r="I35" s="651">
        <v>281.79000000000002</v>
      </c>
      <c r="L35" s="547"/>
      <c r="N35" s="547"/>
      <c r="O35" s="547"/>
      <c r="P35" s="547"/>
      <c r="Q35" s="547"/>
      <c r="R35" s="547"/>
      <c r="S35" s="547"/>
      <c r="T35" s="547"/>
      <c r="U35" s="547"/>
    </row>
    <row r="36" spans="1:21" ht="9.9499999999999993" customHeight="1">
      <c r="A36" s="2682"/>
      <c r="B36" s="649" t="s">
        <v>1418</v>
      </c>
      <c r="C36" s="650" t="s">
        <v>2892</v>
      </c>
      <c r="D36" s="650" t="s">
        <v>2892</v>
      </c>
      <c r="E36" s="650" t="s">
        <v>2892</v>
      </c>
      <c r="F36" s="650" t="s">
        <v>2892</v>
      </c>
      <c r="G36" s="650" t="s">
        <v>2892</v>
      </c>
      <c r="H36" s="650" t="s">
        <v>2892</v>
      </c>
      <c r="I36" s="650" t="s">
        <v>2892</v>
      </c>
      <c r="L36" s="547"/>
      <c r="N36" s="547"/>
      <c r="O36" s="547"/>
      <c r="P36" s="547"/>
      <c r="Q36" s="547"/>
      <c r="R36" s="547"/>
      <c r="S36" s="547"/>
      <c r="T36" s="547"/>
      <c r="U36" s="547"/>
    </row>
    <row r="37" spans="1:21" ht="9.9499999999999993" customHeight="1">
      <c r="A37" s="1605" t="s">
        <v>2689</v>
      </c>
      <c r="B37" s="1605"/>
      <c r="C37" s="1049"/>
      <c r="D37" s="1049"/>
      <c r="E37" s="1049"/>
      <c r="F37" s="1049"/>
      <c r="G37" s="1049"/>
      <c r="H37" s="1049"/>
      <c r="I37" s="1050"/>
    </row>
    <row r="38" spans="1:21" ht="9.9499999999999993" customHeight="1">
      <c r="A38" s="2685" t="s">
        <v>1165</v>
      </c>
      <c r="B38" s="648" t="s">
        <v>1429</v>
      </c>
      <c r="C38" s="655" t="s">
        <v>2892</v>
      </c>
      <c r="D38" s="655" t="s">
        <v>2892</v>
      </c>
      <c r="E38" s="655" t="s">
        <v>2892</v>
      </c>
      <c r="F38" s="655" t="s">
        <v>2892</v>
      </c>
      <c r="G38" s="655" t="s">
        <v>2892</v>
      </c>
      <c r="H38" s="655" t="s">
        <v>2892</v>
      </c>
      <c r="I38" s="655" t="s">
        <v>2892</v>
      </c>
      <c r="J38" s="622"/>
    </row>
    <row r="39" spans="1:21" ht="9.9499999999999993" customHeight="1">
      <c r="A39" s="2682"/>
      <c r="B39" s="649" t="s">
        <v>1430</v>
      </c>
      <c r="C39" s="658">
        <v>12271.1</v>
      </c>
      <c r="D39" s="658">
        <v>17705.3</v>
      </c>
      <c r="E39" s="658">
        <v>136826.26850000001</v>
      </c>
      <c r="F39" s="658">
        <v>315.08999999999997</v>
      </c>
      <c r="G39" s="658">
        <v>26603.7</v>
      </c>
      <c r="H39" s="658">
        <v>9.6</v>
      </c>
      <c r="I39" s="658">
        <v>121.80992089999999</v>
      </c>
    </row>
    <row r="40" spans="1:21" ht="9.9499999999999993" customHeight="1">
      <c r="A40" s="2682"/>
      <c r="B40" s="648" t="s">
        <v>1413</v>
      </c>
      <c r="C40" s="655" t="s">
        <v>2892</v>
      </c>
      <c r="D40" s="655" t="s">
        <v>2892</v>
      </c>
      <c r="E40" s="655">
        <v>2478.9874</v>
      </c>
      <c r="F40" s="655" t="s">
        <v>2892</v>
      </c>
      <c r="G40" s="655" t="s">
        <v>2892</v>
      </c>
      <c r="H40" s="655" t="s">
        <v>2892</v>
      </c>
      <c r="I40" s="651">
        <v>87.3</v>
      </c>
    </row>
    <row r="41" spans="1:21" ht="9.9499999999999993" customHeight="1">
      <c r="A41" s="2682"/>
      <c r="B41" s="649" t="s">
        <v>1414</v>
      </c>
      <c r="C41" s="658">
        <v>107921.18624700001</v>
      </c>
      <c r="D41" s="658">
        <v>195948.69242199999</v>
      </c>
      <c r="E41" s="658">
        <v>2128893.3387241899</v>
      </c>
      <c r="F41" s="658">
        <v>1883.4699654999999</v>
      </c>
      <c r="G41" s="658">
        <v>700046.38082356204</v>
      </c>
      <c r="H41" s="658">
        <v>1.706833</v>
      </c>
      <c r="I41" s="658">
        <v>87.318533983291005</v>
      </c>
    </row>
    <row r="42" spans="1:21" ht="9.9499999999999993" customHeight="1">
      <c r="A42" s="2682"/>
      <c r="B42" s="648" t="s">
        <v>1415</v>
      </c>
      <c r="C42" s="655">
        <v>89.582591359999995</v>
      </c>
      <c r="D42" s="655">
        <v>903.69054199000004</v>
      </c>
      <c r="E42" s="655">
        <v>189.09169908999999</v>
      </c>
      <c r="F42" s="655" t="s">
        <v>2892</v>
      </c>
      <c r="G42" s="651">
        <v>859.46337114999994</v>
      </c>
      <c r="H42" s="651">
        <v>4.42</v>
      </c>
      <c r="I42" s="655">
        <v>15.42</v>
      </c>
    </row>
    <row r="43" spans="1:21" ht="9.9499999999999993" customHeight="1">
      <c r="A43" s="2682"/>
      <c r="B43" s="649" t="s">
        <v>1416</v>
      </c>
      <c r="C43" s="650">
        <v>517.92124961000002</v>
      </c>
      <c r="D43" s="650">
        <v>3330.8732784700001</v>
      </c>
      <c r="E43" s="650" t="s">
        <v>2892</v>
      </c>
      <c r="F43" s="650">
        <v>8.4392231590000009</v>
      </c>
      <c r="G43" s="650">
        <v>20602.814565749999</v>
      </c>
      <c r="H43" s="650" t="s">
        <v>2892</v>
      </c>
      <c r="I43" s="650">
        <v>141.13999999999999</v>
      </c>
    </row>
    <row r="44" spans="1:21" ht="9.9499999999999993" customHeight="1">
      <c r="A44" s="2682"/>
      <c r="B44" s="648" t="s">
        <v>1417</v>
      </c>
      <c r="C44" s="655">
        <v>7601.357</v>
      </c>
      <c r="D44" s="655">
        <v>17047.522379030001</v>
      </c>
      <c r="E44" s="655">
        <v>45571.689460399997</v>
      </c>
      <c r="F44" s="655">
        <v>568.79965105999997</v>
      </c>
      <c r="G44" s="655">
        <v>14174.6</v>
      </c>
      <c r="H44" s="655">
        <v>3.34</v>
      </c>
      <c r="I44" s="651">
        <v>282.70176679999997</v>
      </c>
    </row>
    <row r="45" spans="1:21" ht="9.9499999999999993" customHeight="1">
      <c r="A45" s="2682"/>
      <c r="B45" s="649" t="s">
        <v>1418</v>
      </c>
      <c r="C45" s="650" t="s">
        <v>2892</v>
      </c>
      <c r="D45" s="650" t="s">
        <v>2892</v>
      </c>
      <c r="E45" s="650" t="s">
        <v>2892</v>
      </c>
      <c r="F45" s="650" t="s">
        <v>2892</v>
      </c>
      <c r="G45" s="650" t="s">
        <v>2892</v>
      </c>
      <c r="H45" s="650" t="s">
        <v>2892</v>
      </c>
      <c r="I45" s="650" t="s">
        <v>2892</v>
      </c>
    </row>
    <row r="46" spans="1:21" s="1599" customFormat="1" ht="9.9499999999999993" customHeight="1">
      <c r="A46" s="2683" t="s">
        <v>1276</v>
      </c>
      <c r="B46" s="648" t="s">
        <v>1429</v>
      </c>
      <c r="C46" s="655" t="s">
        <v>2892</v>
      </c>
      <c r="D46" s="655" t="s">
        <v>2892</v>
      </c>
      <c r="E46" s="655" t="s">
        <v>2892</v>
      </c>
      <c r="F46" s="655" t="s">
        <v>2892</v>
      </c>
      <c r="G46" s="655" t="s">
        <v>2892</v>
      </c>
      <c r="H46" s="655" t="s">
        <v>2892</v>
      </c>
      <c r="I46" s="655" t="s">
        <v>2892</v>
      </c>
    </row>
    <row r="47" spans="1:21" s="1599" customFormat="1" ht="9.9499999999999993" customHeight="1">
      <c r="A47" s="2684"/>
      <c r="B47" s="649" t="s">
        <v>1430</v>
      </c>
      <c r="C47" s="658">
        <v>12130.4</v>
      </c>
      <c r="D47" s="658">
        <v>17870.5</v>
      </c>
      <c r="E47" s="658">
        <v>138945.71429999999</v>
      </c>
      <c r="F47" s="658">
        <v>363.82</v>
      </c>
      <c r="G47" s="658">
        <v>28589.200000000001</v>
      </c>
      <c r="H47" s="658">
        <v>8.9833333329999991</v>
      </c>
      <c r="I47" s="658">
        <v>122.20243670000001</v>
      </c>
    </row>
    <row r="48" spans="1:21" s="1599" customFormat="1" ht="9.9499999999999993" customHeight="1">
      <c r="A48" s="2684"/>
      <c r="B48" s="648" t="s">
        <v>1413</v>
      </c>
      <c r="C48" s="655" t="s">
        <v>2892</v>
      </c>
      <c r="D48" s="655" t="s">
        <v>2892</v>
      </c>
      <c r="E48" s="655" t="s">
        <v>2892</v>
      </c>
      <c r="F48" s="655" t="s">
        <v>2892</v>
      </c>
      <c r="G48" s="655" t="s">
        <v>2892</v>
      </c>
      <c r="H48" s="655" t="s">
        <v>2892</v>
      </c>
      <c r="I48" s="651" t="s">
        <v>2892</v>
      </c>
    </row>
    <row r="49" spans="1:9" s="1599" customFormat="1" ht="9.9499999999999993" customHeight="1">
      <c r="A49" s="2684"/>
      <c r="B49" s="649" t="s">
        <v>1414</v>
      </c>
      <c r="C49" s="658">
        <v>110286.263557</v>
      </c>
      <c r="D49" s="658">
        <v>204185.561858</v>
      </c>
      <c r="E49" s="658">
        <v>2260071.2490463699</v>
      </c>
      <c r="F49" s="658">
        <v>-3658.8791225</v>
      </c>
      <c r="G49" s="658">
        <v>687421.34001632605</v>
      </c>
      <c r="H49" s="658" t="s">
        <v>2892</v>
      </c>
      <c r="I49" s="658">
        <v>89.111094178627994</v>
      </c>
    </row>
    <row r="50" spans="1:9" s="1599" customFormat="1" ht="9.9499999999999993" customHeight="1">
      <c r="A50" s="2684"/>
      <c r="B50" s="648" t="s">
        <v>1415</v>
      </c>
      <c r="C50" s="655" t="s">
        <v>2892</v>
      </c>
      <c r="D50" s="655" t="s">
        <v>2892</v>
      </c>
      <c r="E50" s="655" t="s">
        <v>2892</v>
      </c>
      <c r="F50" s="655" t="s">
        <v>2892</v>
      </c>
      <c r="G50" s="651" t="s">
        <v>2892</v>
      </c>
      <c r="H50" s="651" t="s">
        <v>2892</v>
      </c>
      <c r="I50" s="655" t="s">
        <v>2892</v>
      </c>
    </row>
    <row r="51" spans="1:9" s="1599" customFormat="1" ht="9.9499999999999993" customHeight="1">
      <c r="A51" s="2684"/>
      <c r="B51" s="649" t="s">
        <v>1416</v>
      </c>
      <c r="C51" s="650">
        <v>484.43959645000001</v>
      </c>
      <c r="D51" s="650">
        <v>3295.1697118400002</v>
      </c>
      <c r="E51" s="650" t="s">
        <v>2892</v>
      </c>
      <c r="F51" s="650">
        <v>9.2749329199999995</v>
      </c>
      <c r="G51" s="650">
        <v>22294.147738780001</v>
      </c>
      <c r="H51" s="650" t="s">
        <v>2892</v>
      </c>
      <c r="I51" s="650">
        <v>144.66999999999999</v>
      </c>
    </row>
    <row r="52" spans="1:9" s="1599" customFormat="1" ht="9.9499999999999993" customHeight="1">
      <c r="A52" s="2684"/>
      <c r="B52" s="648" t="s">
        <v>1417</v>
      </c>
      <c r="C52" s="655" t="s">
        <v>2892</v>
      </c>
      <c r="D52" s="655" t="s">
        <v>2892</v>
      </c>
      <c r="E52" s="655" t="s">
        <v>2892</v>
      </c>
      <c r="F52" s="655" t="s">
        <v>2892</v>
      </c>
      <c r="G52" s="655" t="s">
        <v>2892</v>
      </c>
      <c r="H52" s="655" t="s">
        <v>2892</v>
      </c>
      <c r="I52" s="651" t="s">
        <v>2892</v>
      </c>
    </row>
    <row r="53" spans="1:9" s="1599" customFormat="1" ht="9.9499999999999993" customHeight="1">
      <c r="A53" s="2685"/>
      <c r="B53" s="649" t="s">
        <v>1418</v>
      </c>
      <c r="C53" s="650" t="s">
        <v>2892</v>
      </c>
      <c r="D53" s="650" t="s">
        <v>2892</v>
      </c>
      <c r="E53" s="650" t="s">
        <v>2892</v>
      </c>
      <c r="F53" s="650" t="s">
        <v>2892</v>
      </c>
      <c r="G53" s="650" t="s">
        <v>2892</v>
      </c>
      <c r="H53" s="650" t="s">
        <v>2892</v>
      </c>
      <c r="I53" s="650" t="s">
        <v>2892</v>
      </c>
    </row>
    <row r="54" spans="1:9" ht="9.9499999999999993" customHeight="1">
      <c r="A54" s="2682" t="s">
        <v>1163</v>
      </c>
      <c r="B54" s="648" t="s">
        <v>1429</v>
      </c>
      <c r="C54" s="655" t="s">
        <v>2892</v>
      </c>
      <c r="D54" s="655" t="s">
        <v>2892</v>
      </c>
      <c r="E54" s="655" t="s">
        <v>2892</v>
      </c>
      <c r="F54" s="655" t="s">
        <v>2892</v>
      </c>
      <c r="G54" s="655" t="s">
        <v>2892</v>
      </c>
      <c r="H54" s="655" t="s">
        <v>2892</v>
      </c>
      <c r="I54" s="655" t="s">
        <v>2892</v>
      </c>
    </row>
    <row r="55" spans="1:9" ht="9.9499999999999993" customHeight="1">
      <c r="A55" s="2682"/>
      <c r="B55" s="649" t="s">
        <v>1430</v>
      </c>
      <c r="C55" s="658">
        <v>12130.4</v>
      </c>
      <c r="D55" s="658">
        <v>17870.5</v>
      </c>
      <c r="E55" s="658">
        <v>138945.71429999999</v>
      </c>
      <c r="F55" s="658" t="s">
        <v>2892</v>
      </c>
      <c r="G55" s="658" t="s">
        <v>2892</v>
      </c>
      <c r="H55" s="658" t="s">
        <v>2892</v>
      </c>
      <c r="I55" s="658">
        <v>122.4226623</v>
      </c>
    </row>
    <row r="56" spans="1:9" ht="9.9499999999999993" customHeight="1">
      <c r="A56" s="2682"/>
      <c r="B56" s="648" t="s">
        <v>1413</v>
      </c>
      <c r="C56" s="655" t="s">
        <v>2892</v>
      </c>
      <c r="D56" s="655" t="s">
        <v>2892</v>
      </c>
      <c r="E56" s="655" t="s">
        <v>2892</v>
      </c>
      <c r="F56" s="655" t="s">
        <v>2892</v>
      </c>
      <c r="G56" s="655" t="s">
        <v>2892</v>
      </c>
      <c r="H56" s="655" t="s">
        <v>2892</v>
      </c>
      <c r="I56" s="651" t="s">
        <v>2892</v>
      </c>
    </row>
    <row r="57" spans="1:9" ht="9.9499999999999993" customHeight="1">
      <c r="A57" s="2682"/>
      <c r="B57" s="649" t="s">
        <v>1414</v>
      </c>
      <c r="C57" s="658">
        <v>110286.263557</v>
      </c>
      <c r="D57" s="658">
        <v>204185.561858</v>
      </c>
      <c r="E57" s="658">
        <v>2260071.2490463699</v>
      </c>
      <c r="F57" s="658" t="s">
        <v>2892</v>
      </c>
      <c r="G57" s="658" t="s">
        <v>2892</v>
      </c>
      <c r="H57" s="658" t="s">
        <v>2892</v>
      </c>
      <c r="I57" s="658">
        <v>91.430244122806997</v>
      </c>
    </row>
    <row r="58" spans="1:9" ht="9.9499999999999993" customHeight="1">
      <c r="A58" s="2682"/>
      <c r="B58" s="648" t="s">
        <v>1415</v>
      </c>
      <c r="C58" s="655" t="s">
        <v>2892</v>
      </c>
      <c r="D58" s="655" t="s">
        <v>2892</v>
      </c>
      <c r="E58" s="655" t="s">
        <v>2892</v>
      </c>
      <c r="F58" s="655" t="s">
        <v>2892</v>
      </c>
      <c r="G58" s="651" t="s">
        <v>2892</v>
      </c>
      <c r="H58" s="651" t="s">
        <v>2892</v>
      </c>
      <c r="I58" s="655" t="s">
        <v>2892</v>
      </c>
    </row>
    <row r="59" spans="1:9" ht="9.9499999999999993" customHeight="1">
      <c r="A59" s="2682"/>
      <c r="B59" s="649" t="s">
        <v>1416</v>
      </c>
      <c r="C59" s="650">
        <v>484.43959645000001</v>
      </c>
      <c r="D59" s="650">
        <v>3295.1697118400002</v>
      </c>
      <c r="E59" s="650" t="s">
        <v>2892</v>
      </c>
      <c r="F59" s="650" t="s">
        <v>2892</v>
      </c>
      <c r="G59" s="650" t="s">
        <v>2892</v>
      </c>
      <c r="H59" s="650" t="s">
        <v>2892</v>
      </c>
      <c r="I59" s="650" t="s">
        <v>2892</v>
      </c>
    </row>
    <row r="60" spans="1:9" ht="9.9499999999999993" customHeight="1">
      <c r="A60" s="2682"/>
      <c r="B60" s="648" t="s">
        <v>1417</v>
      </c>
      <c r="C60" s="655" t="s">
        <v>2892</v>
      </c>
      <c r="D60" s="655" t="s">
        <v>2892</v>
      </c>
      <c r="E60" s="655" t="s">
        <v>2892</v>
      </c>
      <c r="F60" s="655" t="s">
        <v>2892</v>
      </c>
      <c r="G60" s="655" t="s">
        <v>2892</v>
      </c>
      <c r="H60" s="655" t="s">
        <v>2892</v>
      </c>
      <c r="I60" s="651" t="s">
        <v>2892</v>
      </c>
    </row>
    <row r="61" spans="1:9" ht="9.9499999999999993" customHeight="1">
      <c r="A61" s="2682"/>
      <c r="B61" s="649" t="s">
        <v>1418</v>
      </c>
      <c r="C61" s="650" t="s">
        <v>2892</v>
      </c>
      <c r="D61" s="650" t="s">
        <v>2892</v>
      </c>
      <c r="E61" s="650" t="s">
        <v>2892</v>
      </c>
      <c r="F61" s="650" t="s">
        <v>2892</v>
      </c>
      <c r="G61" s="650" t="s">
        <v>2892</v>
      </c>
      <c r="H61" s="650" t="s">
        <v>2892</v>
      </c>
      <c r="I61" s="650" t="s">
        <v>2892</v>
      </c>
    </row>
    <row r="62" spans="1:9" ht="9.9499999999999993" customHeight="1">
      <c r="A62" s="652" t="s">
        <v>16</v>
      </c>
      <c r="B62" s="652" t="s">
        <v>1206</v>
      </c>
      <c r="C62" s="949"/>
      <c r="D62" s="235"/>
      <c r="E62" s="652"/>
      <c r="F62" s="949"/>
      <c r="G62" s="652" t="s">
        <v>1296</v>
      </c>
      <c r="H62" s="949"/>
      <c r="I62" s="949"/>
    </row>
    <row r="63" spans="1:9" ht="9.9499999999999993" customHeight="1">
      <c r="A63" s="949"/>
      <c r="B63" s="949"/>
      <c r="C63" s="949"/>
      <c r="D63" s="949"/>
      <c r="E63" s="652" t="s">
        <v>366</v>
      </c>
      <c r="F63" s="949"/>
      <c r="G63" s="949"/>
      <c r="H63" s="949"/>
      <c r="I63" s="949"/>
    </row>
    <row r="64" spans="1:9">
      <c r="G64" s="949"/>
    </row>
    <row r="73" spans="1:7">
      <c r="A73" s="652"/>
      <c r="B73" s="652"/>
      <c r="C73" s="949"/>
      <c r="D73" s="235"/>
      <c r="E73" s="652"/>
      <c r="F73" s="949"/>
      <c r="G73" s="652"/>
    </row>
    <row r="74" spans="1:7">
      <c r="A74" s="949"/>
      <c r="B74" s="949"/>
      <c r="C74" s="949"/>
      <c r="D74" s="949"/>
      <c r="E74" s="652"/>
      <c r="F74" s="949"/>
      <c r="G74" s="949"/>
    </row>
  </sheetData>
  <customSheetViews>
    <customSheetView guid="{A374FC54-96E3-45F0-9C12-8450400C12DF}" scale="140" topLeftCell="A34">
      <selection activeCell="G57" sqref="G57"/>
      <pageMargins left="0.7" right="0.7" top="0.75" bottom="0.75" header="0.3" footer="0.3"/>
      <pageSetup paperSize="132" firstPageNumber="109" orientation="portrait" useFirstPageNumber="1" r:id="rId1"/>
      <headerFooter alignWithMargins="0">
        <oddFooter>&amp;C&amp;"Times New Roman,Regular"&amp;8&amp;P</oddFooter>
      </headerFooter>
    </customSheetView>
  </customSheetViews>
  <mergeCells count="12">
    <mergeCell ref="A54:A61"/>
    <mergeCell ref="A46:A53"/>
    <mergeCell ref="A38:A45"/>
    <mergeCell ref="A1:G1"/>
    <mergeCell ref="A29:A36"/>
    <mergeCell ref="G2:I2"/>
    <mergeCell ref="G4:H4"/>
    <mergeCell ref="A5:A12"/>
    <mergeCell ref="A13:A20"/>
    <mergeCell ref="A21:A28"/>
    <mergeCell ref="A3:B3"/>
    <mergeCell ref="A4:B4"/>
  </mergeCells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dimension ref="A1:CM47"/>
  <sheetViews>
    <sheetView topLeftCell="A10" zoomScale="130" zoomScaleNormal="130" zoomScaleSheetLayoutView="110" workbookViewId="0">
      <selection activeCell="U27" sqref="U27"/>
    </sheetView>
  </sheetViews>
  <sheetFormatPr defaultRowHeight="12.75"/>
  <cols>
    <col min="1" max="1" width="8.140625" style="1672" customWidth="1"/>
    <col min="2" max="2" width="8.5703125" style="1672" customWidth="1"/>
    <col min="3" max="3" width="10.42578125" style="1672" bestFit="1" customWidth="1"/>
    <col min="4" max="4" width="9" style="1672" customWidth="1"/>
    <col min="5" max="5" width="7.5703125" style="1672" customWidth="1"/>
    <col min="6" max="7" width="7.85546875" style="1672" customWidth="1"/>
    <col min="8" max="8" width="8.42578125" style="1672" customWidth="1"/>
    <col min="9" max="9" width="8.7109375" style="1672" customWidth="1"/>
    <col min="10" max="10" width="7.140625" style="1672" customWidth="1"/>
    <col min="11" max="11" width="7" style="1672" customWidth="1"/>
    <col min="12" max="13" width="6.28515625" style="1672" customWidth="1"/>
    <col min="14" max="14" width="5.42578125" style="1672" customWidth="1"/>
    <col min="15" max="15" width="8" style="1672" customWidth="1"/>
    <col min="16" max="16" width="7.5703125" style="1672" customWidth="1"/>
    <col min="17" max="17" width="7" style="1672" customWidth="1"/>
    <col min="18" max="18" width="7.5703125" style="1672" customWidth="1"/>
    <col min="19" max="19" width="8.140625" style="1672" customWidth="1"/>
    <col min="20" max="20" width="7.5703125" style="1672" customWidth="1"/>
    <col min="21" max="21" width="9.5703125" style="1672" bestFit="1" customWidth="1"/>
    <col min="22" max="16384" width="9.140625" style="1672"/>
  </cols>
  <sheetData>
    <row r="1" spans="1:20" ht="13.5" customHeight="1">
      <c r="F1" s="2698" t="s">
        <v>1853</v>
      </c>
      <c r="G1" s="2698"/>
      <c r="H1" s="2698"/>
      <c r="I1" s="2698"/>
      <c r="J1" s="2703" t="s">
        <v>1854</v>
      </c>
      <c r="K1" s="2703"/>
      <c r="L1" s="2703"/>
      <c r="M1" s="2703"/>
      <c r="N1" s="2703"/>
      <c r="O1" s="2703"/>
      <c r="P1" s="2703"/>
    </row>
    <row r="2" spans="1:20" ht="12" customHeight="1">
      <c r="A2" s="619"/>
      <c r="B2" s="620"/>
      <c r="C2" s="620"/>
      <c r="D2" s="626"/>
      <c r="E2" s="626"/>
      <c r="F2" s="626"/>
      <c r="G2" s="626"/>
      <c r="H2" s="626"/>
      <c r="I2" s="621"/>
      <c r="J2" s="634"/>
      <c r="K2" s="634"/>
      <c r="L2" s="634"/>
      <c r="M2" s="621"/>
      <c r="N2" s="621"/>
      <c r="O2" s="621"/>
      <c r="P2" s="620"/>
      <c r="Q2" s="620"/>
      <c r="R2" s="2699" t="s">
        <v>1988</v>
      </c>
      <c r="S2" s="2700"/>
      <c r="T2" s="2700"/>
    </row>
    <row r="3" spans="1:20" ht="10.5" customHeight="1">
      <c r="A3" s="622"/>
      <c r="B3" s="622"/>
      <c r="C3" s="622"/>
      <c r="D3" s="622"/>
      <c r="E3" s="622"/>
      <c r="F3" s="622"/>
      <c r="G3" s="622"/>
      <c r="H3" s="622"/>
      <c r="I3" s="622"/>
      <c r="J3" s="622"/>
      <c r="K3" s="622"/>
      <c r="L3" s="622"/>
      <c r="M3" s="622"/>
      <c r="N3" s="622"/>
      <c r="O3" s="622"/>
      <c r="P3" s="622"/>
      <c r="Q3" s="622"/>
      <c r="R3" s="2701" t="s">
        <v>24</v>
      </c>
      <c r="S3" s="2702"/>
      <c r="T3" s="2702"/>
    </row>
    <row r="4" spans="1:20" ht="14.25" customHeight="1">
      <c r="A4" s="2666" t="s">
        <v>481</v>
      </c>
      <c r="B4" s="2704" t="s">
        <v>1883</v>
      </c>
      <c r="C4" s="2705"/>
      <c r="D4" s="2705"/>
      <c r="E4" s="2705"/>
      <c r="F4" s="2706"/>
      <c r="G4" s="2707" t="s">
        <v>1855</v>
      </c>
      <c r="H4" s="2708"/>
      <c r="I4" s="2709"/>
      <c r="J4" s="2710" t="s">
        <v>1856</v>
      </c>
      <c r="K4" s="2705"/>
      <c r="L4" s="2705"/>
      <c r="M4" s="2706"/>
      <c r="N4" s="2711" t="s">
        <v>1898</v>
      </c>
      <c r="O4" s="2692" t="s">
        <v>1887</v>
      </c>
      <c r="P4" s="2692" t="s">
        <v>1886</v>
      </c>
      <c r="Q4" s="2692" t="s">
        <v>1857</v>
      </c>
      <c r="R4" s="2655" t="s">
        <v>1904</v>
      </c>
      <c r="S4" s="2692" t="s">
        <v>1888</v>
      </c>
      <c r="T4" s="2695" t="s">
        <v>481</v>
      </c>
    </row>
    <row r="5" spans="1:20" ht="39" customHeight="1">
      <c r="A5" s="2667"/>
      <c r="B5" s="1389" t="s">
        <v>1858</v>
      </c>
      <c r="C5" s="1389" t="s">
        <v>1859</v>
      </c>
      <c r="D5" s="1675" t="s">
        <v>1860</v>
      </c>
      <c r="E5" s="860" t="s">
        <v>1884</v>
      </c>
      <c r="F5" s="848" t="s">
        <v>1861</v>
      </c>
      <c r="G5" s="1674" t="s">
        <v>1862</v>
      </c>
      <c r="H5" s="1674" t="s">
        <v>1863</v>
      </c>
      <c r="I5" s="1674" t="s">
        <v>1864</v>
      </c>
      <c r="J5" s="1335" t="s">
        <v>1865</v>
      </c>
      <c r="K5" s="1335" t="s">
        <v>1885</v>
      </c>
      <c r="L5" s="1335" t="s">
        <v>1866</v>
      </c>
      <c r="M5" s="1444" t="s">
        <v>1903</v>
      </c>
      <c r="N5" s="2693"/>
      <c r="O5" s="2693"/>
      <c r="P5" s="2693"/>
      <c r="Q5" s="2693"/>
      <c r="R5" s="2656"/>
      <c r="S5" s="2694"/>
      <c r="T5" s="2696"/>
    </row>
    <row r="6" spans="1:20" ht="9.75" customHeight="1">
      <c r="A6" s="2668"/>
      <c r="B6" s="1656">
        <v>1</v>
      </c>
      <c r="C6" s="849">
        <v>2</v>
      </c>
      <c r="D6" s="849">
        <v>3</v>
      </c>
      <c r="E6" s="849">
        <v>4</v>
      </c>
      <c r="F6" s="849">
        <v>5</v>
      </c>
      <c r="G6" s="849">
        <v>6</v>
      </c>
      <c r="H6" s="849">
        <v>7</v>
      </c>
      <c r="I6" s="849">
        <v>8</v>
      </c>
      <c r="J6" s="849">
        <v>9</v>
      </c>
      <c r="K6" s="849">
        <v>10</v>
      </c>
      <c r="L6" s="849">
        <v>11</v>
      </c>
      <c r="M6" s="849">
        <v>12</v>
      </c>
      <c r="N6" s="849">
        <v>13</v>
      </c>
      <c r="O6" s="849">
        <v>14</v>
      </c>
      <c r="P6" s="849">
        <v>15</v>
      </c>
      <c r="Q6" s="849">
        <v>16</v>
      </c>
      <c r="R6" s="849">
        <v>17</v>
      </c>
      <c r="S6" s="849">
        <v>18</v>
      </c>
      <c r="T6" s="2697"/>
    </row>
    <row r="7" spans="1:20" ht="12" customHeight="1">
      <c r="A7" s="1016" t="s">
        <v>1298</v>
      </c>
      <c r="B7" s="1017">
        <v>5778.93</v>
      </c>
      <c r="C7" s="1017">
        <v>25743.57</v>
      </c>
      <c r="D7" s="1017">
        <v>23651.01</v>
      </c>
      <c r="E7" s="1017">
        <v>5900.44</v>
      </c>
      <c r="F7" s="1017">
        <f>E7+D7+C7+B7</f>
        <v>61073.95</v>
      </c>
      <c r="G7" s="1017">
        <v>3372.6</v>
      </c>
      <c r="H7" s="1017">
        <v>11661.04</v>
      </c>
      <c r="I7" s="1017">
        <f>H7+G7</f>
        <v>15033.640000000001</v>
      </c>
      <c r="J7" s="1017">
        <v>1902.61</v>
      </c>
      <c r="K7" s="1017">
        <v>23.77</v>
      </c>
      <c r="L7" s="1017">
        <v>344.05</v>
      </c>
      <c r="M7" s="1017">
        <f>J7+K7+L7</f>
        <v>2270.4299999999998</v>
      </c>
      <c r="N7" s="1017">
        <f>86.61+71.78+248.27</f>
        <v>406.65999999999997</v>
      </c>
      <c r="O7" s="1017">
        <f>N7+M7+I7+F7</f>
        <v>78784.679999999993</v>
      </c>
      <c r="P7" s="1017">
        <v>32254.38</v>
      </c>
      <c r="Q7" s="1017">
        <v>20001.87</v>
      </c>
      <c r="R7" s="1017">
        <v>46530.3</v>
      </c>
      <c r="S7" s="1017">
        <v>287704.5</v>
      </c>
      <c r="T7" s="1015" t="s">
        <v>1298</v>
      </c>
    </row>
    <row r="8" spans="1:20" ht="12" customHeight="1">
      <c r="A8" s="1046" t="s">
        <v>1407</v>
      </c>
      <c r="B8" s="851">
        <v>10372.989999999998</v>
      </c>
      <c r="C8" s="851">
        <v>26930.83</v>
      </c>
      <c r="D8" s="851">
        <v>27234.410000000003</v>
      </c>
      <c r="E8" s="851">
        <v>5043.63</v>
      </c>
      <c r="F8" s="851">
        <v>69581.86</v>
      </c>
      <c r="G8" s="851">
        <v>3202.32</v>
      </c>
      <c r="H8" s="851">
        <v>15495.210000000001</v>
      </c>
      <c r="I8" s="851">
        <v>18697.530000000002</v>
      </c>
      <c r="J8" s="851">
        <v>1366.67</v>
      </c>
      <c r="K8" s="851">
        <v>47.739999999999995</v>
      </c>
      <c r="L8" s="851">
        <v>471.64</v>
      </c>
      <c r="M8" s="851">
        <v>1886.05</v>
      </c>
      <c r="N8" s="851">
        <v>176.94</v>
      </c>
      <c r="O8" s="851">
        <v>90342.38</v>
      </c>
      <c r="P8" s="851">
        <v>40402.92</v>
      </c>
      <c r="Q8" s="851">
        <v>24896.420000000002</v>
      </c>
      <c r="R8" s="851">
        <v>49939.46</v>
      </c>
      <c r="S8" s="851">
        <v>287704.45</v>
      </c>
      <c r="T8" s="1047" t="s">
        <v>1407</v>
      </c>
    </row>
    <row r="9" spans="1:20" ht="12" customHeight="1">
      <c r="A9" s="1025" t="s">
        <v>1487</v>
      </c>
      <c r="B9" s="850">
        <v>8491.06</v>
      </c>
      <c r="C9" s="850">
        <v>16756.449999999997</v>
      </c>
      <c r="D9" s="850">
        <v>13843.539999999999</v>
      </c>
      <c r="E9" s="850">
        <v>4590.7800000000007</v>
      </c>
      <c r="F9" s="850">
        <v>43681.829999999994</v>
      </c>
      <c r="G9" s="850">
        <v>3009.92</v>
      </c>
      <c r="H9" s="850">
        <v>18637.46</v>
      </c>
      <c r="I9" s="850">
        <v>21647.38</v>
      </c>
      <c r="J9" s="850">
        <v>1341.26</v>
      </c>
      <c r="K9" s="850">
        <v>29.64</v>
      </c>
      <c r="L9" s="850">
        <v>249.21999999999997</v>
      </c>
      <c r="M9" s="850">
        <v>1620.1200000000001</v>
      </c>
      <c r="N9" s="850">
        <v>178.43</v>
      </c>
      <c r="O9" s="850">
        <v>67127.759999999995</v>
      </c>
      <c r="P9" s="850">
        <v>52699.41</v>
      </c>
      <c r="Q9" s="850">
        <v>28105.119999999999</v>
      </c>
      <c r="R9" s="850">
        <v>14428.349999999999</v>
      </c>
      <c r="S9" s="850">
        <v>302132.96999999997</v>
      </c>
      <c r="T9" s="1162" t="s">
        <v>1487</v>
      </c>
    </row>
    <row r="10" spans="1:20" s="682" customFormat="1" ht="12" customHeight="1">
      <c r="A10" s="854" t="s">
        <v>1539</v>
      </c>
      <c r="B10" s="851">
        <v>9550.2400000000016</v>
      </c>
      <c r="C10" s="851">
        <v>42794.799999999988</v>
      </c>
      <c r="D10" s="851">
        <v>31518.37999999999</v>
      </c>
      <c r="E10" s="851">
        <v>7403.1</v>
      </c>
      <c r="F10" s="851">
        <v>91266.52</v>
      </c>
      <c r="G10" s="851">
        <v>1963.54</v>
      </c>
      <c r="H10" s="851">
        <v>16981.04</v>
      </c>
      <c r="I10" s="851">
        <v>18944.579999999998</v>
      </c>
      <c r="J10" s="851">
        <v>1566</v>
      </c>
      <c r="K10" s="851">
        <v>22.839999999999996</v>
      </c>
      <c r="L10" s="851">
        <v>180.29999999999998</v>
      </c>
      <c r="M10" s="851">
        <v>1769.1399999999999</v>
      </c>
      <c r="N10" s="851">
        <v>208.04</v>
      </c>
      <c r="O10" s="851">
        <v>112188.27999999997</v>
      </c>
      <c r="P10" s="851">
        <v>70174.210000000006</v>
      </c>
      <c r="Q10" s="851">
        <v>35087.29</v>
      </c>
      <c r="R10" s="851">
        <v>42014.069999999992</v>
      </c>
      <c r="S10" s="851">
        <v>344143.94</v>
      </c>
      <c r="T10" s="857" t="s">
        <v>1539</v>
      </c>
    </row>
    <row r="11" spans="1:20" s="682" customFormat="1" ht="12" customHeight="1">
      <c r="A11" s="853" t="s">
        <v>1810</v>
      </c>
      <c r="B11" s="485">
        <v>9366.43</v>
      </c>
      <c r="C11" s="485">
        <v>53146.05</v>
      </c>
      <c r="D11" s="485">
        <v>32999.51</v>
      </c>
      <c r="E11" s="485">
        <v>8140.11</v>
      </c>
      <c r="F11" s="485">
        <v>103652.1</v>
      </c>
      <c r="G11" s="485">
        <v>476.28000000000003</v>
      </c>
      <c r="H11" s="485">
        <v>2742.31</v>
      </c>
      <c r="I11" s="485">
        <v>3218.59</v>
      </c>
      <c r="J11" s="485">
        <v>866.29000000000008</v>
      </c>
      <c r="K11" s="485">
        <v>15.03</v>
      </c>
      <c r="L11" s="485">
        <v>101.71</v>
      </c>
      <c r="M11" s="485">
        <v>983.03000000000009</v>
      </c>
      <c r="N11" s="485">
        <v>208.49</v>
      </c>
      <c r="O11" s="485">
        <v>108062.20999999999</v>
      </c>
      <c r="P11" s="485">
        <v>88155.1</v>
      </c>
      <c r="Q11" s="485">
        <v>40008.300000000003</v>
      </c>
      <c r="R11" s="485">
        <v>19907.11</v>
      </c>
      <c r="S11" s="485">
        <v>364051.04999999993</v>
      </c>
      <c r="T11" s="856" t="s">
        <v>1810</v>
      </c>
    </row>
    <row r="12" spans="1:20" ht="12" customHeight="1">
      <c r="A12" s="852" t="s">
        <v>2056</v>
      </c>
      <c r="B12" s="1269">
        <v>4398.8500000000004</v>
      </c>
      <c r="C12" s="1269">
        <v>38117.1</v>
      </c>
      <c r="D12" s="1269">
        <v>24674.29</v>
      </c>
      <c r="E12" s="1269">
        <v>7424.8499999999995</v>
      </c>
      <c r="F12" s="1269">
        <v>74615.090000000011</v>
      </c>
      <c r="G12" s="1269">
        <v>514.68999999999994</v>
      </c>
      <c r="H12" s="1269">
        <v>4324.3</v>
      </c>
      <c r="I12" s="1269">
        <v>4838.99</v>
      </c>
      <c r="J12" s="1269">
        <v>707.97</v>
      </c>
      <c r="K12" s="1269">
        <v>91.539999999999978</v>
      </c>
      <c r="L12" s="1269">
        <v>373</v>
      </c>
      <c r="M12" s="1269">
        <v>1172.5100000000002</v>
      </c>
      <c r="N12" s="1269">
        <v>232.01999999999998</v>
      </c>
      <c r="O12" s="1269">
        <v>80858.61</v>
      </c>
      <c r="P12" s="1269">
        <v>84154.565099999993</v>
      </c>
      <c r="Q12" s="1269">
        <v>44799.746200000001</v>
      </c>
      <c r="R12" s="1269">
        <v>-3295.9550999999992</v>
      </c>
      <c r="S12" s="1269">
        <v>360755.09489999997</v>
      </c>
      <c r="T12" s="855" t="s">
        <v>2056</v>
      </c>
    </row>
    <row r="13" spans="1:20" s="172" customFormat="1" ht="12" customHeight="1">
      <c r="A13" s="858" t="s">
        <v>2188</v>
      </c>
      <c r="B13" s="1268">
        <v>3358.3900000000003</v>
      </c>
      <c r="C13" s="1268">
        <v>34663.94</v>
      </c>
      <c r="D13" s="1268">
        <v>28057.190000000002</v>
      </c>
      <c r="E13" s="1268">
        <v>6662.5099999999993</v>
      </c>
      <c r="F13" s="1268">
        <v>72742.029999999984</v>
      </c>
      <c r="G13" s="1268">
        <v>474.17000000000007</v>
      </c>
      <c r="H13" s="1268">
        <v>4286.53</v>
      </c>
      <c r="I13" s="1268">
        <v>4760.7</v>
      </c>
      <c r="J13" s="1268">
        <v>713.14</v>
      </c>
      <c r="K13" s="1268">
        <v>59.61</v>
      </c>
      <c r="L13" s="1268">
        <v>334.13000000000005</v>
      </c>
      <c r="M13" s="1268">
        <v>1106.8800000000001</v>
      </c>
      <c r="N13" s="1268">
        <v>238.34</v>
      </c>
      <c r="O13" s="1268">
        <v>78847.95</v>
      </c>
      <c r="P13" s="1268">
        <v>99972.32</v>
      </c>
      <c r="Q13" s="1268">
        <v>46258.990000000005</v>
      </c>
      <c r="R13" s="1268">
        <v>-21124.370000000003</v>
      </c>
      <c r="S13" s="1268">
        <v>339630.72000000003</v>
      </c>
      <c r="T13" s="859" t="s">
        <v>2188</v>
      </c>
    </row>
    <row r="14" spans="1:20" ht="12" customHeight="1">
      <c r="A14" s="852" t="s">
        <v>2439</v>
      </c>
      <c r="B14" s="1269">
        <v>2777.3799999999997</v>
      </c>
      <c r="C14" s="1269">
        <v>28795.529999999995</v>
      </c>
      <c r="D14" s="1269">
        <v>25057.58</v>
      </c>
      <c r="E14" s="1269">
        <v>7030.2400000000007</v>
      </c>
      <c r="F14" s="1269">
        <v>63660.729999999996</v>
      </c>
      <c r="G14" s="1269">
        <v>351.95999999999992</v>
      </c>
      <c r="H14" s="1269">
        <v>2930.74</v>
      </c>
      <c r="I14" s="1269">
        <v>3282.7000000000007</v>
      </c>
      <c r="J14" s="1269">
        <v>950.00999999999988</v>
      </c>
      <c r="K14" s="1269">
        <v>72.75</v>
      </c>
      <c r="L14" s="1269">
        <v>228.10000000000002</v>
      </c>
      <c r="M14" s="1269">
        <v>1250.8599999999999</v>
      </c>
      <c r="N14" s="1269">
        <v>244.91</v>
      </c>
      <c r="O14" s="1269">
        <v>68439.200000000012</v>
      </c>
      <c r="P14" s="1269">
        <v>74502.540000000008</v>
      </c>
      <c r="Q14" s="1269">
        <v>22108.725000000002</v>
      </c>
      <c r="R14" s="1269">
        <v>-6063.3399999999992</v>
      </c>
      <c r="S14" s="1269">
        <v>333567.38</v>
      </c>
      <c r="T14" s="855" t="s">
        <v>2439</v>
      </c>
    </row>
    <row r="15" spans="1:20" ht="12" customHeight="1">
      <c r="A15" s="1939" t="s">
        <v>559</v>
      </c>
      <c r="B15" s="1940">
        <v>200.56</v>
      </c>
      <c r="C15" s="1940">
        <v>2071.6999999999998</v>
      </c>
      <c r="D15" s="1940">
        <v>1710.27</v>
      </c>
      <c r="E15" s="1940">
        <v>424.92</v>
      </c>
      <c r="F15" s="1940">
        <f t="shared" ref="F15:F32" si="0">E15+D15+C15+B15</f>
        <v>4407.45</v>
      </c>
      <c r="G15" s="1940">
        <v>37.799999999999997</v>
      </c>
      <c r="H15" s="1940">
        <v>347.24</v>
      </c>
      <c r="I15" s="1940">
        <f t="shared" ref="I15:I39" si="1">G15+H15</f>
        <v>385.04</v>
      </c>
      <c r="J15" s="1940">
        <v>76.739999999999995</v>
      </c>
      <c r="K15" s="1940">
        <v>6.62</v>
      </c>
      <c r="L15" s="1940">
        <v>19.079999999999998</v>
      </c>
      <c r="M15" s="1940">
        <f t="shared" ref="M15:M32" si="2">J15+K15+L15</f>
        <v>102.44</v>
      </c>
      <c r="N15" s="1940">
        <f>11.84+4.8</f>
        <v>16.64</v>
      </c>
      <c r="O15" s="1940">
        <f t="shared" ref="O15:O32" si="3">F15+I15+N15+M15</f>
        <v>4911.57</v>
      </c>
      <c r="P15" s="1940">
        <v>2724.01</v>
      </c>
      <c r="Q15" s="1940">
        <v>1234.8599999999999</v>
      </c>
      <c r="R15" s="1940">
        <f t="shared" ref="R15:R24" si="4">O15-P15</f>
        <v>2187.5599999999995</v>
      </c>
      <c r="S15" s="1940">
        <f>R15+339630.72</f>
        <v>341818.27999999997</v>
      </c>
      <c r="T15" s="1941" t="s">
        <v>559</v>
      </c>
    </row>
    <row r="16" spans="1:20" ht="12" customHeight="1">
      <c r="A16" s="1938" t="s">
        <v>560</v>
      </c>
      <c r="B16" s="1942">
        <v>134.33000000000001</v>
      </c>
      <c r="C16" s="1942">
        <v>1709.39</v>
      </c>
      <c r="D16" s="1942">
        <v>1510.27</v>
      </c>
      <c r="E16" s="1942">
        <v>426.05</v>
      </c>
      <c r="F16" s="1942">
        <f t="shared" si="0"/>
        <v>3780.04</v>
      </c>
      <c r="G16" s="1942">
        <v>28.13</v>
      </c>
      <c r="H16" s="1942">
        <v>198.9</v>
      </c>
      <c r="I16" s="1942">
        <f t="shared" si="1"/>
        <v>227.03</v>
      </c>
      <c r="J16" s="1942">
        <v>48.26</v>
      </c>
      <c r="K16" s="1942">
        <v>15.25</v>
      </c>
      <c r="L16" s="1942">
        <v>14.46</v>
      </c>
      <c r="M16" s="1942">
        <f t="shared" si="2"/>
        <v>77.97</v>
      </c>
      <c r="N16" s="1942">
        <f>11.88+15.57</f>
        <v>27.450000000000003</v>
      </c>
      <c r="O16" s="1942">
        <f t="shared" si="3"/>
        <v>4112.49</v>
      </c>
      <c r="P16" s="1942">
        <v>2076.34</v>
      </c>
      <c r="Q16" s="1942">
        <v>900.06</v>
      </c>
      <c r="R16" s="1942">
        <f t="shared" si="4"/>
        <v>2036.1499999999996</v>
      </c>
      <c r="S16" s="1942">
        <f>R16+S15</f>
        <v>343854.43</v>
      </c>
      <c r="T16" s="1943" t="s">
        <v>560</v>
      </c>
    </row>
    <row r="17" spans="1:91" ht="12" customHeight="1">
      <c r="A17" s="1939" t="s">
        <v>554</v>
      </c>
      <c r="B17" s="1940">
        <v>189.29</v>
      </c>
      <c r="C17" s="1940">
        <v>2536.94</v>
      </c>
      <c r="D17" s="1940">
        <v>2261.84</v>
      </c>
      <c r="E17" s="1940">
        <v>548.47</v>
      </c>
      <c r="F17" s="1940">
        <f t="shared" si="0"/>
        <v>5536.54</v>
      </c>
      <c r="G17" s="1940">
        <v>37.659999999999997</v>
      </c>
      <c r="H17" s="1940">
        <v>292.37</v>
      </c>
      <c r="I17" s="1940">
        <f t="shared" si="1"/>
        <v>330.03</v>
      </c>
      <c r="J17" s="1940">
        <v>71.010000000000005</v>
      </c>
      <c r="K17" s="1940">
        <v>5.27</v>
      </c>
      <c r="L17" s="1940">
        <v>6.04</v>
      </c>
      <c r="M17" s="1940">
        <f t="shared" si="2"/>
        <v>82.320000000000007</v>
      </c>
      <c r="N17" s="1940">
        <f>14.71+4.29</f>
        <v>19</v>
      </c>
      <c r="O17" s="1940">
        <f t="shared" si="3"/>
        <v>5967.8899999999994</v>
      </c>
      <c r="P17" s="1940">
        <v>1858.8</v>
      </c>
      <c r="Q17" s="1940">
        <v>1113.5899999999999</v>
      </c>
      <c r="R17" s="1940">
        <f t="shared" si="4"/>
        <v>4109.0899999999992</v>
      </c>
      <c r="S17" s="1940">
        <f>R17+S16</f>
        <v>347963.52</v>
      </c>
      <c r="T17" s="1941" t="s">
        <v>554</v>
      </c>
    </row>
    <row r="18" spans="1:91" ht="12" customHeight="1">
      <c r="A18" s="1938" t="s">
        <v>561</v>
      </c>
      <c r="B18" s="1942">
        <v>173.77</v>
      </c>
      <c r="C18" s="1942">
        <v>2539.63</v>
      </c>
      <c r="D18" s="1942">
        <v>2175.54</v>
      </c>
      <c r="E18" s="1942">
        <v>574.24</v>
      </c>
      <c r="F18" s="1942">
        <f t="shared" si="0"/>
        <v>5463.18</v>
      </c>
      <c r="G18" s="1942">
        <v>33.58</v>
      </c>
      <c r="H18" s="1942">
        <v>276.56</v>
      </c>
      <c r="I18" s="1942">
        <f t="shared" si="1"/>
        <v>310.14</v>
      </c>
      <c r="J18" s="1942">
        <v>48.58</v>
      </c>
      <c r="K18" s="1942">
        <v>1.95</v>
      </c>
      <c r="L18" s="1942">
        <v>16.38</v>
      </c>
      <c r="M18" s="1942">
        <f t="shared" si="2"/>
        <v>66.91</v>
      </c>
      <c r="N18" s="1942">
        <f>12.99+5.35</f>
        <v>18.34</v>
      </c>
      <c r="O18" s="1942">
        <f t="shared" si="3"/>
        <v>5858.5700000000006</v>
      </c>
      <c r="P18" s="1942">
        <v>9083.5499999999993</v>
      </c>
      <c r="Q18" s="1942">
        <v>893.34</v>
      </c>
      <c r="R18" s="1942">
        <f t="shared" si="4"/>
        <v>-3224.9799999999987</v>
      </c>
      <c r="S18" s="1942">
        <f>R18+S17</f>
        <v>344738.54000000004</v>
      </c>
      <c r="T18" s="1943" t="s">
        <v>561</v>
      </c>
    </row>
    <row r="19" spans="1:91" ht="12" customHeight="1">
      <c r="A19" s="1939" t="s">
        <v>562</v>
      </c>
      <c r="B19" s="1940">
        <v>151.75</v>
      </c>
      <c r="C19" s="1940">
        <v>2022.62</v>
      </c>
      <c r="D19" s="1940">
        <v>1728.81</v>
      </c>
      <c r="E19" s="1940">
        <v>457.66</v>
      </c>
      <c r="F19" s="1940">
        <f t="shared" si="0"/>
        <v>4360.84</v>
      </c>
      <c r="G19" s="1940">
        <v>28.6</v>
      </c>
      <c r="H19" s="1940">
        <v>222.8</v>
      </c>
      <c r="I19" s="1940">
        <f t="shared" si="1"/>
        <v>251.4</v>
      </c>
      <c r="J19" s="1940">
        <v>65.56</v>
      </c>
      <c r="K19" s="1940">
        <v>1.25</v>
      </c>
      <c r="L19" s="1940">
        <v>12.7</v>
      </c>
      <c r="M19" s="1940">
        <f t="shared" si="2"/>
        <v>79.510000000000005</v>
      </c>
      <c r="N19" s="1940">
        <f>11.22+16.51</f>
        <v>27.730000000000004</v>
      </c>
      <c r="O19" s="1940">
        <f t="shared" si="3"/>
        <v>4719.4799999999996</v>
      </c>
      <c r="P19" s="1940">
        <v>8150.38</v>
      </c>
      <c r="Q19" s="1940">
        <v>898.24</v>
      </c>
      <c r="R19" s="1940">
        <f t="shared" si="4"/>
        <v>-3430.9000000000005</v>
      </c>
      <c r="S19" s="1940">
        <f t="shared" ref="S19:S23" si="5">R19+S18</f>
        <v>341307.64</v>
      </c>
      <c r="T19" s="1941" t="s">
        <v>562</v>
      </c>
    </row>
    <row r="20" spans="1:91" ht="12" customHeight="1">
      <c r="A20" s="1938" t="s">
        <v>555</v>
      </c>
      <c r="B20" s="1942">
        <v>144.32</v>
      </c>
      <c r="C20" s="1942">
        <v>1913.72</v>
      </c>
      <c r="D20" s="1942">
        <v>1595.29</v>
      </c>
      <c r="E20" s="1942">
        <v>518.30999999999995</v>
      </c>
      <c r="F20" s="1942">
        <f t="shared" si="0"/>
        <v>4171.6399999999994</v>
      </c>
      <c r="G20" s="1942">
        <v>28.51</v>
      </c>
      <c r="H20" s="1942">
        <v>222.52</v>
      </c>
      <c r="I20" s="1942">
        <f t="shared" si="1"/>
        <v>251.03</v>
      </c>
      <c r="J20" s="1942">
        <v>76.44</v>
      </c>
      <c r="K20" s="1942">
        <v>5.49</v>
      </c>
      <c r="L20" s="1942">
        <v>20.46</v>
      </c>
      <c r="M20" s="1942">
        <f t="shared" si="2"/>
        <v>102.38999999999999</v>
      </c>
      <c r="N20" s="1942">
        <f>11.39+3.39</f>
        <v>14.780000000000001</v>
      </c>
      <c r="O20" s="1942">
        <f t="shared" si="3"/>
        <v>4539.8399999999992</v>
      </c>
      <c r="P20" s="1942">
        <v>8461.1299999999992</v>
      </c>
      <c r="Q20" s="1942">
        <v>963.19</v>
      </c>
      <c r="R20" s="1942">
        <f t="shared" si="4"/>
        <v>-3921.29</v>
      </c>
      <c r="S20" s="1942">
        <f t="shared" si="5"/>
        <v>337386.35000000003</v>
      </c>
      <c r="T20" s="1943" t="s">
        <v>555</v>
      </c>
    </row>
    <row r="21" spans="1:91" ht="12" customHeight="1">
      <c r="A21" s="1939" t="s">
        <v>563</v>
      </c>
      <c r="B21" s="1940">
        <v>219.31</v>
      </c>
      <c r="C21" s="1940">
        <v>2683.38</v>
      </c>
      <c r="D21" s="1940">
        <v>2202.7399999999998</v>
      </c>
      <c r="E21" s="1940">
        <v>781.5</v>
      </c>
      <c r="F21" s="1940">
        <f t="shared" si="0"/>
        <v>5886.93</v>
      </c>
      <c r="G21" s="1940">
        <v>27.64</v>
      </c>
      <c r="H21" s="1940">
        <v>258.3</v>
      </c>
      <c r="I21" s="1940">
        <f t="shared" si="1"/>
        <v>285.94</v>
      </c>
      <c r="J21" s="1940">
        <v>125.07</v>
      </c>
      <c r="K21" s="1940">
        <v>3.72</v>
      </c>
      <c r="L21" s="1940">
        <v>31.99</v>
      </c>
      <c r="M21" s="1940">
        <f t="shared" si="2"/>
        <v>160.78</v>
      </c>
      <c r="N21" s="1940">
        <f>14.57+5.02</f>
        <v>19.59</v>
      </c>
      <c r="O21" s="1940">
        <f t="shared" si="3"/>
        <v>6353.24</v>
      </c>
      <c r="P21" s="1940">
        <v>11122.13</v>
      </c>
      <c r="Q21" s="1940">
        <v>1066.92</v>
      </c>
      <c r="R21" s="1940">
        <f t="shared" si="4"/>
        <v>-4768.8899999999994</v>
      </c>
      <c r="S21" s="1940">
        <f t="shared" si="5"/>
        <v>332617.46000000002</v>
      </c>
      <c r="T21" s="1941" t="s">
        <v>563</v>
      </c>
    </row>
    <row r="22" spans="1:91" ht="12" customHeight="1">
      <c r="A22" s="1938" t="s">
        <v>564</v>
      </c>
      <c r="B22" s="1942">
        <v>279.70999999999998</v>
      </c>
      <c r="C22" s="1942">
        <v>3274.83</v>
      </c>
      <c r="D22" s="1942">
        <v>2656.02</v>
      </c>
      <c r="E22" s="1942">
        <v>892.66</v>
      </c>
      <c r="F22" s="1942">
        <f t="shared" si="0"/>
        <v>7103.22</v>
      </c>
      <c r="G22" s="1942">
        <v>27.59</v>
      </c>
      <c r="H22" s="1942">
        <v>257.72000000000003</v>
      </c>
      <c r="I22" s="1942">
        <f t="shared" si="1"/>
        <v>285.31</v>
      </c>
      <c r="J22" s="1942">
        <v>109.88</v>
      </c>
      <c r="K22" s="1942">
        <v>9.1</v>
      </c>
      <c r="L22" s="1942">
        <v>21.94</v>
      </c>
      <c r="M22" s="1942">
        <f t="shared" si="2"/>
        <v>140.91999999999999</v>
      </c>
      <c r="N22" s="1942">
        <f>11.5+18.98</f>
        <v>30.48</v>
      </c>
      <c r="O22" s="1942">
        <f t="shared" si="3"/>
        <v>7559.93</v>
      </c>
      <c r="P22" s="1942">
        <v>9318.25</v>
      </c>
      <c r="Q22" s="1942">
        <v>886.42</v>
      </c>
      <c r="R22" s="1942">
        <f t="shared" si="4"/>
        <v>-1758.3199999999997</v>
      </c>
      <c r="S22" s="1942">
        <f t="shared" si="5"/>
        <v>330859.14</v>
      </c>
      <c r="T22" s="1943" t="s">
        <v>564</v>
      </c>
    </row>
    <row r="23" spans="1:91" ht="12" customHeight="1">
      <c r="A23" s="1939" t="s">
        <v>556</v>
      </c>
      <c r="B23" s="1940">
        <v>245.24</v>
      </c>
      <c r="C23" s="1940">
        <v>2787.24</v>
      </c>
      <c r="D23" s="1940">
        <v>2140.36</v>
      </c>
      <c r="E23" s="1940">
        <v>666.83</v>
      </c>
      <c r="F23" s="1940">
        <f t="shared" si="0"/>
        <v>5839.67</v>
      </c>
      <c r="G23" s="1940">
        <v>26.05</v>
      </c>
      <c r="H23" s="1940">
        <v>209.96</v>
      </c>
      <c r="I23" s="1940">
        <f t="shared" si="1"/>
        <v>236.01000000000002</v>
      </c>
      <c r="J23" s="1940">
        <v>89.76</v>
      </c>
      <c r="K23" s="1940">
        <v>3.88</v>
      </c>
      <c r="L23" s="1940">
        <v>17.170000000000002</v>
      </c>
      <c r="M23" s="1940">
        <f t="shared" si="2"/>
        <v>110.81</v>
      </c>
      <c r="N23" s="1940">
        <f>10.49+1.62</f>
        <v>12.11</v>
      </c>
      <c r="O23" s="1940">
        <f t="shared" si="3"/>
        <v>6198.6</v>
      </c>
      <c r="P23" s="1940">
        <v>6118.05</v>
      </c>
      <c r="Q23" s="1940">
        <v>3398.15</v>
      </c>
      <c r="R23" s="1940">
        <f t="shared" si="4"/>
        <v>80.550000000000182</v>
      </c>
      <c r="S23" s="1940">
        <f t="shared" si="5"/>
        <v>330939.69</v>
      </c>
      <c r="T23" s="1941" t="s">
        <v>556</v>
      </c>
    </row>
    <row r="24" spans="1:91" ht="12" customHeight="1">
      <c r="A24" s="1938" t="s">
        <v>565</v>
      </c>
      <c r="B24" s="1942">
        <v>209.7</v>
      </c>
      <c r="C24" s="1942">
        <v>2322.9299999999998</v>
      </c>
      <c r="D24" s="1942">
        <v>2286.4299999999998</v>
      </c>
      <c r="E24" s="1942">
        <v>556.36</v>
      </c>
      <c r="F24" s="1942">
        <f t="shared" si="0"/>
        <v>5375.4199999999992</v>
      </c>
      <c r="G24" s="1942">
        <v>26.7</v>
      </c>
      <c r="H24" s="1942">
        <v>240.37</v>
      </c>
      <c r="I24" s="1942">
        <f t="shared" si="1"/>
        <v>267.07</v>
      </c>
      <c r="J24" s="1942">
        <v>89.3</v>
      </c>
      <c r="K24" s="1942">
        <v>3.85</v>
      </c>
      <c r="L24" s="1942">
        <v>19.87</v>
      </c>
      <c r="M24" s="1942">
        <f t="shared" si="2"/>
        <v>113.02</v>
      </c>
      <c r="N24" s="1942">
        <f>11.44+3.35</f>
        <v>14.79</v>
      </c>
      <c r="O24" s="1942">
        <f t="shared" si="3"/>
        <v>5770.2999999999993</v>
      </c>
      <c r="P24" s="1942">
        <v>4510.55</v>
      </c>
      <c r="Q24" s="1942">
        <v>4429.88</v>
      </c>
      <c r="R24" s="1942">
        <f t="shared" si="4"/>
        <v>1259.7499999999991</v>
      </c>
      <c r="S24" s="1942">
        <f>R24+S23</f>
        <v>332199.44</v>
      </c>
      <c r="T24" s="1943" t="s">
        <v>565</v>
      </c>
    </row>
    <row r="25" spans="1:91" ht="12" customHeight="1">
      <c r="A25" s="1939" t="s">
        <v>566</v>
      </c>
      <c r="B25" s="1940">
        <v>245.72</v>
      </c>
      <c r="C25" s="1940">
        <v>2348.5500000000002</v>
      </c>
      <c r="D25" s="1940">
        <v>2150</v>
      </c>
      <c r="E25" s="1940">
        <v>563.27</v>
      </c>
      <c r="F25" s="1940">
        <f t="shared" si="0"/>
        <v>5307.54</v>
      </c>
      <c r="G25" s="1940">
        <v>25.07</v>
      </c>
      <c r="H25" s="1940">
        <v>205</v>
      </c>
      <c r="I25" s="1940">
        <f t="shared" si="1"/>
        <v>230.07</v>
      </c>
      <c r="J25" s="1940">
        <v>86.54</v>
      </c>
      <c r="K25" s="1940">
        <v>10.199999999999999</v>
      </c>
      <c r="L25" s="1940">
        <v>23.76</v>
      </c>
      <c r="M25" s="1940">
        <f t="shared" si="2"/>
        <v>120.50000000000001</v>
      </c>
      <c r="N25" s="1940">
        <f>12.93+19.22</f>
        <v>32.15</v>
      </c>
      <c r="O25" s="1940">
        <f t="shared" si="3"/>
        <v>5690.2599999999993</v>
      </c>
      <c r="P25" s="1940">
        <v>4152.91</v>
      </c>
      <c r="Q25" s="1940">
        <v>3223.45</v>
      </c>
      <c r="R25" s="1940">
        <f>O25-P25</f>
        <v>1537.3499999999995</v>
      </c>
      <c r="S25" s="1940">
        <f>R25+S24</f>
        <v>333736.78999999998</v>
      </c>
      <c r="T25" s="1941" t="s">
        <v>566</v>
      </c>
    </row>
    <row r="26" spans="1:91" ht="12" customHeight="1">
      <c r="A26" s="1938" t="s">
        <v>557</v>
      </c>
      <c r="B26" s="1942">
        <v>583.67999999999995</v>
      </c>
      <c r="C26" s="1942">
        <v>2584.6</v>
      </c>
      <c r="D26" s="1942">
        <v>2640.01</v>
      </c>
      <c r="E26" s="1942">
        <v>619.97</v>
      </c>
      <c r="F26" s="1942">
        <f t="shared" si="0"/>
        <v>6428.26</v>
      </c>
      <c r="G26" s="1942">
        <v>24.63</v>
      </c>
      <c r="H26" s="1942">
        <v>199</v>
      </c>
      <c r="I26" s="1942">
        <f t="shared" si="1"/>
        <v>223.63</v>
      </c>
      <c r="J26" s="1942">
        <v>62.87</v>
      </c>
      <c r="K26" s="1942">
        <v>6.17</v>
      </c>
      <c r="L26" s="1942">
        <v>24.25</v>
      </c>
      <c r="M26" s="1942">
        <f t="shared" si="2"/>
        <v>93.289999999999992</v>
      </c>
      <c r="N26" s="1942">
        <f>10.7+1.15</f>
        <v>11.85</v>
      </c>
      <c r="O26" s="1942">
        <f t="shared" si="3"/>
        <v>6757.0300000000007</v>
      </c>
      <c r="P26" s="1942">
        <v>6926.44</v>
      </c>
      <c r="Q26" s="1942">
        <v>3100.625</v>
      </c>
      <c r="R26" s="1942">
        <f>O26-P26</f>
        <v>-169.40999999999894</v>
      </c>
      <c r="S26" s="1942">
        <f>R26+S25</f>
        <v>333567.38</v>
      </c>
      <c r="T26" s="1943" t="s">
        <v>557</v>
      </c>
    </row>
    <row r="27" spans="1:91" s="173" customFormat="1" ht="12" customHeight="1">
      <c r="A27" s="858" t="s">
        <v>2664</v>
      </c>
      <c r="B27" s="1268">
        <f>SUM(B28:B39)</f>
        <v>4007.6299999999992</v>
      </c>
      <c r="C27" s="1268">
        <f t="shared" ref="C27:N27" si="6">SUM(C28:C39)</f>
        <v>45876.61</v>
      </c>
      <c r="D27" s="1268">
        <f t="shared" si="6"/>
        <v>28251.809999999998</v>
      </c>
      <c r="E27" s="1268">
        <f t="shared" si="6"/>
        <v>9603.5499999999975</v>
      </c>
      <c r="F27" s="1268">
        <f t="shared" si="6"/>
        <v>87739.6</v>
      </c>
      <c r="G27" s="1268">
        <f t="shared" si="6"/>
        <v>358.01</v>
      </c>
      <c r="H27" s="1268">
        <f t="shared" si="6"/>
        <v>3123.4100000000003</v>
      </c>
      <c r="I27" s="1268">
        <f t="shared" si="6"/>
        <v>3481.4199999999996</v>
      </c>
      <c r="J27" s="1268">
        <f t="shared" si="6"/>
        <v>896.04</v>
      </c>
      <c r="K27" s="1268">
        <f t="shared" si="6"/>
        <v>52.279999999999994</v>
      </c>
      <c r="L27" s="1268">
        <f t="shared" si="6"/>
        <v>132.39000000000001</v>
      </c>
      <c r="M27" s="1268">
        <f t="shared" si="6"/>
        <v>1080.71</v>
      </c>
      <c r="N27" s="1268">
        <f t="shared" si="6"/>
        <v>211.79000000000002</v>
      </c>
      <c r="O27" s="1268">
        <f>SUM(O28:O39)</f>
        <v>92513.520000000019</v>
      </c>
      <c r="P27" s="1268">
        <f t="shared" ref="P27" si="7">SUM(P28:P39)</f>
        <v>92078.046000000017</v>
      </c>
      <c r="Q27" s="1268">
        <f>SUM(Q28:Q39)</f>
        <v>43024.200499999999</v>
      </c>
      <c r="R27" s="1268">
        <f t="shared" ref="R27" si="8">SUM(R28:R39)</f>
        <v>435.47399999999925</v>
      </c>
      <c r="S27" s="1268">
        <f>S39</f>
        <v>334002.85399999999</v>
      </c>
      <c r="T27" s="859" t="s">
        <v>2664</v>
      </c>
    </row>
    <row r="28" spans="1:91" ht="12" customHeight="1">
      <c r="A28" s="854" t="s">
        <v>559</v>
      </c>
      <c r="B28" s="851">
        <v>262.08</v>
      </c>
      <c r="C28" s="851">
        <v>3715.3</v>
      </c>
      <c r="D28" s="851">
        <v>2589.5300000000002</v>
      </c>
      <c r="E28" s="851">
        <v>851.05</v>
      </c>
      <c r="F28" s="851">
        <f t="shared" si="0"/>
        <v>7417.96</v>
      </c>
      <c r="G28" s="851">
        <v>39.880000000000003</v>
      </c>
      <c r="H28" s="851">
        <v>319.82</v>
      </c>
      <c r="I28" s="851">
        <f t="shared" si="1"/>
        <v>359.7</v>
      </c>
      <c r="J28" s="851">
        <v>77.239999999999995</v>
      </c>
      <c r="K28" s="851">
        <v>17.809999999999999</v>
      </c>
      <c r="L28" s="851">
        <v>25.88</v>
      </c>
      <c r="M28" s="851">
        <f t="shared" si="2"/>
        <v>120.92999999999999</v>
      </c>
      <c r="N28" s="851">
        <f>12.7+4.21</f>
        <v>16.91</v>
      </c>
      <c r="O28" s="851">
        <f t="shared" si="3"/>
        <v>7915.5</v>
      </c>
      <c r="P28" s="851">
        <v>6622.02</v>
      </c>
      <c r="Q28" s="851">
        <v>3730.26</v>
      </c>
      <c r="R28" s="1644">
        <f>O28-P28</f>
        <v>1293.4799999999996</v>
      </c>
      <c r="S28" s="1644">
        <f>R28+S26</f>
        <v>334860.86</v>
      </c>
      <c r="T28" s="857" t="s">
        <v>559</v>
      </c>
    </row>
    <row r="29" spans="1:91" s="183" customFormat="1" ht="12" customHeight="1">
      <c r="A29" s="853" t="s">
        <v>560</v>
      </c>
      <c r="B29" s="850">
        <v>251.63</v>
      </c>
      <c r="C29" s="850">
        <v>3847.54</v>
      </c>
      <c r="D29" s="850">
        <v>2508.44</v>
      </c>
      <c r="E29" s="850">
        <v>815.51</v>
      </c>
      <c r="F29" s="850">
        <f t="shared" si="0"/>
        <v>7423.12</v>
      </c>
      <c r="G29" s="850">
        <v>32.770000000000003</v>
      </c>
      <c r="H29" s="850">
        <v>280.18</v>
      </c>
      <c r="I29" s="850">
        <f t="shared" si="1"/>
        <v>312.95</v>
      </c>
      <c r="J29" s="850">
        <v>88.15</v>
      </c>
      <c r="K29" s="850">
        <v>0.97</v>
      </c>
      <c r="L29" s="850">
        <v>5.17</v>
      </c>
      <c r="M29" s="850">
        <f t="shared" si="2"/>
        <v>94.29</v>
      </c>
      <c r="N29" s="850">
        <f>10.7+19.52</f>
        <v>30.22</v>
      </c>
      <c r="O29" s="850">
        <f t="shared" si="3"/>
        <v>7860.58</v>
      </c>
      <c r="P29" s="850">
        <v>7581.77</v>
      </c>
      <c r="Q29" s="850">
        <v>4398.9799999999996</v>
      </c>
      <c r="R29" s="1645">
        <f>O29-P29</f>
        <v>278.80999999999949</v>
      </c>
      <c r="S29" s="1645">
        <f t="shared" ref="S29:S39" si="9">R29+S28</f>
        <v>335139.67</v>
      </c>
      <c r="T29" s="856" t="s">
        <v>560</v>
      </c>
    </row>
    <row r="30" spans="1:91" s="183" customFormat="1" ht="12" customHeight="1">
      <c r="A30" s="854" t="s">
        <v>554</v>
      </c>
      <c r="B30" s="851">
        <v>285.2</v>
      </c>
      <c r="C30" s="851">
        <v>4379.58</v>
      </c>
      <c r="D30" s="851">
        <v>2625.77</v>
      </c>
      <c r="E30" s="851">
        <v>911.14</v>
      </c>
      <c r="F30" s="851">
        <f t="shared" si="0"/>
        <v>8201.69</v>
      </c>
      <c r="G30" s="851">
        <v>32.86</v>
      </c>
      <c r="H30" s="851">
        <v>291.52</v>
      </c>
      <c r="I30" s="851">
        <f t="shared" si="1"/>
        <v>324.38</v>
      </c>
      <c r="J30" s="851">
        <v>80.7</v>
      </c>
      <c r="K30" s="851">
        <v>3.99</v>
      </c>
      <c r="L30" s="851">
        <v>7.07</v>
      </c>
      <c r="M30" s="851">
        <f t="shared" si="2"/>
        <v>91.759999999999991</v>
      </c>
      <c r="N30" s="851">
        <f>11.04+4.16</f>
        <v>15.2</v>
      </c>
      <c r="O30" s="851">
        <f t="shared" si="3"/>
        <v>8633.0300000000007</v>
      </c>
      <c r="P30" s="851">
        <v>8259.73</v>
      </c>
      <c r="Q30" s="851">
        <v>3816.56</v>
      </c>
      <c r="R30" s="1644">
        <f>O30-P30</f>
        <v>373.30000000000109</v>
      </c>
      <c r="S30" s="1644">
        <f t="shared" si="9"/>
        <v>335512.96999999997</v>
      </c>
      <c r="T30" s="857" t="s">
        <v>554</v>
      </c>
    </row>
    <row r="31" spans="1:91" s="1425" customFormat="1" ht="12" customHeight="1">
      <c r="A31" s="853" t="s">
        <v>561</v>
      </c>
      <c r="B31" s="850">
        <v>304.02</v>
      </c>
      <c r="C31" s="850">
        <v>4236.32</v>
      </c>
      <c r="D31" s="850">
        <v>2461.33</v>
      </c>
      <c r="E31" s="850">
        <v>782.91</v>
      </c>
      <c r="F31" s="850">
        <f t="shared" si="0"/>
        <v>7784.58</v>
      </c>
      <c r="G31" s="850">
        <v>29.84</v>
      </c>
      <c r="H31" s="850">
        <v>265.5</v>
      </c>
      <c r="I31" s="850">
        <f t="shared" si="1"/>
        <v>295.33999999999997</v>
      </c>
      <c r="J31" s="850">
        <v>74.47</v>
      </c>
      <c r="K31" s="850">
        <v>4.95</v>
      </c>
      <c r="L31" s="850">
        <v>4.04</v>
      </c>
      <c r="M31" s="850">
        <f t="shared" si="2"/>
        <v>83.460000000000008</v>
      </c>
      <c r="N31" s="850">
        <f>10.83+4.57</f>
        <v>15.4</v>
      </c>
      <c r="O31" s="850">
        <f t="shared" si="3"/>
        <v>8178.78</v>
      </c>
      <c r="P31" s="850">
        <v>7754.7</v>
      </c>
      <c r="Q31" s="850">
        <v>3843.02</v>
      </c>
      <c r="R31" s="1645">
        <f>O31-P31</f>
        <v>424.07999999999993</v>
      </c>
      <c r="S31" s="1645">
        <f t="shared" si="9"/>
        <v>335937.05</v>
      </c>
      <c r="T31" s="856" t="s">
        <v>561</v>
      </c>
    </row>
    <row r="32" spans="1:91" ht="12" customHeight="1">
      <c r="A32" s="854" t="s">
        <v>562</v>
      </c>
      <c r="B32" s="851">
        <v>256.52999999999997</v>
      </c>
      <c r="C32" s="851">
        <v>4113.47</v>
      </c>
      <c r="D32" s="851">
        <v>2428.63</v>
      </c>
      <c r="E32" s="851">
        <v>794.02</v>
      </c>
      <c r="F32" s="851">
        <f t="shared" si="0"/>
        <v>7592.6500000000005</v>
      </c>
      <c r="G32" s="851">
        <v>28.76</v>
      </c>
      <c r="H32" s="851">
        <v>244.42</v>
      </c>
      <c r="I32" s="851">
        <f t="shared" si="1"/>
        <v>273.18</v>
      </c>
      <c r="J32" s="851">
        <v>57.25</v>
      </c>
      <c r="K32" s="851">
        <v>3.95</v>
      </c>
      <c r="L32" s="851">
        <v>13.09</v>
      </c>
      <c r="M32" s="851">
        <f t="shared" si="2"/>
        <v>74.290000000000006</v>
      </c>
      <c r="N32" s="851">
        <f>10.25+17.19</f>
        <v>27.44</v>
      </c>
      <c r="O32" s="851">
        <f t="shared" si="3"/>
        <v>7967.56</v>
      </c>
      <c r="P32" s="851">
        <v>8262.0400000000009</v>
      </c>
      <c r="Q32" s="851">
        <v>4278.18</v>
      </c>
      <c r="R32" s="1644">
        <f>O32-P32</f>
        <v>-294.48000000000047</v>
      </c>
      <c r="S32" s="1644">
        <f t="shared" si="9"/>
        <v>335642.57</v>
      </c>
      <c r="T32" s="857" t="s">
        <v>562</v>
      </c>
      <c r="U32" s="183"/>
      <c r="V32" s="183"/>
      <c r="W32" s="183"/>
      <c r="X32" s="183"/>
      <c r="Y32" s="183"/>
      <c r="Z32" s="183"/>
      <c r="AA32" s="183"/>
      <c r="AB32" s="183"/>
      <c r="AC32" s="183"/>
      <c r="AD32" s="183"/>
      <c r="AE32" s="183"/>
      <c r="AF32" s="183"/>
      <c r="AG32" s="183"/>
      <c r="AH32" s="183"/>
      <c r="AI32" s="183"/>
      <c r="AJ32" s="183"/>
      <c r="AK32" s="183"/>
      <c r="AL32" s="183"/>
      <c r="AM32" s="183"/>
      <c r="AN32" s="183"/>
      <c r="AO32" s="183"/>
      <c r="AP32" s="183"/>
      <c r="AQ32" s="183"/>
      <c r="AR32" s="183"/>
      <c r="AS32" s="183"/>
      <c r="AT32" s="183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3"/>
      <c r="BJ32" s="183"/>
      <c r="BK32" s="183"/>
      <c r="BL32" s="183"/>
      <c r="BM32" s="183"/>
      <c r="BN32" s="183"/>
      <c r="BO32" s="183"/>
      <c r="BP32" s="183"/>
      <c r="BQ32" s="183"/>
      <c r="BR32" s="183"/>
      <c r="BS32" s="183"/>
      <c r="BT32" s="183"/>
      <c r="BU32" s="183"/>
      <c r="BV32" s="183"/>
      <c r="BW32" s="183"/>
      <c r="BX32" s="183"/>
      <c r="BY32" s="183"/>
      <c r="BZ32" s="183"/>
      <c r="CA32" s="183"/>
      <c r="CB32" s="183"/>
      <c r="CC32" s="183"/>
      <c r="CD32" s="183"/>
      <c r="CE32" s="183"/>
      <c r="CF32" s="183"/>
      <c r="CG32" s="183"/>
      <c r="CH32" s="183"/>
      <c r="CI32" s="183"/>
      <c r="CJ32" s="183"/>
      <c r="CK32" s="183"/>
      <c r="CL32" s="183"/>
      <c r="CM32" s="183"/>
    </row>
    <row r="33" spans="1:21" ht="12" customHeight="1">
      <c r="A33" s="853" t="s">
        <v>555</v>
      </c>
      <c r="B33" s="850">
        <v>378.83</v>
      </c>
      <c r="C33" s="850">
        <v>3620.65</v>
      </c>
      <c r="D33" s="850">
        <v>2142.62</v>
      </c>
      <c r="E33" s="850">
        <v>653.92999999999995</v>
      </c>
      <c r="F33" s="850">
        <f>E33+D33+C33+B33</f>
        <v>6796.03</v>
      </c>
      <c r="G33" s="850">
        <v>27.18</v>
      </c>
      <c r="H33" s="850">
        <v>244.06</v>
      </c>
      <c r="I33" s="850">
        <f t="shared" si="1"/>
        <v>271.24</v>
      </c>
      <c r="J33" s="850">
        <v>75.510000000000005</v>
      </c>
      <c r="K33" s="850">
        <v>4.75</v>
      </c>
      <c r="L33" s="850">
        <v>31.28</v>
      </c>
      <c r="M33" s="850">
        <f>J33+K33+L33</f>
        <v>111.54</v>
      </c>
      <c r="N33" s="850">
        <f>10.37+0.97</f>
        <v>11.34</v>
      </c>
      <c r="O33" s="850">
        <f>F33+I33+N33+M33</f>
        <v>7190.15</v>
      </c>
      <c r="P33" s="850">
        <v>6805.39</v>
      </c>
      <c r="Q33" s="850">
        <v>2803.18</v>
      </c>
      <c r="R33" s="1645">
        <f t="shared" ref="R33:R39" si="10">O33-P33</f>
        <v>384.75999999999931</v>
      </c>
      <c r="S33" s="1645">
        <f t="shared" si="9"/>
        <v>336027.33</v>
      </c>
      <c r="T33" s="856" t="s">
        <v>555</v>
      </c>
    </row>
    <row r="34" spans="1:21" ht="12" customHeight="1">
      <c r="A34" s="854" t="s">
        <v>563</v>
      </c>
      <c r="B34" s="851">
        <v>348.43</v>
      </c>
      <c r="C34" s="851">
        <v>3385.88</v>
      </c>
      <c r="D34" s="851">
        <v>2168.1799999999998</v>
      </c>
      <c r="E34" s="851">
        <v>866.99</v>
      </c>
      <c r="F34" s="851">
        <f>E34+D34+C34+B34</f>
        <v>6769.4800000000005</v>
      </c>
      <c r="G34" s="851">
        <v>30.43</v>
      </c>
      <c r="H34" s="851">
        <v>267.7</v>
      </c>
      <c r="I34" s="851">
        <f t="shared" si="1"/>
        <v>298.13</v>
      </c>
      <c r="J34" s="851">
        <v>79.09</v>
      </c>
      <c r="K34" s="851">
        <v>0</v>
      </c>
      <c r="L34" s="851">
        <v>0</v>
      </c>
      <c r="M34" s="851">
        <f t="shared" ref="M34:M39" si="11">J34+K34+L34</f>
        <v>79.09</v>
      </c>
      <c r="N34" s="851">
        <v>14.459999999999999</v>
      </c>
      <c r="O34" s="851">
        <v>7161.1600000000008</v>
      </c>
      <c r="P34" s="851">
        <v>9012.19</v>
      </c>
      <c r="Q34" s="851">
        <v>4159.9799999999996</v>
      </c>
      <c r="R34" s="1644">
        <f t="shared" si="10"/>
        <v>-1851.0299999999997</v>
      </c>
      <c r="S34" s="1644">
        <f t="shared" si="9"/>
        <v>334176.3</v>
      </c>
      <c r="T34" s="857" t="s">
        <v>563</v>
      </c>
      <c r="U34" s="547"/>
    </row>
    <row r="35" spans="1:21" ht="12" customHeight="1">
      <c r="A35" s="853" t="s">
        <v>564</v>
      </c>
      <c r="B35" s="850">
        <v>244.64</v>
      </c>
      <c r="C35" s="850">
        <v>3268.63</v>
      </c>
      <c r="D35" s="850">
        <v>1886.07</v>
      </c>
      <c r="E35" s="850">
        <v>704.48</v>
      </c>
      <c r="F35" s="850">
        <f>E35+D35+C35+B35</f>
        <v>6103.8200000000006</v>
      </c>
      <c r="G35" s="850">
        <v>21.75</v>
      </c>
      <c r="H35" s="850">
        <v>192.62</v>
      </c>
      <c r="I35" s="850">
        <f t="shared" si="1"/>
        <v>214.37</v>
      </c>
      <c r="J35" s="850">
        <v>71.55</v>
      </c>
      <c r="K35" s="850">
        <v>0</v>
      </c>
      <c r="L35" s="850">
        <v>0</v>
      </c>
      <c r="M35" s="850">
        <f t="shared" si="11"/>
        <v>71.55</v>
      </c>
      <c r="N35" s="850">
        <v>16.84</v>
      </c>
      <c r="O35" s="850">
        <f>F35+I35+N35+M35</f>
        <v>6406.5800000000008</v>
      </c>
      <c r="P35" s="850">
        <v>7571.34</v>
      </c>
      <c r="Q35" s="850">
        <v>3725.65</v>
      </c>
      <c r="R35" s="1645">
        <f t="shared" si="10"/>
        <v>-1164.7599999999993</v>
      </c>
      <c r="S35" s="1645">
        <f t="shared" si="9"/>
        <v>333011.53999999998</v>
      </c>
      <c r="T35" s="856" t="s">
        <v>564</v>
      </c>
      <c r="U35" s="547"/>
    </row>
    <row r="36" spans="1:21" ht="12" customHeight="1">
      <c r="A36" s="854" t="s">
        <v>556</v>
      </c>
      <c r="B36" s="851">
        <v>231.39</v>
      </c>
      <c r="C36" s="851">
        <v>3334.09</v>
      </c>
      <c r="D36" s="851">
        <v>1804.4</v>
      </c>
      <c r="E36" s="851">
        <v>800.4</v>
      </c>
      <c r="F36" s="851">
        <v>6170.2800000000007</v>
      </c>
      <c r="G36" s="851">
        <v>27.87</v>
      </c>
      <c r="H36" s="851">
        <v>243.65</v>
      </c>
      <c r="I36" s="851">
        <f t="shared" si="1"/>
        <v>271.52</v>
      </c>
      <c r="J36" s="851">
        <v>75.319999999999993</v>
      </c>
      <c r="K36" s="851">
        <v>0</v>
      </c>
      <c r="L36" s="851">
        <v>0</v>
      </c>
      <c r="M36" s="851">
        <f t="shared" si="11"/>
        <v>75.319999999999993</v>
      </c>
      <c r="N36" s="851">
        <v>16.79</v>
      </c>
      <c r="O36" s="851">
        <v>6533.9100000000008</v>
      </c>
      <c r="P36" s="851">
        <v>8668.99</v>
      </c>
      <c r="Q36" s="851">
        <v>4269.26</v>
      </c>
      <c r="R36" s="1644">
        <f t="shared" si="10"/>
        <v>-2135.079999999999</v>
      </c>
      <c r="S36" s="1644">
        <f t="shared" si="9"/>
        <v>330876.45999999996</v>
      </c>
      <c r="T36" s="857" t="s">
        <v>556</v>
      </c>
    </row>
    <row r="37" spans="1:21" ht="12" customHeight="1">
      <c r="A37" s="853" t="s">
        <v>565</v>
      </c>
      <c r="B37" s="850">
        <v>353.79</v>
      </c>
      <c r="C37" s="850">
        <v>4035.6400000000003</v>
      </c>
      <c r="D37" s="850">
        <v>2322.5499999999997</v>
      </c>
      <c r="E37" s="850">
        <v>847.30999999999983</v>
      </c>
      <c r="F37" s="850">
        <f>E37+D37+C37+B37</f>
        <v>7559.29</v>
      </c>
      <c r="G37" s="850">
        <v>30.26</v>
      </c>
      <c r="H37" s="850">
        <v>294.26</v>
      </c>
      <c r="I37" s="850">
        <f t="shared" si="1"/>
        <v>324.52</v>
      </c>
      <c r="J37" s="850">
        <v>75.319999999999993</v>
      </c>
      <c r="K37" s="850">
        <v>0</v>
      </c>
      <c r="L37" s="850">
        <v>0</v>
      </c>
      <c r="M37" s="850">
        <f t="shared" si="11"/>
        <v>75.319999999999993</v>
      </c>
      <c r="N37" s="850">
        <v>13.97</v>
      </c>
      <c r="O37" s="850">
        <f>F37+I37+N37+M37</f>
        <v>7973.0999999999995</v>
      </c>
      <c r="P37" s="850">
        <v>5712.5460000000003</v>
      </c>
      <c r="Q37" s="850">
        <v>376.2405</v>
      </c>
      <c r="R37" s="1645">
        <f t="shared" si="10"/>
        <v>2260.5539999999992</v>
      </c>
      <c r="S37" s="1645">
        <f t="shared" si="9"/>
        <v>333137.01399999997</v>
      </c>
      <c r="T37" s="856" t="s">
        <v>565</v>
      </c>
      <c r="U37" s="1643"/>
    </row>
    <row r="38" spans="1:21" ht="12" customHeight="1">
      <c r="A38" s="854" t="s">
        <v>566</v>
      </c>
      <c r="B38" s="851">
        <v>276.66000000000003</v>
      </c>
      <c r="C38" s="851">
        <v>3263.78</v>
      </c>
      <c r="D38" s="851">
        <v>1903.28</v>
      </c>
      <c r="E38" s="851">
        <v>692.74</v>
      </c>
      <c r="F38" s="851">
        <f>E38+D38+C38+B38</f>
        <v>6136.46</v>
      </c>
      <c r="G38" s="851">
        <v>22.04</v>
      </c>
      <c r="H38" s="851">
        <v>186.41</v>
      </c>
      <c r="I38" s="851">
        <f t="shared" si="1"/>
        <v>208.45</v>
      </c>
      <c r="J38" s="851">
        <v>70.72</v>
      </c>
      <c r="K38" s="851">
        <v>7.93</v>
      </c>
      <c r="L38" s="851">
        <v>22.93</v>
      </c>
      <c r="M38" s="851">
        <f t="shared" si="11"/>
        <v>101.58000000000001</v>
      </c>
      <c r="N38" s="851">
        <f>10.06+8.05</f>
        <v>18.11</v>
      </c>
      <c r="O38" s="851">
        <f t="shared" ref="O38" si="12">F38+I38+N38+M38</f>
        <v>6464.5999999999995</v>
      </c>
      <c r="P38" s="851">
        <v>5230.0200000000004</v>
      </c>
      <c r="Q38" s="851">
        <v>2848.43</v>
      </c>
      <c r="R38" s="1644">
        <f t="shared" si="10"/>
        <v>1234.579999999999</v>
      </c>
      <c r="S38" s="1644">
        <f t="shared" si="9"/>
        <v>334371.59399999998</v>
      </c>
      <c r="T38" s="857" t="s">
        <v>566</v>
      </c>
      <c r="U38" s="1643"/>
    </row>
    <row r="39" spans="1:21" ht="12" customHeight="1">
      <c r="A39" s="853" t="s">
        <v>557</v>
      </c>
      <c r="B39" s="850">
        <v>814.43</v>
      </c>
      <c r="C39" s="850">
        <v>4675.7299999999996</v>
      </c>
      <c r="D39" s="850">
        <v>3411.01</v>
      </c>
      <c r="E39" s="850">
        <v>883.07</v>
      </c>
      <c r="F39" s="850">
        <f>E39+D39+C39+B39</f>
        <v>9784.24</v>
      </c>
      <c r="G39" s="850">
        <v>34.369999999999997</v>
      </c>
      <c r="H39" s="850">
        <v>293.27</v>
      </c>
      <c r="I39" s="850">
        <f t="shared" si="1"/>
        <v>327.64</v>
      </c>
      <c r="J39" s="850">
        <v>70.72</v>
      </c>
      <c r="K39" s="850">
        <v>7.93</v>
      </c>
      <c r="L39" s="850">
        <v>22.93</v>
      </c>
      <c r="M39" s="850">
        <f t="shared" si="11"/>
        <v>101.58000000000001</v>
      </c>
      <c r="N39" s="850">
        <f>13.58+1.53</f>
        <v>15.11</v>
      </c>
      <c r="O39" s="850">
        <f>F39+I39+N39+M39</f>
        <v>10228.57</v>
      </c>
      <c r="P39" s="850">
        <v>10597.31</v>
      </c>
      <c r="Q39" s="850">
        <v>4774.46</v>
      </c>
      <c r="R39" s="1645">
        <f t="shared" si="10"/>
        <v>-368.73999999999978</v>
      </c>
      <c r="S39" s="1645">
        <f t="shared" si="9"/>
        <v>334002.85399999999</v>
      </c>
      <c r="T39" s="856" t="s">
        <v>557</v>
      </c>
      <c r="U39" s="1643"/>
    </row>
    <row r="40" spans="1:21" ht="12" customHeight="1">
      <c r="A40" s="852" t="s">
        <v>3071</v>
      </c>
      <c r="B40" s="1269"/>
      <c r="C40" s="1269"/>
      <c r="D40" s="1269"/>
      <c r="E40" s="1269"/>
      <c r="F40" s="1269"/>
      <c r="G40" s="1269"/>
      <c r="H40" s="1269"/>
      <c r="I40" s="1269"/>
      <c r="J40" s="1269"/>
      <c r="K40" s="1269"/>
      <c r="L40" s="1269"/>
      <c r="M40" s="1269"/>
      <c r="N40" s="1269"/>
      <c r="O40" s="1269"/>
      <c r="P40" s="1269"/>
      <c r="Q40" s="1269"/>
      <c r="R40" s="1269"/>
      <c r="S40" s="1269"/>
      <c r="T40" s="855" t="s">
        <v>3071</v>
      </c>
    </row>
    <row r="41" spans="1:21" ht="12" customHeight="1" thickBot="1">
      <c r="A41" s="1703" t="s">
        <v>559</v>
      </c>
      <c r="B41" s="1704">
        <v>315.63</v>
      </c>
      <c r="C41" s="1704">
        <v>4311.78</v>
      </c>
      <c r="D41" s="1704">
        <v>2882.79</v>
      </c>
      <c r="E41" s="1704">
        <v>764.11</v>
      </c>
      <c r="F41" s="1704">
        <f>E41+D41+C41+B41</f>
        <v>8274.31</v>
      </c>
      <c r="G41" s="1704">
        <v>43.16</v>
      </c>
      <c r="H41" s="1704">
        <v>357.73</v>
      </c>
      <c r="I41" s="1704">
        <f t="shared" ref="I41" si="13">G41+H41</f>
        <v>400.89</v>
      </c>
      <c r="J41" s="1704">
        <v>106.25</v>
      </c>
      <c r="K41" s="1704">
        <v>4.95</v>
      </c>
      <c r="L41" s="1704">
        <v>22.79</v>
      </c>
      <c r="M41" s="1704">
        <f t="shared" ref="M41" si="14">J41+K41+L41</f>
        <v>133.99</v>
      </c>
      <c r="N41" s="1704">
        <f>12.26+1.49</f>
        <v>13.75</v>
      </c>
      <c r="O41" s="1704">
        <f>F41+I41+N41+M41</f>
        <v>8822.9399999999987</v>
      </c>
      <c r="P41" s="1704">
        <v>6763.47</v>
      </c>
      <c r="Q41" s="1704">
        <v>3606.96</v>
      </c>
      <c r="R41" s="1705">
        <f t="shared" ref="R41" si="15">O41-P41</f>
        <v>2059.4699999999984</v>
      </c>
      <c r="S41" s="1705">
        <f>R41+S39</f>
        <v>336062.32399999996</v>
      </c>
      <c r="T41" s="1706" t="s">
        <v>559</v>
      </c>
    </row>
    <row r="42" spans="1:21" ht="12" customHeight="1">
      <c r="A42" s="1424" t="s">
        <v>1867</v>
      </c>
      <c r="B42" s="1250"/>
      <c r="C42" s="1250"/>
      <c r="D42" s="1250"/>
      <c r="E42" s="1250"/>
      <c r="F42" s="1250"/>
      <c r="G42" s="1250"/>
      <c r="H42" s="1250"/>
      <c r="I42" s="1250"/>
      <c r="J42" s="1250"/>
      <c r="K42" s="1250"/>
      <c r="L42" s="1250"/>
      <c r="M42" s="1250"/>
      <c r="N42" s="1250"/>
      <c r="O42" s="1250"/>
      <c r="P42" s="1250"/>
      <c r="Q42" s="1250"/>
      <c r="R42" s="1250"/>
      <c r="S42" s="1250"/>
      <c r="T42" s="1425"/>
    </row>
    <row r="43" spans="1:21" ht="12" customHeight="1">
      <c r="A43" s="868" t="s">
        <v>1333</v>
      </c>
      <c r="B43" s="625" t="s">
        <v>1905</v>
      </c>
      <c r="C43" s="622"/>
      <c r="D43" s="622"/>
      <c r="E43" s="622"/>
      <c r="F43" s="628"/>
      <c r="G43" s="622"/>
      <c r="H43" s="628" t="s">
        <v>1296</v>
      </c>
      <c r="I43" s="622"/>
      <c r="J43" s="622"/>
      <c r="K43" s="622"/>
      <c r="N43" s="622"/>
      <c r="O43" s="622"/>
      <c r="P43" s="622"/>
      <c r="Q43" s="992"/>
      <c r="R43" s="622"/>
      <c r="S43" s="485"/>
      <c r="T43" s="547"/>
    </row>
    <row r="44" spans="1:21">
      <c r="S44" s="547"/>
      <c r="T44" s="547"/>
    </row>
    <row r="45" spans="1:21">
      <c r="S45" s="547"/>
      <c r="T45" s="547"/>
    </row>
    <row r="46" spans="1:21">
      <c r="S46" s="547"/>
      <c r="T46" s="547"/>
    </row>
    <row r="47" spans="1:21">
      <c r="S47" s="547"/>
      <c r="T47" s="547"/>
    </row>
  </sheetData>
  <customSheetViews>
    <customSheetView guid="{A374FC54-96E3-45F0-9C12-8450400C12DF}" scale="120" topLeftCell="A22">
      <selection activeCell="O37" sqref="O37:O39"/>
      <pageMargins left="0.7" right="0.7" top="0.75" bottom="0.75" header="0.3" footer="0.3"/>
      <pageSetup paperSize="132" firstPageNumber="110" orientation="portrait" useFirstPageNumber="1" r:id="rId1"/>
      <headerFooter differentFirst="1">
        <oddFooter>&amp;C&amp;"Times New Roman,Regular"&amp;8&amp;P</oddFooter>
        <evenFooter>&amp;C&amp;"Times New Roman,Regular"&amp;8 111</evenFooter>
        <firstFooter>&amp;C&amp;"Times New Roman,Regular"&amp;8&amp;P</firstFooter>
      </headerFooter>
    </customSheetView>
  </customSheetViews>
  <mergeCells count="15">
    <mergeCell ref="A4:A6"/>
    <mergeCell ref="B4:F4"/>
    <mergeCell ref="G4:I4"/>
    <mergeCell ref="J4:M4"/>
    <mergeCell ref="N4:N5"/>
    <mergeCell ref="Q4:Q5"/>
    <mergeCell ref="R4:R5"/>
    <mergeCell ref="S4:S5"/>
    <mergeCell ref="T4:T6"/>
    <mergeCell ref="F1:I1"/>
    <mergeCell ref="R2:T2"/>
    <mergeCell ref="R3:T3"/>
    <mergeCell ref="O4:O5"/>
    <mergeCell ref="P4:P5"/>
    <mergeCell ref="J1:P1"/>
  </mergeCells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dimension ref="A1:Z38"/>
  <sheetViews>
    <sheetView showWhiteSpace="0" zoomScale="150" zoomScaleNormal="150" workbookViewId="0">
      <pane ySplit="6" topLeftCell="A25" activePane="bottomLeft" state="frozen"/>
      <selection activeCell="X47" sqref="X47:X50"/>
      <selection pane="bottomLeft" activeCell="Y41" sqref="Y41"/>
    </sheetView>
  </sheetViews>
  <sheetFormatPr defaultRowHeight="12.75"/>
  <cols>
    <col min="1" max="1" width="7.140625" style="949" customWidth="1"/>
    <col min="2" max="3" width="6.140625" style="949" customWidth="1"/>
    <col min="4" max="4" width="6.28515625" style="949" customWidth="1"/>
    <col min="5" max="5" width="5.28515625" style="949" customWidth="1"/>
    <col min="6" max="6" width="6.5703125" style="949" customWidth="1"/>
    <col min="7" max="7" width="7.7109375" style="949" customWidth="1"/>
    <col min="8" max="8" width="5.28515625" style="949" customWidth="1"/>
    <col min="9" max="9" width="8.28515625" style="949" customWidth="1"/>
    <col min="10" max="10" width="6.140625" style="949" customWidth="1"/>
    <col min="11" max="11" width="5.5703125" style="949" customWidth="1"/>
    <col min="12" max="13" width="6.140625" style="949" customWidth="1"/>
    <col min="14" max="14" width="7.28515625" style="949" customWidth="1"/>
    <col min="15" max="15" width="4.85546875" style="949" customWidth="1"/>
    <col min="16" max="16" width="6.7109375" style="949" customWidth="1"/>
    <col min="17" max="17" width="4.5703125" style="949" customWidth="1"/>
    <col min="18" max="18" width="7.140625" style="949" customWidth="1"/>
    <col min="19" max="19" width="6.140625" style="949" customWidth="1"/>
    <col min="20" max="20" width="5.85546875" style="949" customWidth="1"/>
    <col min="21" max="21" width="7.140625" style="949" customWidth="1"/>
    <col min="22" max="22" width="9.5703125" style="949" customWidth="1"/>
    <col min="23" max="23" width="7.28515625" style="949" customWidth="1"/>
    <col min="24" max="16384" width="9.140625" style="949"/>
  </cols>
  <sheetData>
    <row r="1" spans="1:26" s="1205" customFormat="1" ht="18.75" customHeight="1">
      <c r="A1" s="818"/>
      <c r="B1" s="818"/>
      <c r="C1" s="818"/>
      <c r="D1" s="818"/>
      <c r="E1" s="818"/>
      <c r="F1" s="818"/>
      <c r="G1" s="818"/>
      <c r="H1" s="818"/>
      <c r="I1" s="2712" t="s">
        <v>2068</v>
      </c>
      <c r="J1" s="2712"/>
      <c r="K1" s="2712"/>
      <c r="L1" s="2712"/>
      <c r="M1" s="2713" t="s">
        <v>2759</v>
      </c>
      <c r="N1" s="2713"/>
      <c r="O1" s="2713"/>
      <c r="P1" s="2713"/>
      <c r="Q1" s="2713"/>
      <c r="R1" s="2713"/>
      <c r="S1" s="818"/>
      <c r="T1" s="818"/>
      <c r="U1" s="818"/>
      <c r="V1" s="818"/>
      <c r="W1" s="818"/>
    </row>
    <row r="2" spans="1:26" s="1205" customFormat="1" ht="18.75">
      <c r="A2" s="619"/>
      <c r="B2" s="620"/>
      <c r="C2" s="620"/>
      <c r="D2" s="626"/>
      <c r="E2" s="626"/>
      <c r="F2" s="626"/>
      <c r="G2" s="626"/>
      <c r="H2" s="626"/>
      <c r="I2" s="1018"/>
      <c r="J2" s="2716" t="s">
        <v>2755</v>
      </c>
      <c r="K2" s="2716"/>
      <c r="L2" s="2716"/>
      <c r="M2" s="2715" t="s">
        <v>2754</v>
      </c>
      <c r="N2" s="2715"/>
      <c r="O2" s="1018"/>
      <c r="P2" s="1018"/>
      <c r="Q2" s="1018"/>
      <c r="R2" s="1018"/>
      <c r="S2" s="620"/>
      <c r="T2" s="620"/>
      <c r="U2" s="620"/>
      <c r="V2" s="1019" t="s">
        <v>2069</v>
      </c>
      <c r="W2" s="818"/>
    </row>
    <row r="3" spans="1:26" s="1205" customFormat="1" ht="15">
      <c r="A3" s="1020"/>
      <c r="B3" s="1020"/>
      <c r="C3" s="1020"/>
      <c r="D3" s="1020"/>
      <c r="E3" s="1020"/>
      <c r="F3" s="1020"/>
      <c r="G3" s="1020"/>
      <c r="H3" s="1020"/>
      <c r="I3" s="1020"/>
      <c r="J3" s="1020"/>
      <c r="K3" s="1020"/>
      <c r="L3" s="1020"/>
      <c r="M3" s="1020"/>
      <c r="N3" s="1020"/>
      <c r="O3" s="1020"/>
      <c r="P3" s="1020"/>
      <c r="Q3" s="1020"/>
      <c r="R3" s="1020"/>
      <c r="S3" s="1020"/>
      <c r="T3" s="1020"/>
      <c r="U3" s="1020"/>
      <c r="V3" s="1021" t="s">
        <v>24</v>
      </c>
      <c r="W3" s="1022"/>
    </row>
    <row r="4" spans="1:26" s="1205" customFormat="1">
      <c r="A4" s="2717" t="s">
        <v>481</v>
      </c>
      <c r="B4" s="2718" t="s">
        <v>2070</v>
      </c>
      <c r="C4" s="2719"/>
      <c r="D4" s="2719"/>
      <c r="E4" s="2719"/>
      <c r="F4" s="2720"/>
      <c r="G4" s="2718" t="s">
        <v>2071</v>
      </c>
      <c r="H4" s="2721"/>
      <c r="I4" s="2721"/>
      <c r="J4" s="2721"/>
      <c r="K4" s="2721"/>
      <c r="L4" s="2721"/>
      <c r="M4" s="2721"/>
      <c r="N4" s="2721"/>
      <c r="O4" s="2721"/>
      <c r="P4" s="2721"/>
      <c r="Q4" s="2721"/>
      <c r="R4" s="2722"/>
      <c r="S4" s="2723" t="s">
        <v>2671</v>
      </c>
      <c r="T4" s="2725" t="s">
        <v>2072</v>
      </c>
      <c r="U4" s="2726"/>
      <c r="V4" s="2727"/>
      <c r="W4" s="2714" t="s">
        <v>481</v>
      </c>
    </row>
    <row r="5" spans="1:26" s="1205" customFormat="1" ht="85.5" customHeight="1">
      <c r="A5" s="2667"/>
      <c r="B5" s="1390" t="s">
        <v>2073</v>
      </c>
      <c r="C5" s="1391" t="s">
        <v>2074</v>
      </c>
      <c r="D5" s="1390" t="s">
        <v>2075</v>
      </c>
      <c r="E5" s="1390" t="s">
        <v>2076</v>
      </c>
      <c r="F5" s="1390" t="s">
        <v>2077</v>
      </c>
      <c r="G5" s="1390" t="s">
        <v>2078</v>
      </c>
      <c r="H5" s="1390" t="s">
        <v>2079</v>
      </c>
      <c r="I5" s="1390" t="s">
        <v>2672</v>
      </c>
      <c r="J5" s="1390" t="s">
        <v>2080</v>
      </c>
      <c r="K5" s="1390" t="s">
        <v>2081</v>
      </c>
      <c r="L5" s="1390" t="s">
        <v>2082</v>
      </c>
      <c r="M5" s="1392" t="s">
        <v>2083</v>
      </c>
      <c r="N5" s="1392" t="s">
        <v>2084</v>
      </c>
      <c r="O5" s="1391" t="s">
        <v>2085</v>
      </c>
      <c r="P5" s="1391" t="s">
        <v>2086</v>
      </c>
      <c r="Q5" s="1391" t="s">
        <v>2087</v>
      </c>
      <c r="R5" s="1391" t="s">
        <v>2088</v>
      </c>
      <c r="S5" s="2724"/>
      <c r="T5" s="1391" t="s">
        <v>2089</v>
      </c>
      <c r="U5" s="1391" t="s">
        <v>2090</v>
      </c>
      <c r="V5" s="1391" t="s">
        <v>2091</v>
      </c>
      <c r="W5" s="2696"/>
    </row>
    <row r="6" spans="1:26" s="1205" customFormat="1">
      <c r="A6" s="2668"/>
      <c r="B6" s="1100">
        <v>1</v>
      </c>
      <c r="C6" s="1023">
        <v>2</v>
      </c>
      <c r="D6" s="1023">
        <v>3</v>
      </c>
      <c r="E6" s="1023">
        <v>4</v>
      </c>
      <c r="F6" s="1023">
        <v>5</v>
      </c>
      <c r="G6" s="1023">
        <v>6</v>
      </c>
      <c r="H6" s="1023">
        <v>7</v>
      </c>
      <c r="I6" s="1023">
        <v>8</v>
      </c>
      <c r="J6" s="1023">
        <v>9</v>
      </c>
      <c r="K6" s="1023">
        <v>10</v>
      </c>
      <c r="L6" s="1023">
        <v>11</v>
      </c>
      <c r="M6" s="1023">
        <v>12</v>
      </c>
      <c r="N6" s="1023">
        <v>13</v>
      </c>
      <c r="O6" s="1023">
        <v>14</v>
      </c>
      <c r="P6" s="1023">
        <v>15</v>
      </c>
      <c r="Q6" s="1023">
        <v>16</v>
      </c>
      <c r="R6" s="1023">
        <v>17</v>
      </c>
      <c r="S6" s="1023">
        <v>18</v>
      </c>
      <c r="T6" s="1023">
        <v>19</v>
      </c>
      <c r="U6" s="1023">
        <v>20</v>
      </c>
      <c r="V6" s="1023">
        <v>21</v>
      </c>
      <c r="W6" s="2697"/>
      <c r="Z6" s="1034"/>
    </row>
    <row r="7" spans="1:26" ht="15" customHeight="1">
      <c r="A7" s="1036" t="s">
        <v>548</v>
      </c>
      <c r="B7" s="1240">
        <v>17096</v>
      </c>
      <c r="C7" s="1240">
        <v>4249</v>
      </c>
      <c r="D7" s="1240">
        <v>21345</v>
      </c>
      <c r="E7" s="1240">
        <v>3609</v>
      </c>
      <c r="F7" s="1240">
        <v>24954</v>
      </c>
      <c r="G7" s="1240">
        <v>17898</v>
      </c>
      <c r="H7" s="1240">
        <v>1109</v>
      </c>
      <c r="I7" s="1240">
        <v>19007</v>
      </c>
      <c r="J7" s="1240">
        <v>16560</v>
      </c>
      <c r="K7" s="1240">
        <v>193</v>
      </c>
      <c r="L7" s="1240">
        <v>0</v>
      </c>
      <c r="M7" s="1240">
        <v>496</v>
      </c>
      <c r="N7" s="1240">
        <v>17249</v>
      </c>
      <c r="O7" s="1240">
        <v>-9</v>
      </c>
      <c r="P7" s="1240">
        <v>-249</v>
      </c>
      <c r="Q7" s="1240">
        <v>0</v>
      </c>
      <c r="R7" s="1240">
        <v>35998</v>
      </c>
      <c r="S7" s="1240">
        <v>-11044</v>
      </c>
      <c r="T7" s="1240">
        <v>3100</v>
      </c>
      <c r="U7" s="1240">
        <v>7944</v>
      </c>
      <c r="V7" s="1240">
        <v>11044</v>
      </c>
      <c r="W7" s="1038" t="s">
        <v>548</v>
      </c>
      <c r="X7" s="1205"/>
      <c r="Y7" s="1205"/>
      <c r="Z7" s="1205"/>
    </row>
    <row r="8" spans="1:26" ht="15" customHeight="1">
      <c r="A8" s="1037" t="s">
        <v>549</v>
      </c>
      <c r="B8" s="1035">
        <v>19490</v>
      </c>
      <c r="C8" s="1035">
        <v>4683</v>
      </c>
      <c r="D8" s="1035">
        <v>24173</v>
      </c>
      <c r="E8" s="1035">
        <v>2929</v>
      </c>
      <c r="F8" s="1035">
        <v>27102</v>
      </c>
      <c r="G8" s="1035">
        <v>20136</v>
      </c>
      <c r="H8" s="1035">
        <v>1411</v>
      </c>
      <c r="I8" s="1035">
        <v>21547</v>
      </c>
      <c r="J8" s="1035">
        <v>17950</v>
      </c>
      <c r="K8" s="1035">
        <v>133</v>
      </c>
      <c r="L8" s="1035">
        <v>0</v>
      </c>
      <c r="M8" s="1035">
        <v>773</v>
      </c>
      <c r="N8" s="1035">
        <v>18856</v>
      </c>
      <c r="O8" s="1035">
        <v>-122</v>
      </c>
      <c r="P8" s="1035">
        <v>-422</v>
      </c>
      <c r="Q8" s="1035">
        <v>0</v>
      </c>
      <c r="R8" s="1035">
        <v>39859</v>
      </c>
      <c r="S8" s="1035">
        <v>-12757</v>
      </c>
      <c r="T8" s="1035">
        <v>3565</v>
      </c>
      <c r="U8" s="1035">
        <v>9192</v>
      </c>
      <c r="V8" s="1035">
        <v>12757</v>
      </c>
      <c r="W8" s="1039" t="s">
        <v>549</v>
      </c>
      <c r="X8" s="1205"/>
      <c r="Y8" s="1205"/>
      <c r="Z8" s="1205"/>
    </row>
    <row r="9" spans="1:26" ht="15" customHeight="1">
      <c r="A9" s="1036" t="s">
        <v>550</v>
      </c>
      <c r="B9" s="1240">
        <v>21930</v>
      </c>
      <c r="C9" s="1240">
        <v>5740</v>
      </c>
      <c r="D9" s="1240">
        <v>27670</v>
      </c>
      <c r="E9" s="1240">
        <v>3482</v>
      </c>
      <c r="F9" s="1240">
        <v>31152</v>
      </c>
      <c r="G9" s="1240">
        <v>21037</v>
      </c>
      <c r="H9" s="1240">
        <v>1218</v>
      </c>
      <c r="I9" s="1240">
        <v>22255</v>
      </c>
      <c r="J9" s="1240">
        <v>15847</v>
      </c>
      <c r="K9" s="1240">
        <v>313</v>
      </c>
      <c r="L9" s="1240">
        <v>0</v>
      </c>
      <c r="M9" s="1240">
        <v>733</v>
      </c>
      <c r="N9" s="1240">
        <v>16893</v>
      </c>
      <c r="O9" s="1240">
        <v>-6</v>
      </c>
      <c r="P9" s="1240">
        <v>-385</v>
      </c>
      <c r="Q9" s="1240">
        <v>0</v>
      </c>
      <c r="R9" s="1240">
        <v>38757</v>
      </c>
      <c r="S9" s="1240">
        <v>-7605</v>
      </c>
      <c r="T9" s="1240">
        <v>2759</v>
      </c>
      <c r="U9" s="1240">
        <v>4846</v>
      </c>
      <c r="V9" s="1240">
        <v>7605</v>
      </c>
      <c r="W9" s="1038" t="s">
        <v>550</v>
      </c>
      <c r="X9" s="1205"/>
      <c r="Y9" s="1205"/>
      <c r="Z9" s="1205"/>
    </row>
    <row r="10" spans="1:26" ht="15" customHeight="1">
      <c r="A10" s="1037" t="s">
        <v>551</v>
      </c>
      <c r="B10" s="1035">
        <v>24950</v>
      </c>
      <c r="C10" s="1035">
        <v>6170</v>
      </c>
      <c r="D10" s="1035">
        <v>31120</v>
      </c>
      <c r="E10" s="1035">
        <v>2447</v>
      </c>
      <c r="F10" s="1035">
        <v>33567</v>
      </c>
      <c r="G10" s="1035">
        <v>24255</v>
      </c>
      <c r="H10" s="1035">
        <v>1351</v>
      </c>
      <c r="I10" s="1035">
        <v>25606</v>
      </c>
      <c r="J10" s="1035">
        <v>17060</v>
      </c>
      <c r="K10" s="1035">
        <v>390</v>
      </c>
      <c r="L10" s="1035">
        <v>0</v>
      </c>
      <c r="M10" s="1035">
        <v>593</v>
      </c>
      <c r="N10" s="1035">
        <v>18043</v>
      </c>
      <c r="O10" s="1035">
        <v>-74</v>
      </c>
      <c r="P10" s="1035">
        <v>-1029</v>
      </c>
      <c r="Q10" s="1035">
        <v>0</v>
      </c>
      <c r="R10" s="1035">
        <v>42546</v>
      </c>
      <c r="S10" s="1035">
        <v>-8979</v>
      </c>
      <c r="T10" s="1035">
        <v>4543</v>
      </c>
      <c r="U10" s="1035">
        <v>4436</v>
      </c>
      <c r="V10" s="1035">
        <v>8979</v>
      </c>
      <c r="W10" s="1039" t="s">
        <v>551</v>
      </c>
      <c r="X10" s="1205"/>
      <c r="Y10" s="1205"/>
      <c r="Z10" s="1205"/>
    </row>
    <row r="11" spans="1:26" ht="15" customHeight="1">
      <c r="A11" s="1036" t="s">
        <v>552</v>
      </c>
      <c r="B11" s="1240">
        <v>28300</v>
      </c>
      <c r="C11" s="1240">
        <v>7100</v>
      </c>
      <c r="D11" s="1240">
        <v>35400</v>
      </c>
      <c r="E11" s="1240">
        <v>2663</v>
      </c>
      <c r="F11" s="1240">
        <v>38063</v>
      </c>
      <c r="G11" s="1240">
        <v>26807</v>
      </c>
      <c r="H11" s="1240">
        <v>1766</v>
      </c>
      <c r="I11" s="1240">
        <v>28573</v>
      </c>
      <c r="J11" s="1240">
        <v>19000</v>
      </c>
      <c r="K11" s="1240">
        <v>419</v>
      </c>
      <c r="L11" s="1240">
        <v>210</v>
      </c>
      <c r="M11" s="1240">
        <v>585</v>
      </c>
      <c r="N11" s="1240">
        <v>20214</v>
      </c>
      <c r="O11" s="1240">
        <v>508</v>
      </c>
      <c r="P11" s="1240">
        <v>-928</v>
      </c>
      <c r="Q11" s="1240">
        <v>1000</v>
      </c>
      <c r="R11" s="1240">
        <v>49367</v>
      </c>
      <c r="S11" s="1240">
        <v>-11304</v>
      </c>
      <c r="T11" s="1240">
        <v>5329</v>
      </c>
      <c r="U11" s="1240">
        <v>5975</v>
      </c>
      <c r="V11" s="1240">
        <v>11304</v>
      </c>
      <c r="W11" s="1038" t="s">
        <v>552</v>
      </c>
      <c r="X11" s="1205"/>
      <c r="Y11" s="1205"/>
      <c r="Z11" s="1205"/>
    </row>
    <row r="12" spans="1:26" ht="15" customHeight="1">
      <c r="A12" s="1037" t="s">
        <v>553</v>
      </c>
      <c r="B12" s="1035">
        <v>31950</v>
      </c>
      <c r="C12" s="1035">
        <v>7250</v>
      </c>
      <c r="D12" s="1035">
        <v>39200</v>
      </c>
      <c r="E12" s="1035">
        <v>2644</v>
      </c>
      <c r="F12" s="1035">
        <v>41844</v>
      </c>
      <c r="G12" s="1035">
        <v>31590</v>
      </c>
      <c r="H12" s="1035">
        <v>2080</v>
      </c>
      <c r="I12" s="1035">
        <v>33670</v>
      </c>
      <c r="J12" s="1035">
        <v>20500</v>
      </c>
      <c r="K12" s="1035">
        <v>595</v>
      </c>
      <c r="L12" s="1035">
        <v>994</v>
      </c>
      <c r="M12" s="1035">
        <v>587</v>
      </c>
      <c r="N12" s="1035">
        <v>22676</v>
      </c>
      <c r="O12" s="1035">
        <v>168</v>
      </c>
      <c r="P12" s="1035">
        <v>-1152</v>
      </c>
      <c r="Q12" s="1035">
        <v>270</v>
      </c>
      <c r="R12" s="1035">
        <v>55632</v>
      </c>
      <c r="S12" s="1035">
        <v>-13788</v>
      </c>
      <c r="T12" s="1035">
        <v>6187</v>
      </c>
      <c r="U12" s="1035">
        <v>7601</v>
      </c>
      <c r="V12" s="1035">
        <v>13788</v>
      </c>
      <c r="W12" s="1039" t="s">
        <v>553</v>
      </c>
      <c r="X12" s="1205"/>
      <c r="Y12" s="1205"/>
      <c r="Z12" s="1205"/>
    </row>
    <row r="13" spans="1:26" ht="15" customHeight="1">
      <c r="A13" s="1036" t="s">
        <v>558</v>
      </c>
      <c r="B13" s="1240">
        <v>36175</v>
      </c>
      <c r="C13" s="1240">
        <v>8693</v>
      </c>
      <c r="D13" s="1240">
        <v>44868</v>
      </c>
      <c r="E13" s="1240">
        <v>2476</v>
      </c>
      <c r="F13" s="1240">
        <v>47344</v>
      </c>
      <c r="G13" s="1240">
        <v>34805</v>
      </c>
      <c r="H13" s="1240">
        <v>2252</v>
      </c>
      <c r="I13" s="1240">
        <v>37057</v>
      </c>
      <c r="J13" s="1240">
        <v>21500</v>
      </c>
      <c r="K13" s="1240">
        <v>0</v>
      </c>
      <c r="L13" s="1240">
        <v>1363</v>
      </c>
      <c r="M13" s="1240">
        <v>763</v>
      </c>
      <c r="N13" s="1240">
        <v>23626</v>
      </c>
      <c r="O13" s="1240">
        <v>207</v>
      </c>
      <c r="P13" s="1240">
        <v>-32</v>
      </c>
      <c r="Q13" s="1240">
        <v>200</v>
      </c>
      <c r="R13" s="1240">
        <v>61058</v>
      </c>
      <c r="S13" s="1240">
        <v>-13714</v>
      </c>
      <c r="T13" s="1240">
        <v>5574</v>
      </c>
      <c r="U13" s="1240">
        <v>8140</v>
      </c>
      <c r="V13" s="1240">
        <v>13714</v>
      </c>
      <c r="W13" s="1038" t="s">
        <v>558</v>
      </c>
      <c r="X13" s="1205"/>
      <c r="Y13" s="1205"/>
      <c r="Z13" s="1205"/>
    </row>
    <row r="14" spans="1:26" ht="15" customHeight="1">
      <c r="A14" s="1037" t="s">
        <v>567</v>
      </c>
      <c r="B14" s="1035">
        <v>39247</v>
      </c>
      <c r="C14" s="1035">
        <v>10225</v>
      </c>
      <c r="D14" s="1035">
        <v>49472</v>
      </c>
      <c r="E14" s="1035">
        <v>2150</v>
      </c>
      <c r="F14" s="1035">
        <v>51622</v>
      </c>
      <c r="G14" s="1035">
        <v>42064</v>
      </c>
      <c r="H14" s="1035">
        <v>2348</v>
      </c>
      <c r="I14" s="1035">
        <v>44412</v>
      </c>
      <c r="J14" s="1035">
        <v>21600</v>
      </c>
      <c r="K14" s="1035">
        <v>0</v>
      </c>
      <c r="L14" s="1035">
        <v>1579</v>
      </c>
      <c r="M14" s="1035">
        <v>283</v>
      </c>
      <c r="N14" s="1035">
        <v>23462</v>
      </c>
      <c r="O14" s="1035">
        <v>388</v>
      </c>
      <c r="P14" s="1035">
        <v>-1455</v>
      </c>
      <c r="Q14" s="1035">
        <v>29</v>
      </c>
      <c r="R14" s="1035">
        <v>66836</v>
      </c>
      <c r="S14" s="1035">
        <v>-15214</v>
      </c>
      <c r="T14" s="1035">
        <v>5183</v>
      </c>
      <c r="U14" s="1035">
        <v>10031</v>
      </c>
      <c r="V14" s="1035">
        <v>15214</v>
      </c>
      <c r="W14" s="1039" t="s">
        <v>567</v>
      </c>
      <c r="X14" s="1205"/>
      <c r="Y14" s="1205"/>
      <c r="Z14" s="1205"/>
    </row>
    <row r="15" spans="1:26" ht="15" customHeight="1">
      <c r="A15" s="1036" t="s">
        <v>330</v>
      </c>
      <c r="B15" s="1240">
        <v>48012</v>
      </c>
      <c r="C15" s="1240">
        <v>12527</v>
      </c>
      <c r="D15" s="1240">
        <v>60539</v>
      </c>
      <c r="E15" s="1240">
        <v>4388</v>
      </c>
      <c r="F15" s="1240">
        <v>64927</v>
      </c>
      <c r="G15" s="1240">
        <v>52255</v>
      </c>
      <c r="H15" s="1240">
        <v>4734</v>
      </c>
      <c r="I15" s="1240">
        <v>56989</v>
      </c>
      <c r="J15" s="1240">
        <v>22500</v>
      </c>
      <c r="K15" s="1240">
        <v>549</v>
      </c>
      <c r="L15" s="1240">
        <v>496</v>
      </c>
      <c r="M15" s="1240">
        <v>804</v>
      </c>
      <c r="N15" s="1240">
        <v>24349</v>
      </c>
      <c r="O15" s="1240">
        <v>809</v>
      </c>
      <c r="P15" s="1240">
        <v>9761</v>
      </c>
      <c r="Q15" s="1240">
        <v>1700</v>
      </c>
      <c r="R15" s="1240">
        <v>93608</v>
      </c>
      <c r="S15" s="1240">
        <v>-28681</v>
      </c>
      <c r="T15" s="1240">
        <v>8756</v>
      </c>
      <c r="U15" s="1240">
        <v>19925</v>
      </c>
      <c r="V15" s="1240">
        <v>28681</v>
      </c>
      <c r="W15" s="1038" t="s">
        <v>330</v>
      </c>
      <c r="X15" s="1205"/>
      <c r="Y15" s="1205"/>
      <c r="Z15" s="1205"/>
    </row>
    <row r="16" spans="1:26" ht="15" customHeight="1">
      <c r="A16" s="1024" t="s">
        <v>85</v>
      </c>
      <c r="B16" s="1035">
        <v>55526</v>
      </c>
      <c r="C16" s="1035">
        <v>13654</v>
      </c>
      <c r="D16" s="1035">
        <v>69180</v>
      </c>
      <c r="E16" s="1035">
        <v>4929</v>
      </c>
      <c r="F16" s="1035">
        <v>74109</v>
      </c>
      <c r="G16" s="1035">
        <v>62676</v>
      </c>
      <c r="H16" s="1035">
        <v>4449</v>
      </c>
      <c r="I16" s="1035">
        <v>67125</v>
      </c>
      <c r="J16" s="1035">
        <v>23000</v>
      </c>
      <c r="K16" s="1035">
        <v>990</v>
      </c>
      <c r="L16" s="1035">
        <v>478</v>
      </c>
      <c r="M16" s="1035">
        <v>1234</v>
      </c>
      <c r="N16" s="1035">
        <v>25702</v>
      </c>
      <c r="O16" s="1035">
        <v>4</v>
      </c>
      <c r="P16" s="1035">
        <v>559</v>
      </c>
      <c r="Q16" s="1035">
        <v>750</v>
      </c>
      <c r="R16" s="1035">
        <v>94140</v>
      </c>
      <c r="S16" s="1035">
        <v>-20031</v>
      </c>
      <c r="T16" s="1035">
        <v>5833</v>
      </c>
      <c r="U16" s="1035">
        <v>14198</v>
      </c>
      <c r="V16" s="1035">
        <v>20031</v>
      </c>
      <c r="W16" s="1040" t="s">
        <v>85</v>
      </c>
      <c r="X16" s="1205"/>
      <c r="Y16" s="1205"/>
      <c r="Z16" s="1205"/>
    </row>
    <row r="17" spans="1:26" ht="15" customHeight="1">
      <c r="A17" s="1025" t="s">
        <v>81</v>
      </c>
      <c r="B17" s="1240">
        <v>63956</v>
      </c>
      <c r="C17" s="1240">
        <v>15528</v>
      </c>
      <c r="D17" s="1240">
        <v>79484</v>
      </c>
      <c r="E17" s="1240">
        <v>3742</v>
      </c>
      <c r="F17" s="1240">
        <v>83226</v>
      </c>
      <c r="G17" s="1240">
        <v>68711</v>
      </c>
      <c r="H17" s="1240">
        <v>8417</v>
      </c>
      <c r="I17" s="1240">
        <v>77128</v>
      </c>
      <c r="J17" s="1240">
        <v>28500</v>
      </c>
      <c r="K17" s="1240">
        <v>1180</v>
      </c>
      <c r="L17" s="1240">
        <v>1009</v>
      </c>
      <c r="M17" s="1240">
        <v>1126</v>
      </c>
      <c r="N17" s="1240">
        <v>31815</v>
      </c>
      <c r="O17" s="1240">
        <v>60</v>
      </c>
      <c r="P17" s="1240">
        <v>1188</v>
      </c>
      <c r="Q17" s="1240">
        <v>332</v>
      </c>
      <c r="R17" s="1240">
        <v>110523</v>
      </c>
      <c r="S17" s="1240">
        <v>-27297</v>
      </c>
      <c r="T17" s="1240">
        <v>9972</v>
      </c>
      <c r="U17" s="1240">
        <v>17325</v>
      </c>
      <c r="V17" s="1240">
        <v>27297</v>
      </c>
      <c r="W17" s="1041" t="s">
        <v>81</v>
      </c>
      <c r="X17" s="1205"/>
      <c r="Y17" s="1205"/>
      <c r="Z17" s="1205"/>
    </row>
    <row r="18" spans="1:26" ht="15" customHeight="1">
      <c r="A18" s="1032" t="s">
        <v>189</v>
      </c>
      <c r="B18" s="1035">
        <v>79052</v>
      </c>
      <c r="C18" s="1035">
        <v>16135</v>
      </c>
      <c r="D18" s="1035">
        <v>95187</v>
      </c>
      <c r="E18" s="1035">
        <v>4224</v>
      </c>
      <c r="F18" s="1035">
        <v>99411</v>
      </c>
      <c r="G18" s="1035">
        <v>77103</v>
      </c>
      <c r="H18" s="1035">
        <v>6074</v>
      </c>
      <c r="I18" s="1035">
        <v>83177</v>
      </c>
      <c r="J18" s="1035">
        <v>35880</v>
      </c>
      <c r="K18" s="1035">
        <v>1430</v>
      </c>
      <c r="L18" s="1035">
        <v>1011</v>
      </c>
      <c r="M18" s="1035">
        <v>1294</v>
      </c>
      <c r="N18" s="1035">
        <v>39615</v>
      </c>
      <c r="O18" s="1035">
        <v>351</v>
      </c>
      <c r="P18" s="1035">
        <v>6718</v>
      </c>
      <c r="Q18" s="1035">
        <v>150</v>
      </c>
      <c r="R18" s="1035">
        <v>130011</v>
      </c>
      <c r="S18" s="1035">
        <v>-30600</v>
      </c>
      <c r="T18" s="1035">
        <v>5783</v>
      </c>
      <c r="U18" s="1035">
        <v>24817</v>
      </c>
      <c r="V18" s="1035">
        <v>30600</v>
      </c>
      <c r="W18" s="1042" t="s">
        <v>189</v>
      </c>
      <c r="X18" s="1205"/>
      <c r="Y18" s="1205"/>
      <c r="Z18" s="1205"/>
    </row>
    <row r="19" spans="1:26" ht="15" customHeight="1">
      <c r="A19" s="1033" t="s">
        <v>701</v>
      </c>
      <c r="B19" s="1240">
        <v>96285</v>
      </c>
      <c r="C19" s="1240">
        <v>18600</v>
      </c>
      <c r="D19" s="1240">
        <v>114885</v>
      </c>
      <c r="E19" s="1240">
        <v>4460</v>
      </c>
      <c r="F19" s="1240">
        <v>119345</v>
      </c>
      <c r="G19" s="1240">
        <v>91823</v>
      </c>
      <c r="H19" s="1240">
        <v>9162</v>
      </c>
      <c r="I19" s="1240">
        <v>100985</v>
      </c>
      <c r="J19" s="1240">
        <v>41080</v>
      </c>
      <c r="K19" s="1240">
        <v>2142</v>
      </c>
      <c r="L19" s="1240">
        <v>1144</v>
      </c>
      <c r="M19" s="1240">
        <v>1285</v>
      </c>
      <c r="N19" s="1240">
        <v>45651</v>
      </c>
      <c r="O19" s="1240">
        <v>384</v>
      </c>
      <c r="P19" s="1240">
        <v>14193</v>
      </c>
      <c r="Q19" s="1240">
        <v>0</v>
      </c>
      <c r="R19" s="1240">
        <v>161213</v>
      </c>
      <c r="S19" s="1240">
        <v>-41868</v>
      </c>
      <c r="T19" s="1240">
        <v>7399</v>
      </c>
      <c r="U19" s="1240">
        <v>34469</v>
      </c>
      <c r="V19" s="1240">
        <v>41868</v>
      </c>
      <c r="W19" s="1043" t="s">
        <v>701</v>
      </c>
      <c r="X19" s="1205"/>
      <c r="Y19" s="1205"/>
      <c r="Z19" s="1205"/>
    </row>
    <row r="20" spans="1:26" ht="15" customHeight="1">
      <c r="A20" s="1032" t="s">
        <v>809</v>
      </c>
      <c r="B20" s="1035">
        <v>116824</v>
      </c>
      <c r="C20" s="1035">
        <v>22846</v>
      </c>
      <c r="D20" s="1035">
        <v>139670</v>
      </c>
      <c r="E20" s="1035">
        <v>5280</v>
      </c>
      <c r="F20" s="1035">
        <v>144950</v>
      </c>
      <c r="G20" s="1035">
        <v>102892</v>
      </c>
      <c r="H20" s="1035">
        <v>7735</v>
      </c>
      <c r="I20" s="1035">
        <v>110627</v>
      </c>
      <c r="J20" s="1035">
        <v>52366</v>
      </c>
      <c r="K20" s="1035">
        <v>3091</v>
      </c>
      <c r="L20" s="1035">
        <v>801</v>
      </c>
      <c r="M20" s="1035">
        <v>1493</v>
      </c>
      <c r="N20" s="1035">
        <v>57751</v>
      </c>
      <c r="O20" s="1035">
        <v>183</v>
      </c>
      <c r="P20" s="1035">
        <v>20765</v>
      </c>
      <c r="Q20" s="1035">
        <v>0</v>
      </c>
      <c r="R20" s="1035">
        <v>189326</v>
      </c>
      <c r="S20" s="1035">
        <v>-44376</v>
      </c>
      <c r="T20" s="1035">
        <v>11903</v>
      </c>
      <c r="U20" s="1035">
        <v>32473</v>
      </c>
      <c r="V20" s="1035">
        <v>44376</v>
      </c>
      <c r="W20" s="1042" t="s">
        <v>809</v>
      </c>
      <c r="X20" s="1205"/>
      <c r="Y20" s="1205"/>
      <c r="Z20" s="1205"/>
    </row>
    <row r="21" spans="1:26" s="172" customFormat="1" ht="15" customHeight="1">
      <c r="A21" s="1033" t="s">
        <v>982</v>
      </c>
      <c r="B21" s="1240">
        <v>130178</v>
      </c>
      <c r="C21" s="1240">
        <v>26493</v>
      </c>
      <c r="D21" s="1240">
        <v>156671</v>
      </c>
      <c r="E21" s="1240">
        <v>5956</v>
      </c>
      <c r="F21" s="1240">
        <v>162627</v>
      </c>
      <c r="G21" s="1240">
        <v>115998</v>
      </c>
      <c r="H21" s="1240">
        <v>18909</v>
      </c>
      <c r="I21" s="1240">
        <v>134907</v>
      </c>
      <c r="J21" s="1240">
        <v>60000</v>
      </c>
      <c r="K21" s="1240">
        <v>3058</v>
      </c>
      <c r="L21" s="1240">
        <v>893</v>
      </c>
      <c r="M21" s="1240">
        <v>1194</v>
      </c>
      <c r="N21" s="1240">
        <v>65145</v>
      </c>
      <c r="O21" s="1240">
        <v>188</v>
      </c>
      <c r="P21" s="1240">
        <v>15982</v>
      </c>
      <c r="Q21" s="1240">
        <v>0</v>
      </c>
      <c r="R21" s="1240">
        <v>216222</v>
      </c>
      <c r="S21" s="1240">
        <v>-53595</v>
      </c>
      <c r="T21" s="1240">
        <v>12613</v>
      </c>
      <c r="U21" s="1240">
        <v>40982</v>
      </c>
      <c r="V21" s="1240">
        <v>53595</v>
      </c>
      <c r="W21" s="1043" t="s">
        <v>982</v>
      </c>
    </row>
    <row r="22" spans="1:26" ht="15" customHeight="1">
      <c r="A22" s="1032" t="s">
        <v>1033</v>
      </c>
      <c r="B22" s="1035">
        <v>140676</v>
      </c>
      <c r="C22" s="1035">
        <v>22695</v>
      </c>
      <c r="D22" s="1035">
        <v>163371</v>
      </c>
      <c r="E22" s="1035">
        <v>5674</v>
      </c>
      <c r="F22" s="1035">
        <v>169045</v>
      </c>
      <c r="G22" s="1035">
        <v>127371</v>
      </c>
      <c r="H22" s="1035">
        <v>22028</v>
      </c>
      <c r="I22" s="1035">
        <v>149399</v>
      </c>
      <c r="J22" s="1035">
        <v>75000</v>
      </c>
      <c r="K22" s="1035">
        <v>3317</v>
      </c>
      <c r="L22" s="1035">
        <v>786</v>
      </c>
      <c r="M22" s="1035">
        <v>1373</v>
      </c>
      <c r="N22" s="1035">
        <v>80476</v>
      </c>
      <c r="O22" s="1035">
        <v>157</v>
      </c>
      <c r="P22" s="1035">
        <v>9636</v>
      </c>
      <c r="Q22" s="1035">
        <v>0</v>
      </c>
      <c r="R22" s="1035">
        <v>239668</v>
      </c>
      <c r="S22" s="1035">
        <v>-70623</v>
      </c>
      <c r="T22" s="1035">
        <v>15909</v>
      </c>
      <c r="U22" s="1035">
        <v>54714</v>
      </c>
      <c r="V22" s="1035">
        <v>70623</v>
      </c>
      <c r="W22" s="1042" t="s">
        <v>1033</v>
      </c>
      <c r="X22" s="1205"/>
      <c r="Y22" s="1205"/>
      <c r="Z22" s="1205"/>
    </row>
    <row r="23" spans="1:26" ht="15" customHeight="1">
      <c r="A23" s="1033" t="s">
        <v>1154</v>
      </c>
      <c r="B23" s="1240">
        <v>155400</v>
      </c>
      <c r="C23" s="1240">
        <v>22000</v>
      </c>
      <c r="D23" s="1240">
        <v>177400</v>
      </c>
      <c r="E23" s="1240">
        <v>5027</v>
      </c>
      <c r="F23" s="1240">
        <v>182427</v>
      </c>
      <c r="G23" s="1240">
        <v>150379</v>
      </c>
      <c r="H23" s="1240">
        <v>13372</v>
      </c>
      <c r="I23" s="1240">
        <v>163751</v>
      </c>
      <c r="J23" s="1240">
        <v>91000</v>
      </c>
      <c r="K23" s="1240">
        <v>2687</v>
      </c>
      <c r="L23" s="1240">
        <v>585</v>
      </c>
      <c r="M23" s="1240">
        <v>1636</v>
      </c>
      <c r="N23" s="1240">
        <v>95908</v>
      </c>
      <c r="O23" s="1240">
        <v>201</v>
      </c>
      <c r="P23" s="1240">
        <v>4705</v>
      </c>
      <c r="Q23" s="1240">
        <v>0</v>
      </c>
      <c r="R23" s="1240">
        <v>264565</v>
      </c>
      <c r="S23" s="1240">
        <v>-82138</v>
      </c>
      <c r="T23" s="1240">
        <v>19963</v>
      </c>
      <c r="U23" s="1240">
        <v>62175</v>
      </c>
      <c r="V23" s="1240">
        <v>82138</v>
      </c>
      <c r="W23" s="1043" t="s">
        <v>1154</v>
      </c>
      <c r="X23" s="1205"/>
      <c r="Y23" s="1205"/>
      <c r="Z23" s="1205"/>
    </row>
    <row r="24" spans="1:26" ht="15" customHeight="1">
      <c r="A24" s="1032" t="s">
        <v>1178</v>
      </c>
      <c r="B24" s="1035">
        <v>192261</v>
      </c>
      <c r="C24" s="1035">
        <v>26239</v>
      </c>
      <c r="D24" s="1035">
        <v>218500</v>
      </c>
      <c r="E24" s="1035">
        <v>4694</v>
      </c>
      <c r="F24" s="1035">
        <v>223194</v>
      </c>
      <c r="G24" s="1035">
        <v>178154</v>
      </c>
      <c r="H24" s="1035">
        <v>14778</v>
      </c>
      <c r="I24" s="1035">
        <v>192932</v>
      </c>
      <c r="J24" s="1035">
        <v>110700</v>
      </c>
      <c r="K24" s="1035">
        <v>2987</v>
      </c>
      <c r="L24" s="1035">
        <v>370</v>
      </c>
      <c r="M24" s="1035">
        <v>1933</v>
      </c>
      <c r="N24" s="1035">
        <v>115990</v>
      </c>
      <c r="O24" s="1035">
        <v>561</v>
      </c>
      <c r="P24" s="1035">
        <v>7691</v>
      </c>
      <c r="Q24" s="1035">
        <v>0</v>
      </c>
      <c r="R24" s="1035">
        <v>317174</v>
      </c>
      <c r="S24" s="1035">
        <v>-93980</v>
      </c>
      <c r="T24" s="1035">
        <v>24077</v>
      </c>
      <c r="U24" s="1035">
        <v>69903</v>
      </c>
      <c r="V24" s="1035">
        <v>93980</v>
      </c>
      <c r="W24" s="1042" t="s">
        <v>1178</v>
      </c>
      <c r="X24" s="1205"/>
      <c r="Y24" s="1205"/>
      <c r="Z24" s="1205"/>
    </row>
    <row r="25" spans="1:26" ht="15" customHeight="1">
      <c r="A25" s="1033" t="s">
        <v>1298</v>
      </c>
      <c r="B25" s="1240">
        <v>232202</v>
      </c>
      <c r="C25" s="1240">
        <v>27252</v>
      </c>
      <c r="D25" s="1240">
        <v>259454</v>
      </c>
      <c r="E25" s="1240">
        <v>4457</v>
      </c>
      <c r="F25" s="1240">
        <v>263911</v>
      </c>
      <c r="G25" s="1240">
        <v>193828</v>
      </c>
      <c r="H25" s="1240">
        <v>16750</v>
      </c>
      <c r="I25" s="1240">
        <v>210578</v>
      </c>
      <c r="J25" s="1240">
        <v>148381</v>
      </c>
      <c r="K25" s="1240">
        <v>3140</v>
      </c>
      <c r="L25" s="1240">
        <v>261</v>
      </c>
      <c r="M25" s="1240">
        <v>1906</v>
      </c>
      <c r="N25" s="1240">
        <v>153688</v>
      </c>
      <c r="O25" s="1240">
        <v>3894</v>
      </c>
      <c r="P25" s="1240">
        <v>3335</v>
      </c>
      <c r="Q25" s="1240">
        <v>0</v>
      </c>
      <c r="R25" s="1240">
        <v>371495</v>
      </c>
      <c r="S25" s="1240">
        <v>-107584</v>
      </c>
      <c r="T25" s="1240">
        <v>41567</v>
      </c>
      <c r="U25" s="1240">
        <v>66017</v>
      </c>
      <c r="V25" s="1240">
        <v>107584</v>
      </c>
      <c r="W25" s="1043" t="s">
        <v>1298</v>
      </c>
      <c r="X25" s="1205"/>
      <c r="Y25" s="1205"/>
      <c r="Z25" s="1205"/>
    </row>
    <row r="26" spans="1:26" ht="15" customHeight="1">
      <c r="A26" s="1032" t="s">
        <v>1407</v>
      </c>
      <c r="B26" s="1035">
        <v>289600</v>
      </c>
      <c r="C26" s="1035">
        <v>27012</v>
      </c>
      <c r="D26" s="1035">
        <v>316612</v>
      </c>
      <c r="E26" s="1035">
        <v>3787</v>
      </c>
      <c r="F26" s="1035">
        <v>320399</v>
      </c>
      <c r="G26" s="1035">
        <v>247747</v>
      </c>
      <c r="H26" s="1035">
        <v>18981</v>
      </c>
      <c r="I26" s="1035">
        <v>266728</v>
      </c>
      <c r="J26" s="1035">
        <v>167000</v>
      </c>
      <c r="K26" s="1035">
        <v>4143</v>
      </c>
      <c r="L26" s="1035">
        <v>299</v>
      </c>
      <c r="M26" s="1035">
        <v>2007</v>
      </c>
      <c r="N26" s="1035">
        <v>173449</v>
      </c>
      <c r="O26" s="1035">
        <v>282</v>
      </c>
      <c r="P26" s="1035">
        <v>2082</v>
      </c>
      <c r="Q26" s="1035">
        <v>0</v>
      </c>
      <c r="R26" s="1035">
        <v>442541</v>
      </c>
      <c r="S26" s="1035">
        <v>-122142</v>
      </c>
      <c r="T26" s="1035">
        <v>43397</v>
      </c>
      <c r="U26" s="1035">
        <v>78745</v>
      </c>
      <c r="V26" s="1035">
        <v>122142</v>
      </c>
      <c r="W26" s="1042" t="s">
        <v>1407</v>
      </c>
      <c r="X26" s="1205"/>
      <c r="Y26" s="1205"/>
      <c r="Z26" s="1205"/>
    </row>
    <row r="27" spans="1:26" ht="15" customHeight="1">
      <c r="A27" s="1033" t="s">
        <v>1487</v>
      </c>
      <c r="B27" s="1240">
        <v>313068</v>
      </c>
      <c r="C27" s="1240">
        <v>35001</v>
      </c>
      <c r="D27" s="1240">
        <v>348069</v>
      </c>
      <c r="E27" s="1240">
        <v>3454</v>
      </c>
      <c r="F27" s="1240">
        <v>351523</v>
      </c>
      <c r="G27" s="1240">
        <v>274907</v>
      </c>
      <c r="H27" s="1240">
        <v>20373</v>
      </c>
      <c r="I27" s="1240">
        <v>295280</v>
      </c>
      <c r="J27" s="1240">
        <v>192921</v>
      </c>
      <c r="K27" s="1240">
        <v>4846</v>
      </c>
      <c r="L27" s="1240">
        <v>1833</v>
      </c>
      <c r="M27" s="1240">
        <v>2749</v>
      </c>
      <c r="N27" s="1240">
        <v>202349</v>
      </c>
      <c r="O27" s="1240">
        <v>654</v>
      </c>
      <c r="P27" s="1240">
        <v>3294</v>
      </c>
      <c r="Q27" s="1240">
        <v>0</v>
      </c>
      <c r="R27" s="1240">
        <v>501577</v>
      </c>
      <c r="S27" s="1240">
        <v>-150054</v>
      </c>
      <c r="T27" s="1240">
        <v>52709</v>
      </c>
      <c r="U27" s="1240">
        <v>97345</v>
      </c>
      <c r="V27" s="1240">
        <v>150054</v>
      </c>
      <c r="W27" s="1043" t="s">
        <v>1487</v>
      </c>
      <c r="X27" s="1205"/>
      <c r="Y27" s="1205"/>
      <c r="Z27" s="1205"/>
    </row>
    <row r="28" spans="1:26" ht="15" customHeight="1">
      <c r="A28" s="1032" t="s">
        <v>1539</v>
      </c>
      <c r="B28" s="1035">
        <v>316000</v>
      </c>
      <c r="C28" s="1035">
        <v>35532</v>
      </c>
      <c r="D28" s="1035">
        <v>351532</v>
      </c>
      <c r="E28" s="1035">
        <v>3985</v>
      </c>
      <c r="F28" s="1035">
        <v>355517</v>
      </c>
      <c r="G28" s="1035">
        <v>302547</v>
      </c>
      <c r="H28" s="1035">
        <v>21141</v>
      </c>
      <c r="I28" s="1035">
        <v>323688</v>
      </c>
      <c r="J28" s="1035">
        <v>197643</v>
      </c>
      <c r="K28" s="1035">
        <v>4610</v>
      </c>
      <c r="L28" s="1035">
        <v>3239</v>
      </c>
      <c r="M28" s="1035">
        <v>2532</v>
      </c>
      <c r="N28" s="1035">
        <v>208024</v>
      </c>
      <c r="O28" s="1035">
        <v>2553</v>
      </c>
      <c r="P28" s="1035">
        <v>4718</v>
      </c>
      <c r="Q28" s="1035">
        <v>0</v>
      </c>
      <c r="R28" s="1035">
        <v>538983</v>
      </c>
      <c r="S28" s="1035">
        <v>-183466</v>
      </c>
      <c r="T28" s="1035">
        <v>68414</v>
      </c>
      <c r="U28" s="1035">
        <v>115052</v>
      </c>
      <c r="V28" s="1035">
        <v>183466</v>
      </c>
      <c r="W28" s="1042" t="s">
        <v>1539</v>
      </c>
      <c r="X28" s="1205"/>
      <c r="Y28" s="1205"/>
      <c r="Z28" s="1205"/>
    </row>
    <row r="29" spans="1:26" ht="15" customHeight="1">
      <c r="A29" s="1033" t="s">
        <v>1810</v>
      </c>
      <c r="B29" s="1240">
        <v>346000</v>
      </c>
      <c r="C29" s="1240">
        <v>43000</v>
      </c>
      <c r="D29" s="1240">
        <v>389000</v>
      </c>
      <c r="E29" s="1240">
        <v>3192</v>
      </c>
      <c r="F29" s="1240">
        <v>392192</v>
      </c>
      <c r="G29" s="1240">
        <v>340572</v>
      </c>
      <c r="H29" s="1240">
        <v>26055</v>
      </c>
      <c r="I29" s="1240">
        <v>366627</v>
      </c>
      <c r="J29" s="1240">
        <v>209977</v>
      </c>
      <c r="K29" s="1240">
        <v>6336</v>
      </c>
      <c r="L29" s="1240">
        <v>3040</v>
      </c>
      <c r="M29" s="1240">
        <v>2595</v>
      </c>
      <c r="N29" s="1240">
        <v>221948</v>
      </c>
      <c r="O29" s="1240">
        <v>136</v>
      </c>
      <c r="P29" s="1240">
        <v>4789</v>
      </c>
      <c r="Q29" s="1240">
        <v>0</v>
      </c>
      <c r="R29" s="1240">
        <v>593500</v>
      </c>
      <c r="S29" s="1240">
        <v>-201308</v>
      </c>
      <c r="T29" s="1240">
        <v>77020</v>
      </c>
      <c r="U29" s="1240">
        <v>124288</v>
      </c>
      <c r="V29" s="1240">
        <v>201308</v>
      </c>
      <c r="W29" s="1043" t="s">
        <v>1810</v>
      </c>
      <c r="X29" s="1205"/>
      <c r="Y29" s="1205"/>
      <c r="Z29" s="1205"/>
    </row>
    <row r="30" spans="1:26" ht="15" customHeight="1">
      <c r="A30" s="1032" t="s">
        <v>2056</v>
      </c>
      <c r="B30" s="1035">
        <v>388000</v>
      </c>
      <c r="C30" s="1035">
        <v>45000</v>
      </c>
      <c r="D30" s="1035">
        <v>433000</v>
      </c>
      <c r="E30" s="1035">
        <v>3263</v>
      </c>
      <c r="F30" s="1035">
        <v>436263</v>
      </c>
      <c r="G30" s="1035">
        <v>390085</v>
      </c>
      <c r="H30" s="1035">
        <v>24198</v>
      </c>
      <c r="I30" s="1035">
        <v>414283</v>
      </c>
      <c r="J30" s="1035">
        <v>227566</v>
      </c>
      <c r="K30" s="1035">
        <v>7436</v>
      </c>
      <c r="L30" s="1035">
        <v>3732</v>
      </c>
      <c r="M30" s="1035">
        <v>2873</v>
      </c>
      <c r="N30" s="1035">
        <v>241607</v>
      </c>
      <c r="O30" s="1035">
        <v>1097</v>
      </c>
      <c r="P30" s="1035">
        <v>3520</v>
      </c>
      <c r="Q30" s="1035">
        <v>0</v>
      </c>
      <c r="R30" s="1035">
        <v>660507</v>
      </c>
      <c r="S30" s="1035">
        <v>-224244</v>
      </c>
      <c r="T30" s="1035">
        <v>83819</v>
      </c>
      <c r="U30" s="1035">
        <v>140425</v>
      </c>
      <c r="V30" s="1035">
        <v>224244</v>
      </c>
      <c r="W30" s="1042" t="s">
        <v>2056</v>
      </c>
      <c r="X30" s="1205"/>
      <c r="Y30" s="1205"/>
      <c r="Z30" s="1205"/>
    </row>
    <row r="31" spans="1:26" s="1205" customFormat="1" ht="15" customHeight="1">
      <c r="A31" s="1033" t="s">
        <v>2188</v>
      </c>
      <c r="B31" s="1240">
        <v>429000</v>
      </c>
      <c r="C31" s="1240">
        <v>49000</v>
      </c>
      <c r="D31" s="1240">
        <v>478000</v>
      </c>
      <c r="E31" s="1240">
        <v>3500</v>
      </c>
      <c r="F31" s="1240">
        <v>481500</v>
      </c>
      <c r="G31" s="1240">
        <v>434057</v>
      </c>
      <c r="H31" s="1240">
        <v>19170</v>
      </c>
      <c r="I31" s="1240">
        <v>453228</v>
      </c>
      <c r="J31" s="1240">
        <v>245000</v>
      </c>
      <c r="K31" s="1240">
        <v>7853</v>
      </c>
      <c r="L31" s="1240">
        <v>4378</v>
      </c>
      <c r="M31" s="1240">
        <v>2775</v>
      </c>
      <c r="N31" s="1240">
        <v>260007</v>
      </c>
      <c r="O31" s="1240">
        <v>-1234</v>
      </c>
      <c r="P31" s="1240">
        <v>2417</v>
      </c>
      <c r="Q31" s="1240">
        <v>0</v>
      </c>
      <c r="R31" s="1240">
        <v>714418</v>
      </c>
      <c r="S31" s="1240">
        <v>-232918</v>
      </c>
      <c r="T31" s="1240">
        <v>76293</v>
      </c>
      <c r="U31" s="1240">
        <v>156625</v>
      </c>
      <c r="V31" s="1240">
        <v>232918</v>
      </c>
      <c r="W31" s="1043" t="s">
        <v>2188</v>
      </c>
    </row>
    <row r="32" spans="1:26" s="1205" customFormat="1" ht="15" customHeight="1">
      <c r="A32" s="1032" t="s">
        <v>2439</v>
      </c>
      <c r="B32" s="1035">
        <v>478000</v>
      </c>
      <c r="C32" s="1035">
        <v>40000</v>
      </c>
      <c r="D32" s="1035">
        <f>B32+C32</f>
        <v>518000</v>
      </c>
      <c r="E32" s="1035">
        <v>4400</v>
      </c>
      <c r="F32" s="1035">
        <f>D32+E32</f>
        <v>522400</v>
      </c>
      <c r="G32" s="1035">
        <v>482876</v>
      </c>
      <c r="H32" s="1035">
        <v>23126</v>
      </c>
      <c r="I32" s="1035">
        <f>G32+H32</f>
        <v>506002</v>
      </c>
      <c r="J32" s="1035">
        <v>216000</v>
      </c>
      <c r="K32" s="1035">
        <v>8371</v>
      </c>
      <c r="L32" s="1035">
        <v>4653</v>
      </c>
      <c r="M32" s="1035">
        <v>2575</v>
      </c>
      <c r="N32" s="1035">
        <f>J32+K32+L32+M32</f>
        <v>231599</v>
      </c>
      <c r="O32" s="1035">
        <v>1008</v>
      </c>
      <c r="P32" s="1035">
        <v>5391</v>
      </c>
      <c r="Q32" s="1035">
        <v>0</v>
      </c>
      <c r="R32" s="1035">
        <f>I32+N32+O32+P32+Q32</f>
        <v>744000</v>
      </c>
      <c r="S32" s="1035">
        <f>F32-R32</f>
        <v>-221600</v>
      </c>
      <c r="T32" s="1035">
        <v>104600</v>
      </c>
      <c r="U32" s="1035">
        <v>117000</v>
      </c>
      <c r="V32" s="1035">
        <f>T32+U32</f>
        <v>221600</v>
      </c>
      <c r="W32" s="1408" t="s">
        <v>2439</v>
      </c>
    </row>
    <row r="33" spans="1:26" s="1397" customFormat="1" ht="15" customHeight="1">
      <c r="A33" s="1033" t="s">
        <v>2664</v>
      </c>
      <c r="B33" s="1240">
        <v>523000</v>
      </c>
      <c r="C33" s="1240">
        <v>65000</v>
      </c>
      <c r="D33" s="1240">
        <f>B33+C33</f>
        <v>588000</v>
      </c>
      <c r="E33" s="1240">
        <v>5000</v>
      </c>
      <c r="F33" s="1240">
        <f>D33+E33</f>
        <v>593000</v>
      </c>
      <c r="G33" s="1240">
        <v>513362</v>
      </c>
      <c r="H33" s="1240">
        <v>54176</v>
      </c>
      <c r="I33" s="1240">
        <f>G33+H33</f>
        <v>567538</v>
      </c>
      <c r="J33" s="1240">
        <v>200000</v>
      </c>
      <c r="K33" s="1240">
        <v>7747</v>
      </c>
      <c r="L33" s="1240">
        <v>4572</v>
      </c>
      <c r="M33" s="1240">
        <v>2543</v>
      </c>
      <c r="N33" s="1240">
        <f>J33+K33+L33+M33</f>
        <v>214862</v>
      </c>
      <c r="O33" s="1240">
        <v>291</v>
      </c>
      <c r="P33" s="1240">
        <v>5891</v>
      </c>
      <c r="Q33" s="1240">
        <v>0</v>
      </c>
      <c r="R33" s="1240">
        <f>I33+N33+O33+P33+Q33</f>
        <v>788582</v>
      </c>
      <c r="S33" s="1240">
        <f>F33-R33</f>
        <v>-195582</v>
      </c>
      <c r="T33" s="1240">
        <v>58000</v>
      </c>
      <c r="U33" s="1240">
        <v>137000</v>
      </c>
      <c r="V33" s="1240">
        <f>T33+U33</f>
        <v>195000</v>
      </c>
      <c r="W33" s="1043" t="s">
        <v>2664</v>
      </c>
    </row>
    <row r="34" spans="1:26" s="1205" customFormat="1" ht="11.25" customHeight="1" thickBot="1">
      <c r="A34" s="1729" t="s">
        <v>2958</v>
      </c>
      <c r="B34" s="1727">
        <v>629000</v>
      </c>
      <c r="C34" s="1727">
        <v>66000</v>
      </c>
      <c r="D34" s="1727">
        <f>B34+C34</f>
        <v>695000</v>
      </c>
      <c r="E34" s="1727">
        <v>6150</v>
      </c>
      <c r="F34" s="1727">
        <f>D34+E34</f>
        <v>701150</v>
      </c>
      <c r="G34" s="1727">
        <v>551087</v>
      </c>
      <c r="H34" s="1727">
        <v>54653</v>
      </c>
      <c r="I34" s="1727">
        <f>G34+H34</f>
        <v>605740</v>
      </c>
      <c r="J34" s="1727">
        <v>300000</v>
      </c>
      <c r="K34" s="1727">
        <v>8159</v>
      </c>
      <c r="L34" s="1727">
        <v>5350</v>
      </c>
      <c r="M34" s="1727">
        <v>2567</v>
      </c>
      <c r="N34" s="1727">
        <f>J34+K34+L34+M34</f>
        <v>316076</v>
      </c>
      <c r="O34" s="1727">
        <v>2787</v>
      </c>
      <c r="P34" s="1727">
        <v>13398</v>
      </c>
      <c r="Q34" s="1727">
        <v>0</v>
      </c>
      <c r="R34" s="1727">
        <f>I34+N34+O34+P34+Q34</f>
        <v>938001</v>
      </c>
      <c r="S34" s="1727">
        <f>F34-R34</f>
        <v>-236851</v>
      </c>
      <c r="T34" s="1727">
        <v>109850</v>
      </c>
      <c r="U34" s="1727">
        <v>127000</v>
      </c>
      <c r="V34" s="1727">
        <f>T34+U34</f>
        <v>236850</v>
      </c>
      <c r="W34" s="1728" t="s">
        <v>2958</v>
      </c>
    </row>
    <row r="35" spans="1:26" ht="15">
      <c r="A35" s="1026" t="s">
        <v>1333</v>
      </c>
      <c r="B35" s="1027" t="s">
        <v>2092</v>
      </c>
      <c r="C35" s="1020"/>
      <c r="D35" s="1020"/>
      <c r="E35" s="1020"/>
      <c r="F35" s="1020"/>
      <c r="G35" s="1028" t="s">
        <v>2093</v>
      </c>
      <c r="H35" s="1029"/>
      <c r="I35" s="1020"/>
      <c r="J35" s="818"/>
      <c r="K35" s="818"/>
      <c r="L35" s="1030"/>
      <c r="M35" s="1030"/>
      <c r="N35" s="1030"/>
      <c r="O35" s="1030"/>
      <c r="P35" s="1030"/>
      <c r="Q35" s="1030"/>
      <c r="R35" s="1030"/>
      <c r="S35" s="1030"/>
      <c r="T35" s="1030"/>
      <c r="U35" s="1030"/>
      <c r="V35" s="1031"/>
      <c r="W35" s="1030"/>
      <c r="X35" s="1205"/>
      <c r="Y35" s="1205"/>
      <c r="Z35" s="1205"/>
    </row>
    <row r="36" spans="1:26">
      <c r="A36" s="1205"/>
      <c r="B36" s="1205"/>
      <c r="C36" s="1205"/>
      <c r="D36" s="1205"/>
      <c r="E36" s="1205"/>
      <c r="F36" s="1205"/>
      <c r="G36" s="1205"/>
      <c r="H36" s="1205"/>
      <c r="I36" s="1205"/>
      <c r="J36" s="1205"/>
      <c r="K36" s="1205"/>
      <c r="L36" s="1205"/>
      <c r="M36" s="1205"/>
      <c r="N36" s="943"/>
      <c r="O36" s="943"/>
      <c r="P36" s="1205"/>
      <c r="Q36" s="1205"/>
      <c r="R36" s="1205"/>
      <c r="S36" s="1205"/>
      <c r="T36" s="1205"/>
      <c r="U36" s="1205"/>
      <c r="V36" s="1205"/>
      <c r="W36" s="1205"/>
      <c r="X36" s="1205"/>
      <c r="Y36" s="1205"/>
      <c r="Z36" s="1205"/>
    </row>
    <row r="37" spans="1:26">
      <c r="A37" s="1205"/>
      <c r="B37" s="1205"/>
      <c r="C37" s="1205"/>
      <c r="D37" s="1205"/>
      <c r="E37" s="1205"/>
      <c r="F37" s="1205"/>
      <c r="G37" s="1205"/>
      <c r="H37" s="1205"/>
      <c r="I37" s="1205"/>
      <c r="J37" s="1205"/>
      <c r="K37" s="1205"/>
      <c r="L37" s="943"/>
      <c r="M37" s="943"/>
      <c r="N37" s="1205"/>
      <c r="O37" s="1205"/>
      <c r="P37" s="1205"/>
      <c r="Q37" s="1205"/>
      <c r="R37" s="1205"/>
      <c r="S37" s="1205"/>
      <c r="T37" s="1205"/>
      <c r="U37" s="1205"/>
      <c r="V37" s="1205"/>
      <c r="W37" s="1205"/>
      <c r="X37" s="1205"/>
      <c r="Y37" s="1205"/>
      <c r="Z37" s="1205"/>
    </row>
    <row r="38" spans="1:26">
      <c r="A38" s="1205"/>
      <c r="B38" s="1205"/>
      <c r="C38" s="1205"/>
      <c r="D38" s="1205"/>
      <c r="E38" s="1205"/>
      <c r="F38" s="1205"/>
      <c r="G38" s="1205"/>
      <c r="H38" s="1205"/>
      <c r="I38" s="1205"/>
      <c r="J38" s="1205"/>
      <c r="K38" s="1205"/>
      <c r="L38" s="1205"/>
      <c r="M38" s="1205"/>
      <c r="N38" s="1205"/>
      <c r="O38" s="1205"/>
      <c r="P38" s="1205"/>
      <c r="Q38" s="1205"/>
      <c r="R38" s="1205"/>
      <c r="S38" s="1205"/>
      <c r="T38" s="1205"/>
      <c r="U38" s="1205"/>
      <c r="V38" s="1205"/>
      <c r="W38" s="1205"/>
    </row>
  </sheetData>
  <customSheetViews>
    <customSheetView guid="{A374FC54-96E3-45F0-9C12-8450400C12DF}">
      <selection activeCell="Z13" sqref="Z13"/>
      <pageMargins left="0.7" right="0.7" top="0.75" bottom="0.75" header="0.3" footer="0.3"/>
      <pageSetup paperSize="132" firstPageNumber="112" orientation="portrait" useFirstPageNumber="1" r:id="rId1"/>
      <headerFooter differentFirst="1">
        <oddFooter>&amp;C&amp;"Times New Roman,Regular"&amp;8&amp;P</oddFooter>
        <evenFooter>&amp;C&amp;8&amp;P</evenFooter>
        <firstFooter>&amp;C&amp;8&amp;P</firstFooter>
      </headerFooter>
    </customSheetView>
  </customSheetViews>
  <mergeCells count="10">
    <mergeCell ref="A4:A6"/>
    <mergeCell ref="B4:F4"/>
    <mergeCell ref="G4:R4"/>
    <mergeCell ref="S4:S5"/>
    <mergeCell ref="T4:V4"/>
    <mergeCell ref="I1:L1"/>
    <mergeCell ref="M1:R1"/>
    <mergeCell ref="W4:W6"/>
    <mergeCell ref="M2:N2"/>
    <mergeCell ref="J2:L2"/>
  </mergeCells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>
  <sheetPr codeName="Sheet39"/>
  <dimension ref="B1:K39"/>
  <sheetViews>
    <sheetView zoomScale="120" zoomScaleNormal="120" workbookViewId="0">
      <selection activeCell="P62" sqref="P62"/>
    </sheetView>
  </sheetViews>
  <sheetFormatPr defaultRowHeight="12.75"/>
  <cols>
    <col min="1" max="1" width="5.140625" customWidth="1"/>
    <col min="2" max="2" width="11.85546875" customWidth="1"/>
    <col min="3" max="3" width="3.85546875" customWidth="1"/>
    <col min="4" max="4" width="15" customWidth="1"/>
    <col min="5" max="5" width="5.85546875" customWidth="1"/>
    <col min="6" max="6" width="10.42578125" customWidth="1"/>
    <col min="7" max="7" width="4" customWidth="1"/>
    <col min="8" max="8" width="19.5703125" customWidth="1"/>
  </cols>
  <sheetData>
    <row r="1" spans="2:8" ht="15.75">
      <c r="B1" s="2728" t="s">
        <v>327</v>
      </c>
      <c r="C1" s="2728"/>
      <c r="D1" s="2728"/>
      <c r="E1" s="2728"/>
      <c r="F1" s="2728"/>
      <c r="G1" s="2728"/>
      <c r="H1" s="2728"/>
    </row>
    <row r="2" spans="2:8" s="4" customFormat="1" ht="12">
      <c r="B2" s="2729" t="s">
        <v>1268</v>
      </c>
      <c r="C2" s="2729"/>
      <c r="D2" s="2729"/>
      <c r="E2" s="2729"/>
      <c r="F2" s="2729"/>
      <c r="G2" s="2729"/>
      <c r="H2" s="2729"/>
    </row>
    <row r="3" spans="2:8">
      <c r="B3" s="167"/>
      <c r="C3" s="167"/>
      <c r="D3" s="167"/>
      <c r="E3" s="167"/>
      <c r="F3" s="167"/>
      <c r="G3" s="167"/>
      <c r="H3" s="167"/>
    </row>
    <row r="4" spans="2:8">
      <c r="B4" s="867"/>
      <c r="C4" s="867"/>
      <c r="D4" s="867"/>
      <c r="E4" s="867"/>
      <c r="F4" s="867"/>
      <c r="G4" s="867"/>
      <c r="H4" s="867"/>
    </row>
    <row r="5" spans="2:8" ht="15" customHeight="1">
      <c r="B5" s="168" t="s">
        <v>386</v>
      </c>
      <c r="C5" s="169" t="s">
        <v>387</v>
      </c>
      <c r="D5" s="867" t="s">
        <v>388</v>
      </c>
      <c r="E5" s="867"/>
      <c r="F5" s="867" t="s">
        <v>389</v>
      </c>
      <c r="G5" s="867" t="s">
        <v>387</v>
      </c>
      <c r="H5" s="867" t="s">
        <v>390</v>
      </c>
    </row>
    <row r="6" spans="2:8" ht="15" customHeight="1">
      <c r="B6" s="867"/>
      <c r="C6" s="169" t="s">
        <v>387</v>
      </c>
      <c r="D6" s="169" t="s">
        <v>391</v>
      </c>
      <c r="E6" s="169"/>
      <c r="F6" s="169"/>
      <c r="G6" s="169" t="s">
        <v>387</v>
      </c>
      <c r="H6" s="169" t="s">
        <v>392</v>
      </c>
    </row>
    <row r="7" spans="2:8" ht="15" customHeight="1">
      <c r="B7" s="867"/>
      <c r="C7" s="867"/>
      <c r="D7" s="169"/>
      <c r="E7" s="169"/>
      <c r="F7" s="169"/>
      <c r="G7" s="169"/>
      <c r="H7" s="169"/>
    </row>
    <row r="8" spans="2:8" ht="15" customHeight="1">
      <c r="B8" s="169" t="s">
        <v>393</v>
      </c>
      <c r="C8" s="169" t="s">
        <v>387</v>
      </c>
      <c r="D8" s="169" t="s">
        <v>394</v>
      </c>
      <c r="E8" s="169"/>
      <c r="F8" s="169" t="s">
        <v>395</v>
      </c>
      <c r="G8" s="169" t="s">
        <v>387</v>
      </c>
      <c r="H8" s="169" t="s">
        <v>396</v>
      </c>
    </row>
    <row r="9" spans="2:8" ht="15" customHeight="1">
      <c r="B9" s="867"/>
      <c r="C9" s="169"/>
      <c r="D9" s="169"/>
      <c r="E9" s="169"/>
      <c r="F9" s="169"/>
      <c r="G9" s="169" t="s">
        <v>387</v>
      </c>
      <c r="H9" s="169" t="s">
        <v>398</v>
      </c>
    </row>
    <row r="10" spans="2:8" ht="15" customHeight="1">
      <c r="B10" s="867"/>
      <c r="C10" s="169"/>
      <c r="D10" s="169"/>
      <c r="E10" s="169"/>
      <c r="F10" s="169"/>
      <c r="G10" s="169"/>
      <c r="H10" s="169"/>
    </row>
    <row r="11" spans="2:8" ht="15" customHeight="1">
      <c r="B11" s="169" t="s">
        <v>399</v>
      </c>
      <c r="C11" s="169" t="s">
        <v>387</v>
      </c>
      <c r="D11" s="169" t="s">
        <v>400</v>
      </c>
      <c r="E11" s="169"/>
      <c r="F11" s="169" t="s">
        <v>401</v>
      </c>
      <c r="G11" s="169" t="s">
        <v>387</v>
      </c>
      <c r="H11" s="169" t="s">
        <v>402</v>
      </c>
    </row>
    <row r="12" spans="2:8" ht="15" customHeight="1">
      <c r="B12" s="169" t="s">
        <v>403</v>
      </c>
      <c r="C12" s="169" t="s">
        <v>387</v>
      </c>
      <c r="D12" s="169" t="s">
        <v>404</v>
      </c>
      <c r="E12" s="169"/>
      <c r="F12" s="169"/>
      <c r="G12" s="169" t="s">
        <v>387</v>
      </c>
      <c r="H12" s="169" t="s">
        <v>405</v>
      </c>
    </row>
    <row r="13" spans="2:8" ht="15" customHeight="1">
      <c r="B13" s="169"/>
      <c r="C13" s="169"/>
      <c r="D13" s="169"/>
      <c r="E13" s="169"/>
      <c r="F13" s="169"/>
      <c r="G13" s="169"/>
      <c r="H13" s="169"/>
    </row>
    <row r="14" spans="2:8" ht="15" customHeight="1">
      <c r="B14" s="169"/>
      <c r="C14" s="169"/>
      <c r="D14" s="169"/>
      <c r="E14" s="169"/>
      <c r="F14" s="169" t="s">
        <v>406</v>
      </c>
      <c r="G14" s="169" t="s">
        <v>387</v>
      </c>
      <c r="H14" s="169" t="s">
        <v>407</v>
      </c>
    </row>
    <row r="15" spans="2:8" ht="15" customHeight="1">
      <c r="B15" s="169" t="s">
        <v>408</v>
      </c>
      <c r="C15" s="169" t="s">
        <v>387</v>
      </c>
      <c r="D15" s="169" t="s">
        <v>409</v>
      </c>
      <c r="E15" s="169"/>
      <c r="F15" s="169"/>
      <c r="G15" s="169" t="s">
        <v>387</v>
      </c>
      <c r="H15" s="169" t="s">
        <v>410</v>
      </c>
    </row>
    <row r="16" spans="2:8" ht="15" customHeight="1">
      <c r="B16" s="169"/>
      <c r="C16" s="169" t="s">
        <v>387</v>
      </c>
      <c r="D16" s="169" t="s">
        <v>411</v>
      </c>
      <c r="E16" s="169"/>
      <c r="F16" s="169"/>
      <c r="G16" s="169"/>
      <c r="H16" s="169"/>
    </row>
    <row r="17" spans="2:11" ht="15" customHeight="1">
      <c r="B17" s="169"/>
      <c r="C17" s="169"/>
      <c r="E17" s="169"/>
      <c r="F17" s="169" t="s">
        <v>412</v>
      </c>
      <c r="G17" s="169" t="s">
        <v>387</v>
      </c>
      <c r="H17" s="169" t="s">
        <v>413</v>
      </c>
    </row>
    <row r="18" spans="2:11" ht="15" customHeight="1">
      <c r="B18" s="170" t="s">
        <v>414</v>
      </c>
      <c r="C18" s="169" t="s">
        <v>387</v>
      </c>
      <c r="D18" s="169" t="s">
        <v>417</v>
      </c>
      <c r="E18" s="169"/>
      <c r="F18" s="169" t="s">
        <v>415</v>
      </c>
      <c r="G18" s="169" t="s">
        <v>387</v>
      </c>
      <c r="H18" s="169" t="s">
        <v>416</v>
      </c>
    </row>
    <row r="19" spans="2:11" ht="15" customHeight="1">
      <c r="B19" s="2"/>
      <c r="C19" s="169" t="s">
        <v>387</v>
      </c>
      <c r="D19" s="170" t="s">
        <v>1166</v>
      </c>
      <c r="E19" s="169"/>
      <c r="F19" s="169" t="s">
        <v>474</v>
      </c>
      <c r="G19" s="169" t="s">
        <v>387</v>
      </c>
      <c r="H19" s="169" t="s">
        <v>418</v>
      </c>
    </row>
    <row r="20" spans="2:11" ht="15" customHeight="1">
      <c r="B20" s="169" t="s">
        <v>419</v>
      </c>
      <c r="C20" s="169" t="s">
        <v>387</v>
      </c>
      <c r="D20" s="169" t="s">
        <v>420</v>
      </c>
      <c r="E20" s="169"/>
      <c r="F20" s="169" t="s">
        <v>421</v>
      </c>
      <c r="G20" s="169" t="s">
        <v>387</v>
      </c>
      <c r="H20" s="169" t="s">
        <v>422</v>
      </c>
    </row>
    <row r="21" spans="2:11" ht="15" customHeight="1">
      <c r="B21" s="169"/>
      <c r="C21" s="169" t="s">
        <v>387</v>
      </c>
      <c r="D21" s="169" t="s">
        <v>423</v>
      </c>
      <c r="E21" s="169"/>
      <c r="F21" s="169" t="s">
        <v>424</v>
      </c>
      <c r="G21" s="169" t="s">
        <v>387</v>
      </c>
      <c r="H21" s="169" t="s">
        <v>425</v>
      </c>
    </row>
    <row r="22" spans="2:11" ht="15" customHeight="1">
      <c r="B22" s="169"/>
      <c r="C22" s="169" t="s">
        <v>387</v>
      </c>
      <c r="D22" s="169" t="s">
        <v>426</v>
      </c>
      <c r="E22" s="169"/>
      <c r="F22" s="169"/>
      <c r="G22" s="169" t="s">
        <v>387</v>
      </c>
      <c r="H22" s="169" t="s">
        <v>429</v>
      </c>
      <c r="K22" s="682"/>
    </row>
    <row r="23" spans="2:11" ht="15" customHeight="1">
      <c r="B23" s="169"/>
      <c r="C23" s="169" t="s">
        <v>387</v>
      </c>
      <c r="D23" s="169" t="s">
        <v>430</v>
      </c>
      <c r="E23" s="169"/>
      <c r="F23" s="169"/>
      <c r="G23" s="169"/>
      <c r="H23" s="169"/>
    </row>
    <row r="24" spans="2:11" ht="15" customHeight="1">
      <c r="B24" s="169"/>
      <c r="C24" s="169"/>
      <c r="D24" s="169"/>
      <c r="E24" s="169"/>
      <c r="F24" s="169" t="s">
        <v>472</v>
      </c>
      <c r="G24" s="169" t="s">
        <v>387</v>
      </c>
      <c r="H24" s="169" t="s">
        <v>434</v>
      </c>
    </row>
    <row r="25" spans="2:11" ht="15" customHeight="1">
      <c r="B25" s="169" t="s">
        <v>435</v>
      </c>
      <c r="C25" s="169" t="s">
        <v>387</v>
      </c>
      <c r="D25" s="169" t="s">
        <v>436</v>
      </c>
      <c r="E25" s="169"/>
      <c r="F25" s="169"/>
      <c r="G25" s="169" t="s">
        <v>387</v>
      </c>
      <c r="H25" s="169" t="s">
        <v>437</v>
      </c>
    </row>
    <row r="26" spans="2:11" ht="15" customHeight="1">
      <c r="B26" s="169"/>
      <c r="C26" s="169" t="s">
        <v>387</v>
      </c>
      <c r="D26" s="169" t="s">
        <v>438</v>
      </c>
      <c r="E26" s="169"/>
      <c r="F26" s="169"/>
      <c r="G26" s="169" t="s">
        <v>387</v>
      </c>
      <c r="H26" s="169" t="s">
        <v>439</v>
      </c>
    </row>
    <row r="27" spans="2:11" ht="15" customHeight="1">
      <c r="B27" s="169"/>
      <c r="C27" s="171" t="s">
        <v>387</v>
      </c>
      <c r="D27" s="171" t="s">
        <v>440</v>
      </c>
      <c r="E27" s="169"/>
      <c r="F27" s="169"/>
      <c r="G27" s="169"/>
      <c r="H27" s="169"/>
    </row>
    <row r="28" spans="2:11" ht="15" customHeight="1">
      <c r="B28" s="169"/>
      <c r="C28" s="169"/>
      <c r="D28" s="169"/>
      <c r="E28" s="169"/>
      <c r="F28" s="169" t="s">
        <v>441</v>
      </c>
      <c r="G28" s="169" t="s">
        <v>387</v>
      </c>
      <c r="H28" s="169" t="s">
        <v>442</v>
      </c>
    </row>
    <row r="29" spans="2:11" ht="15" customHeight="1">
      <c r="B29" s="169" t="s">
        <v>443</v>
      </c>
      <c r="C29" s="169" t="s">
        <v>387</v>
      </c>
      <c r="D29" s="169" t="s">
        <v>444</v>
      </c>
      <c r="E29" s="169"/>
      <c r="F29" s="169" t="s">
        <v>445</v>
      </c>
      <c r="G29" s="169" t="s">
        <v>387</v>
      </c>
      <c r="H29" s="169" t="s">
        <v>446</v>
      </c>
    </row>
    <row r="30" spans="2:11" ht="15" customHeight="1">
      <c r="B30" s="169"/>
      <c r="C30" s="169" t="s">
        <v>387</v>
      </c>
      <c r="D30" s="169" t="s">
        <v>447</v>
      </c>
      <c r="E30" s="169"/>
      <c r="F30" s="169"/>
      <c r="G30" s="169" t="s">
        <v>387</v>
      </c>
      <c r="H30" s="169" t="s">
        <v>448</v>
      </c>
    </row>
    <row r="31" spans="2:11" ht="15" customHeight="1">
      <c r="B31" s="169"/>
      <c r="C31" s="169"/>
      <c r="D31" s="169"/>
      <c r="E31" s="169"/>
      <c r="F31" s="169"/>
      <c r="G31" s="169" t="s">
        <v>387</v>
      </c>
      <c r="H31" s="169" t="s">
        <v>473</v>
      </c>
    </row>
    <row r="32" spans="2:11" ht="15" customHeight="1">
      <c r="B32" s="169" t="s">
        <v>449</v>
      </c>
      <c r="C32" s="169" t="s">
        <v>387</v>
      </c>
      <c r="D32" s="169" t="s">
        <v>450</v>
      </c>
      <c r="E32" s="169"/>
      <c r="F32" s="169"/>
      <c r="G32" s="169" t="s">
        <v>387</v>
      </c>
      <c r="H32" s="169" t="s">
        <v>326</v>
      </c>
    </row>
    <row r="33" spans="2:8" ht="15" customHeight="1">
      <c r="B33" s="169"/>
      <c r="C33" s="169" t="s">
        <v>387</v>
      </c>
      <c r="D33" s="169" t="s">
        <v>451</v>
      </c>
      <c r="E33" s="169"/>
    </row>
    <row r="34" spans="2:8" ht="15" customHeight="1">
      <c r="B34" s="169"/>
      <c r="C34" s="169" t="s">
        <v>387</v>
      </c>
      <c r="D34" s="169" t="s">
        <v>454</v>
      </c>
      <c r="E34" s="169"/>
      <c r="F34" s="169" t="s">
        <v>452</v>
      </c>
      <c r="G34" s="169" t="s">
        <v>387</v>
      </c>
      <c r="H34" s="169" t="s">
        <v>453</v>
      </c>
    </row>
    <row r="35" spans="2:8" ht="15" customHeight="1">
      <c r="B35" s="169"/>
      <c r="C35" s="169"/>
      <c r="D35" s="169"/>
      <c r="E35" s="169"/>
      <c r="F35" s="169" t="s">
        <v>324</v>
      </c>
      <c r="G35" s="169" t="s">
        <v>387</v>
      </c>
      <c r="H35" s="169" t="s">
        <v>325</v>
      </c>
    </row>
    <row r="36" spans="2:8" ht="15" customHeight="1">
      <c r="B36" s="169" t="s">
        <v>455</v>
      </c>
      <c r="C36" s="169" t="s">
        <v>387</v>
      </c>
      <c r="D36" s="169" t="s">
        <v>456</v>
      </c>
      <c r="E36" s="169"/>
      <c r="F36" s="169" t="s">
        <v>704</v>
      </c>
      <c r="G36" s="169" t="s">
        <v>387</v>
      </c>
      <c r="H36" s="169" t="s">
        <v>323</v>
      </c>
    </row>
    <row r="37" spans="2:8" ht="15" customHeight="1" thickBot="1">
      <c r="B37" s="298"/>
      <c r="C37" s="298"/>
      <c r="D37" s="299"/>
      <c r="E37" s="299"/>
      <c r="F37" s="299"/>
      <c r="G37" s="299"/>
      <c r="H37" s="299"/>
    </row>
    <row r="38" spans="2:8" ht="15" customHeight="1">
      <c r="B38" s="2730" t="s">
        <v>1269</v>
      </c>
      <c r="C38" s="2730"/>
      <c r="D38" s="2730"/>
      <c r="E38" s="2730"/>
      <c r="F38" s="2730"/>
      <c r="G38" s="2730"/>
      <c r="H38" s="2730"/>
    </row>
    <row r="39" spans="2:8">
      <c r="B39" s="2"/>
      <c r="C39" s="2"/>
      <c r="D39" s="2"/>
      <c r="E39" s="2"/>
      <c r="F39" s="2"/>
      <c r="G39" s="2"/>
      <c r="H39" s="2"/>
    </row>
  </sheetData>
  <customSheetViews>
    <customSheetView guid="{A374FC54-96E3-45F0-9C12-8450400C12DF}" topLeftCell="A18">
      <selection activeCell="K40" sqref="K40"/>
      <pageMargins left="0.70866141732283505" right="0.70866141732283505" top="0.74803149606299202" bottom="0.74803149606299202" header="0.31496062992126" footer="0.31496062992126"/>
      <pageSetup paperSize="132" firstPageNumber="114" orientation="portrait" useFirstPageNumber="1" r:id="rId1"/>
      <headerFooter differentFirst="1">
        <oddFooter>&amp;C&amp;"Times New Roman,Regular"&amp;8&amp;P</oddFooter>
        <firstFooter>&amp;C&amp;"Times New Roman,Regular"&amp;8 114</firstFooter>
      </headerFooter>
    </customSheetView>
  </customSheetViews>
  <mergeCells count="3">
    <mergeCell ref="B1:H1"/>
    <mergeCell ref="B2:H2"/>
    <mergeCell ref="B38:H38"/>
  </mergeCells>
  <pageMargins left="0.62992125984252001" right="0.511811023622047" top="0.31496062992126" bottom="2.5590551E-2" header="0" footer="6.4960630000000005E-2"/>
  <pageSetup paperSize="448" orientation="portrait" r:id="rId2"/>
  <headerFooter differentFirst="1" alignWithMargins="0">
    <oddFooter>&amp;C&amp;"Times New Roman,Regular"&amp;8&amp;P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45</vt:i4>
      </vt:variant>
      <vt:variant>
        <vt:lpstr>Named Ranges</vt:lpstr>
      </vt:variant>
      <vt:variant>
        <vt:i4>8</vt:i4>
      </vt:variant>
    </vt:vector>
  </HeadingPairs>
  <TitlesOfParts>
    <vt:vector size="53" baseType="lpstr">
      <vt:lpstr>Cover Page</vt:lpstr>
      <vt:lpstr>Contents</vt:lpstr>
      <vt:lpstr>Table IA</vt:lpstr>
      <vt:lpstr>Table IB</vt:lpstr>
      <vt:lpstr>TableIIA</vt:lpstr>
      <vt:lpstr>TableIIB</vt:lpstr>
      <vt:lpstr>TableIIC </vt:lpstr>
      <vt:lpstr>Table IID</vt:lpstr>
      <vt:lpstr>Table IIE</vt:lpstr>
      <vt:lpstr>Table IIF</vt:lpstr>
      <vt:lpstr>Table IIG</vt:lpstr>
      <vt:lpstr>Table III A</vt:lpstr>
      <vt:lpstr>Table IIIB</vt:lpstr>
      <vt:lpstr>Table IV</vt:lpstr>
      <vt:lpstr>Table V</vt:lpstr>
      <vt:lpstr>Table VIA</vt:lpstr>
      <vt:lpstr>Table VIB</vt:lpstr>
      <vt:lpstr>Table VII</vt:lpstr>
      <vt:lpstr>Table VIII</vt:lpstr>
      <vt:lpstr>TableIXA</vt:lpstr>
      <vt:lpstr>TableIXB</vt:lpstr>
      <vt:lpstr>TableIXC</vt:lpstr>
      <vt:lpstr>TableIXD</vt:lpstr>
      <vt:lpstr>TableX</vt:lpstr>
      <vt:lpstr>TableXI</vt:lpstr>
      <vt:lpstr>Table XIIA</vt:lpstr>
      <vt:lpstr>Table XIIB</vt:lpstr>
      <vt:lpstr>TableXIII</vt:lpstr>
      <vt:lpstr>Table XIV</vt:lpstr>
      <vt:lpstr>TableXV</vt:lpstr>
      <vt:lpstr>TableXVI</vt:lpstr>
      <vt:lpstr>Table XVII</vt:lpstr>
      <vt:lpstr>Table XVIII</vt:lpstr>
      <vt:lpstr>TableXIX</vt:lpstr>
      <vt:lpstr>TableXX</vt:lpstr>
      <vt:lpstr>TableXXI</vt:lpstr>
      <vt:lpstr>Table XXII</vt:lpstr>
      <vt:lpstr>Table XXIII</vt:lpstr>
      <vt:lpstr>Table XXIV</vt:lpstr>
      <vt:lpstr>Table XXV</vt:lpstr>
      <vt:lpstr>Table XXVI</vt:lpstr>
      <vt:lpstr>Table XXVII</vt:lpstr>
      <vt:lpstr>Table XXVIII</vt:lpstr>
      <vt:lpstr>Table XXIX</vt:lpstr>
      <vt:lpstr>Appendix- Weights &amp; Measures</vt:lpstr>
      <vt:lpstr>'Table VIA'!Print_Area</vt:lpstr>
      <vt:lpstr>'Table VIB'!Print_Area</vt:lpstr>
      <vt:lpstr>'Table VIII'!Print_Area</vt:lpstr>
      <vt:lpstr>'Table XIIB'!Print_Area</vt:lpstr>
      <vt:lpstr>'Table XXIV'!Print_Area</vt:lpstr>
      <vt:lpstr>'Table XXIX'!Print_Area</vt:lpstr>
      <vt:lpstr>'Table XXVIII'!Print_Area</vt:lpstr>
      <vt:lpstr>TableIXC!Print_Area</vt:lpstr>
    </vt:vector>
  </TitlesOfParts>
  <Company>icsl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asif</dc:creator>
  <cp:lastModifiedBy>kabir993</cp:lastModifiedBy>
  <cp:lastPrinted>2026-09-28T09:33:50Z</cp:lastPrinted>
  <dcterms:created xsi:type="dcterms:W3CDTF">2007-04-10T13:42:14Z</dcterms:created>
  <dcterms:modified xsi:type="dcterms:W3CDTF">2026-09-29T09:28:53Z</dcterms:modified>
</cp:coreProperties>
</file>